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140" tabRatio="782" activeTab="3"/>
  </bookViews>
  <sheets>
    <sheet name="第１段階(水田）" sheetId="1" r:id="rId1"/>
    <sheet name="第１段階(非水田）" sheetId="2" r:id="rId2"/>
    <sheet name="第２段階（水田、地上防除）" sheetId="3" r:id="rId3"/>
    <sheet name="第２段階（水田、航空防除）" sheetId="4" r:id="rId4"/>
  </sheets>
  <definedNames>
    <definedName name="Ap" localSheetId="3">'第２段階（水田、航空防除）'!$M$5</definedName>
    <definedName name="Ap" localSheetId="2">'第２段階（水田、地上防除）'!$N$14</definedName>
    <definedName name="Ap">#REF!</definedName>
    <definedName name="dr" localSheetId="2">'第２段階（水田、地上防除）'!$H$16</definedName>
    <definedName name="dr">'第１段階(非水田）'!$H$22</definedName>
    <definedName name="ds" localSheetId="1">'第１段階(非水田）'!#REF!</definedName>
    <definedName name="ds">'第１段階(水田）'!$D$26</definedName>
    <definedName name="dt">'第２段階（水田、地上防除）'!$J$16</definedName>
    <definedName name="dth">'第２段階（水田、地上防除）'!$O$15</definedName>
    <definedName name="dtp">'第２段階（水田、地上防除）'!$O$16</definedName>
    <definedName name="ffp">'第２段階（水田、地上防除）'!$C$12</definedName>
    <definedName name="ｆｐ" localSheetId="1">#REF!</definedName>
    <definedName name="ｆｐ" localSheetId="3">'第２段階（水田、航空防除）'!$C$12</definedName>
    <definedName name="fp">'第１段階(水田）'!$G$27</definedName>
    <definedName name="fpp">'第１段階(水田）'!$F$28</definedName>
    <definedName name="fu">'第１段階(非水田）'!$H$20</definedName>
    <definedName name="fua">'第１段階(非水田）'!$H$21</definedName>
    <definedName name="I" localSheetId="3">'第２段階（水田、航空防除）'!$C$11</definedName>
    <definedName name="I" localSheetId="2">'第２段階（水田、地上防除）'!$C$11</definedName>
    <definedName name="I">#REF!</definedName>
    <definedName name="k">'第２段階（水田、地上防除）'!$R$17</definedName>
    <definedName name="kk">'第２段階（水田、航空防除）'!$O$17</definedName>
    <definedName name="kkk">#REF!</definedName>
    <definedName name="Klevee" localSheetId="3">'第２段階（水田、航空防除）'!$C$15</definedName>
    <definedName name="Klevee" localSheetId="2">'第２段階（水田、地上防除）'!$C$15</definedName>
    <definedName name="Klevee">#REF!</definedName>
    <definedName name="Koc" localSheetId="3">'第２段階（水田、航空防除）'!$C$14</definedName>
    <definedName name="Koc" localSheetId="2">'第２段階（水田、地上防除）'!$C$14</definedName>
    <definedName name="Koc">#REF!</definedName>
    <definedName name="Oclevee" localSheetId="3">'第２段階（水田、航空防除）'!$L$11</definedName>
    <definedName name="Oclevee" localSheetId="2">'第２段階（水田、地上防除）'!$O$11</definedName>
    <definedName name="Oclevee">#REF!</definedName>
    <definedName name="Ocse" localSheetId="3">'第２段階（水田、航空防除）'!$L$8</definedName>
    <definedName name="Ocse" localSheetId="2">'第２段階（水田、地上防除）'!$O$8</definedName>
    <definedName name="Ocse">#REF!</definedName>
    <definedName name="Plevee" localSheetId="3">'第２段階（水田、航空防除）'!$L$9</definedName>
    <definedName name="Plevee" localSheetId="2">'第２段階（水田、地上防除）'!$O$9</definedName>
    <definedName name="Plevee">#REF!</definedName>
    <definedName name="_xlnm.Print_Area" localSheetId="2">'第２段階（水田、地上防除）'!$B$1:$AJ$39</definedName>
    <definedName name="Pse" localSheetId="3">'第２段階（水田、航空防除）'!$L$7</definedName>
    <definedName name="Pse" localSheetId="2">'第２段階（水田、地上防除）'!$O$7</definedName>
    <definedName name="Pse">#REF!</definedName>
    <definedName name="rws" localSheetId="3">'第２段階（水田、航空防除）'!$L$10</definedName>
    <definedName name="rws" localSheetId="2">'第２段階（水田、地上防除）'!$O$10</definedName>
    <definedName name="rws">#REF!</definedName>
    <definedName name="Vse" localSheetId="3">'第２段階（水田、航空防除）'!$L$6</definedName>
    <definedName name="Vse" localSheetId="2">'第２段階（水田、地上防除）'!$O$6</definedName>
    <definedName name="Vse">#REF!</definedName>
  </definedNames>
  <calcPr fullCalcOnLoad="1"/>
</workbook>
</file>

<file path=xl/sharedStrings.xml><?xml version="1.0" encoding="utf-8"?>
<sst xmlns="http://schemas.openxmlformats.org/spreadsheetml/2006/main" count="311" uniqueCount="195">
  <si>
    <t>地上防除</t>
  </si>
  <si>
    <t>航空防除</t>
  </si>
  <si>
    <t>パラメーター</t>
  </si>
  <si>
    <t>（散布面積）</t>
  </si>
  <si>
    <t>Ａｐ（ｈａ）</t>
  </si>
  <si>
    <t>Ｒｐ（％）</t>
  </si>
  <si>
    <t>（水田からの流出率）</t>
  </si>
  <si>
    <t>Te=2days</t>
  </si>
  <si>
    <t>Te=3days</t>
  </si>
  <si>
    <t>Te=4days</t>
  </si>
  <si>
    <t>Driver(%)</t>
  </si>
  <si>
    <t>Dditch(%)</t>
  </si>
  <si>
    <t>Zriver(ha/day)</t>
  </si>
  <si>
    <t>Zditch(ha/day)</t>
  </si>
  <si>
    <t>Ndrift(%)</t>
  </si>
  <si>
    <t>（ドリフト寄与日数）</t>
  </si>
  <si>
    <t>排水路へのドリフト率</t>
  </si>
  <si>
    <t>河川へのドリフト率</t>
  </si>
  <si>
    <t>河川ドリフト面積</t>
  </si>
  <si>
    <t>排水路へのドリフト面積</t>
  </si>
  <si>
    <t>ｆｐ</t>
  </si>
  <si>
    <t>（流出率補正係数）</t>
  </si>
  <si>
    <t>1(湛水散布）</t>
  </si>
  <si>
    <t>0.5（茎葉散布）</t>
  </si>
  <si>
    <t>0.2（箱処理）</t>
  </si>
  <si>
    <t>0.3（茎葉散布）</t>
  </si>
  <si>
    <t>1（上記以外）</t>
  </si>
  <si>
    <t>農薬名</t>
  </si>
  <si>
    <t>散布量(g/ha）</t>
  </si>
  <si>
    <t>魚類LC50</t>
  </si>
  <si>
    <t>甲殻類EC50</t>
  </si>
  <si>
    <t>藻類EC50</t>
  </si>
  <si>
    <t>2days</t>
  </si>
  <si>
    <t>3days</t>
  </si>
  <si>
    <t>4days</t>
  </si>
  <si>
    <t>Rp(%)</t>
  </si>
  <si>
    <t>Ndrift(%)</t>
  </si>
  <si>
    <t>ｆｐ</t>
  </si>
  <si>
    <t>Mrunoff(g)</t>
  </si>
  <si>
    <t>MDr(g)</t>
  </si>
  <si>
    <t>MDd(g)</t>
  </si>
  <si>
    <t>Mtotal(g)</t>
  </si>
  <si>
    <t>PEC(ppb)</t>
  </si>
  <si>
    <t>毒性ﾃﾞｰﾀ(原体)</t>
  </si>
  <si>
    <t>試験生物</t>
  </si>
  <si>
    <t>暴露期間</t>
  </si>
  <si>
    <t>値(ppm)</t>
  </si>
  <si>
    <t>不確実係数</t>
  </si>
  <si>
    <t>AEC(ppb)</t>
  </si>
  <si>
    <t>コイ</t>
  </si>
  <si>
    <t>オオミジンコ</t>
  </si>
  <si>
    <t>緑藻</t>
  </si>
  <si>
    <t>値(ppb)</t>
  </si>
  <si>
    <t>パラメーター</t>
  </si>
  <si>
    <t>Zriver(ha/day)</t>
  </si>
  <si>
    <t>AEC(ppb)</t>
  </si>
  <si>
    <t>コイ</t>
  </si>
  <si>
    <t>オオミジンコ</t>
  </si>
  <si>
    <t>パラメーター</t>
  </si>
  <si>
    <t>2days</t>
  </si>
  <si>
    <t>3days</t>
  </si>
  <si>
    <t>4days</t>
  </si>
  <si>
    <t>Driver(%)</t>
  </si>
  <si>
    <t>Zriver(ha/day)</t>
  </si>
  <si>
    <t>Mrunoff(g)</t>
  </si>
  <si>
    <t>MDr(g)</t>
  </si>
  <si>
    <t>PEC(ppb)</t>
  </si>
  <si>
    <t>0.1(土壌混和・潅注）</t>
  </si>
  <si>
    <t>0.1(果樹以外）</t>
  </si>
  <si>
    <t>3.4（果樹）</t>
  </si>
  <si>
    <t>流出率</t>
  </si>
  <si>
    <t>毒性試験期間</t>
  </si>
  <si>
    <t>経過日数</t>
  </si>
  <si>
    <t>１日目散布区</t>
  </si>
  <si>
    <t>２日目散布区</t>
  </si>
  <si>
    <t>３日目散布区</t>
  </si>
  <si>
    <t>４日目散布区</t>
  </si>
  <si>
    <t>５日目散布区</t>
  </si>
  <si>
    <t>ドリフト（有り＝１，無し＝０）</t>
  </si>
  <si>
    <t>処理方法（湛水散布＝１、茎葉散布＝０．５、箱処理＝０．２）</t>
  </si>
  <si>
    <t>航空防除の場合（茎葉＝０．３，茎葉以外＝１）</t>
  </si>
  <si>
    <t>処理方法（土壌混和・潅注＝０．１、　それ以外＝１）</t>
  </si>
  <si>
    <t>処理方法　航空防除の場合　（茎葉＝０．３，茎葉以外＝１）</t>
  </si>
  <si>
    <t>耕種作物（果樹＝３．４、果樹以外＝０．１、ドリフトがない場合＝０）</t>
  </si>
  <si>
    <t>Ａu（ｈａ）</t>
  </si>
  <si>
    <t>Ru(%)</t>
  </si>
  <si>
    <t>Driver(%)</t>
  </si>
  <si>
    <t>Ndrift(days)</t>
  </si>
  <si>
    <t>Te</t>
  </si>
  <si>
    <t>ｆu</t>
  </si>
  <si>
    <t>fu=</t>
  </si>
  <si>
    <t>Driver＝</t>
  </si>
  <si>
    <t>Ru(%)</t>
  </si>
  <si>
    <t>Ndrift(days)</t>
  </si>
  <si>
    <t>ｆu</t>
  </si>
  <si>
    <t>PECrunoff(ppb)</t>
  </si>
  <si>
    <t>PECdrift(ppb)</t>
  </si>
  <si>
    <t>環境条件</t>
  </si>
  <si>
    <t>Koc</t>
  </si>
  <si>
    <t>パラメータ</t>
  </si>
  <si>
    <t>値</t>
  </si>
  <si>
    <t>単位</t>
  </si>
  <si>
    <t>分解が速い場合(分解しない場合はブランクとする）</t>
  </si>
  <si>
    <t>加水分解半減期</t>
  </si>
  <si>
    <t>day</t>
  </si>
  <si>
    <t>g/cm3</t>
  </si>
  <si>
    <t>水中光分解試験</t>
  </si>
  <si>
    <t>農薬の条件</t>
  </si>
  <si>
    <t>Ocse</t>
  </si>
  <si>
    <t>%</t>
  </si>
  <si>
    <t>パラメータ</t>
  </si>
  <si>
    <t>Plevee</t>
  </si>
  <si>
    <t>I</t>
  </si>
  <si>
    <t>g/ha</t>
  </si>
  <si>
    <t>rws</t>
  </si>
  <si>
    <t>-</t>
  </si>
  <si>
    <t>ｆｐ</t>
  </si>
  <si>
    <t>Oclevee</t>
  </si>
  <si>
    <t>%</t>
  </si>
  <si>
    <t>止水期間</t>
  </si>
  <si>
    <t>ドリフト（有り＝１、無し＝０）</t>
  </si>
  <si>
    <t>水質汚濁性試験結果(mg/l)</t>
  </si>
  <si>
    <t>Ci(mg/l)</t>
  </si>
  <si>
    <t>最大合計流出量(g)</t>
  </si>
  <si>
    <t>補間値</t>
  </si>
  <si>
    <t>2days</t>
  </si>
  <si>
    <t>3days</t>
  </si>
  <si>
    <t>4days</t>
  </si>
  <si>
    <t>Mse(g)</t>
  </si>
  <si>
    <t>分解を考慮</t>
  </si>
  <si>
    <t>Klevee</t>
  </si>
  <si>
    <t>Vse</t>
  </si>
  <si>
    <t>m3</t>
  </si>
  <si>
    <t>day</t>
  </si>
  <si>
    <t>k1=</t>
  </si>
  <si>
    <t>Pse</t>
  </si>
  <si>
    <t>g/cm3</t>
  </si>
  <si>
    <t>day</t>
  </si>
  <si>
    <t>k2=</t>
  </si>
  <si>
    <t>k=</t>
  </si>
  <si>
    <t>Driver</t>
  </si>
  <si>
    <t>Dditch</t>
  </si>
  <si>
    <r>
      <t>M</t>
    </r>
    <r>
      <rPr>
        <vertAlign val="subscript"/>
        <sz val="11"/>
        <rFont val="ＭＳ Ｐゴシック"/>
        <family val="3"/>
      </rPr>
      <t>out</t>
    </r>
    <r>
      <rPr>
        <sz val="11"/>
        <rFont val="ＭＳ Ｐゴシック"/>
        <family val="3"/>
      </rPr>
      <t>(g)</t>
    </r>
  </si>
  <si>
    <r>
      <t>M</t>
    </r>
    <r>
      <rPr>
        <vertAlign val="subscript"/>
        <sz val="11"/>
        <rFont val="ＭＳ Ｐゴシック"/>
        <family val="3"/>
      </rPr>
      <t>out</t>
    </r>
    <r>
      <rPr>
        <sz val="11"/>
        <rFont val="ＭＳ Ｐゴシック"/>
        <family val="3"/>
      </rPr>
      <t>(g)</t>
    </r>
  </si>
  <si>
    <r>
      <t>M</t>
    </r>
    <r>
      <rPr>
        <vertAlign val="subscript"/>
        <sz val="11"/>
        <rFont val="ＭＳ Ｐゴシック"/>
        <family val="3"/>
      </rPr>
      <t>seepagr</t>
    </r>
    <r>
      <rPr>
        <sz val="11"/>
        <rFont val="ＭＳ Ｐゴシック"/>
        <family val="3"/>
      </rPr>
      <t>(g)</t>
    </r>
  </si>
  <si>
    <r>
      <t>M</t>
    </r>
    <r>
      <rPr>
        <vertAlign val="subscript"/>
        <sz val="11"/>
        <rFont val="ＭＳ Ｐゴシック"/>
        <family val="3"/>
      </rPr>
      <t>seepagr</t>
    </r>
    <r>
      <rPr>
        <sz val="11"/>
        <rFont val="ＭＳ Ｐゴシック"/>
        <family val="3"/>
      </rPr>
      <t>(g)</t>
    </r>
  </si>
  <si>
    <r>
      <t>M</t>
    </r>
    <r>
      <rPr>
        <vertAlign val="subscript"/>
        <sz val="11"/>
        <rFont val="ＭＳ Ｐゴシック"/>
        <family val="3"/>
      </rPr>
      <t>Dr</t>
    </r>
    <r>
      <rPr>
        <sz val="11"/>
        <rFont val="ＭＳ Ｐゴシック"/>
        <family val="3"/>
      </rPr>
      <t>(g)</t>
    </r>
  </si>
  <si>
    <r>
      <t>M</t>
    </r>
    <r>
      <rPr>
        <vertAlign val="subscript"/>
        <sz val="11"/>
        <rFont val="ＭＳ Ｐゴシック"/>
        <family val="3"/>
      </rPr>
      <t>Dr</t>
    </r>
    <r>
      <rPr>
        <sz val="11"/>
        <rFont val="ＭＳ Ｐゴシック"/>
        <family val="3"/>
      </rPr>
      <t>(g)</t>
    </r>
  </si>
  <si>
    <r>
      <t>M</t>
    </r>
    <r>
      <rPr>
        <vertAlign val="subscript"/>
        <sz val="11"/>
        <rFont val="ＭＳ Ｐゴシック"/>
        <family val="3"/>
      </rPr>
      <t>Dｄ</t>
    </r>
    <r>
      <rPr>
        <sz val="11"/>
        <rFont val="ＭＳ Ｐゴシック"/>
        <family val="3"/>
      </rPr>
      <t>(g)</t>
    </r>
  </si>
  <si>
    <r>
      <t>M</t>
    </r>
    <r>
      <rPr>
        <vertAlign val="subscript"/>
        <sz val="11"/>
        <rFont val="ＭＳ Ｐゴシック"/>
        <family val="3"/>
      </rPr>
      <t>Dｄ</t>
    </r>
    <r>
      <rPr>
        <sz val="11"/>
        <rFont val="ＭＳ Ｐゴシック"/>
        <family val="3"/>
      </rPr>
      <t>(g)</t>
    </r>
  </si>
  <si>
    <r>
      <t>M</t>
    </r>
    <r>
      <rPr>
        <vertAlign val="subscript"/>
        <sz val="11"/>
        <rFont val="ＭＳ Ｐゴシック"/>
        <family val="3"/>
      </rPr>
      <t>total</t>
    </r>
    <r>
      <rPr>
        <sz val="11"/>
        <rFont val="ＭＳ Ｐゴシック"/>
        <family val="3"/>
      </rPr>
      <t>(g)</t>
    </r>
  </si>
  <si>
    <r>
      <t>M</t>
    </r>
    <r>
      <rPr>
        <vertAlign val="subscript"/>
        <sz val="11"/>
        <rFont val="ＭＳ Ｐゴシック"/>
        <family val="3"/>
      </rPr>
      <t>total</t>
    </r>
    <r>
      <rPr>
        <sz val="11"/>
        <rFont val="ＭＳ Ｐゴシック"/>
        <family val="3"/>
      </rPr>
      <t>(g)</t>
    </r>
  </si>
  <si>
    <t>PEC(ppb)</t>
  </si>
  <si>
    <t>水田（第２段階、航空防除）</t>
  </si>
  <si>
    <t>ドリフト</t>
  </si>
  <si>
    <t>あり</t>
  </si>
  <si>
    <t>田面水中濃度</t>
  </si>
  <si>
    <t>水尻からの流出量</t>
  </si>
  <si>
    <t>畦畔浸透による流出量</t>
  </si>
  <si>
    <t>河川へのドリフト量</t>
  </si>
  <si>
    <t>排水路へのドリフト量</t>
  </si>
  <si>
    <t>計算用2days</t>
  </si>
  <si>
    <t>計算用3days</t>
  </si>
  <si>
    <t>計算用4days</t>
  </si>
  <si>
    <t>（航空防除の場合、ドリフト無しのパターンは考慮しない）</t>
  </si>
  <si>
    <r>
      <t>　分析値は、０，１，３，７，１４日後の値は必ず入力する。その他の日について、測定している場合には、入力する。分析値がある場合にはその値を用い、</t>
    </r>
    <r>
      <rPr>
        <b/>
        <u val="single"/>
        <sz val="11"/>
        <rFont val="ＭＳ Ｐゴシック"/>
        <family val="3"/>
      </rPr>
      <t>欠測日のみ補間値を計算します</t>
    </r>
    <r>
      <rPr>
        <sz val="11"/>
        <rFont val="ＭＳ Ｐゴシック"/>
        <family val="3"/>
      </rPr>
      <t>。</t>
    </r>
  </si>
  <si>
    <t xml:space="preserve">←作物栽培条件で登録申請に係る方法で施用した場合には、流出補正係数は適用しない。 </t>
  </si>
  <si>
    <t>測定値</t>
  </si>
  <si>
    <t>試験条件：</t>
  </si>
  <si>
    <t>ドリフト率（自動的に設定）</t>
  </si>
  <si>
    <t>ΣMtotal (g)</t>
  </si>
  <si>
    <t xml:space="preserve">←単位がha当たりになので注意する。 </t>
  </si>
  <si>
    <t>【記載例】</t>
  </si>
  <si>
    <t>農薬名： ☆☆</t>
  </si>
  <si>
    <t>水田（第２段階、地上散布）</t>
  </si>
  <si>
    <r>
      <t>m</t>
    </r>
    <r>
      <rPr>
        <vertAlign val="superscript"/>
        <sz val="11"/>
        <rFont val="ＭＳ Ｐゴシック"/>
        <family val="3"/>
      </rPr>
      <t>3</t>
    </r>
  </si>
  <si>
    <r>
      <t>g/cm</t>
    </r>
    <r>
      <rPr>
        <vertAlign val="superscript"/>
        <sz val="11"/>
        <rFont val="ＭＳ Ｐゴシック"/>
        <family val="3"/>
      </rPr>
      <t>3</t>
    </r>
  </si>
  <si>
    <r>
      <t>g/cm</t>
    </r>
    <r>
      <rPr>
        <vertAlign val="superscript"/>
        <sz val="11"/>
        <rFont val="ＭＳ Ｐゴシック"/>
        <family val="3"/>
      </rPr>
      <t>3</t>
    </r>
  </si>
  <si>
    <t>Vse</t>
  </si>
  <si>
    <t>　　　パラメータ</t>
  </si>
  <si>
    <t xml:space="preserve"> ☆☆</t>
  </si>
  <si>
    <t>☆☆</t>
  </si>
  <si>
    <t>農薬名</t>
  </si>
  <si>
    <t>入力欄</t>
  </si>
  <si>
    <t>　環境条件</t>
  </si>
  <si>
    <t>農薬名：☆☆</t>
  </si>
  <si>
    <t>試験条件：</t>
  </si>
  <si>
    <t>入力欄</t>
  </si>
  <si>
    <t>水産ＰＥＣ計算シート</t>
  </si>
  <si>
    <t>↑(注）加水分解や水中分解に関するデータがあった場合のＰＥＣ</t>
  </si>
  <si>
    <t>水産ＰＥＣ計算シート（非水田、第１段階）</t>
  </si>
  <si>
    <t>水産ＰＥＣ計算シート（水田、第１段階）</t>
  </si>
  <si>
    <t>水中光分解半減期(注1)</t>
  </si>
  <si>
    <t>加水分解や水中分解に関するデータがあった場合のＰＥＣ</t>
  </si>
  <si>
    <t>（注１）　なお、加水分解及び光り分解を同時に評価する水中光分解性試験結果を用いる場合、DT50Pのみからkを算定する。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</si>
</sst>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0_);[Red]\(0.0000\)"/>
    <numFmt numFmtId="181" formatCode="0.0000"/>
    <numFmt numFmtId="182" formatCode="0.0000_ "/>
    <numFmt numFmtId="183" formatCode="0.0_);[Red]\(0.0\)"/>
    <numFmt numFmtId="184" formatCode="&quot;Yes&quot;;&quot;Yes&quot;;&quot;No&quot;"/>
    <numFmt numFmtId="185" formatCode="&quot;True&quot;;&quot;True&quot;;&quot;False&quot;"/>
    <numFmt numFmtId="186" formatCode="&quot;On&quot;;&quot;On&quot;;&quot;Off&quot;"/>
    <numFmt numFmtId="187" formatCode="[$€-2]\ #,##0.00_);[Red]\([$€-2]\ #,##0.00\)"/>
    <numFmt numFmtId="188" formatCode="0.00000_);[Red]\(0.00000\)"/>
  </numFmts>
  <fonts count="51">
    <font>
      <sz val="11"/>
      <name val="ＭＳ Ｐゴシック"/>
      <family val="3"/>
    </font>
    <font>
      <sz val="6"/>
      <name val="ＭＳ Ｐゴシック"/>
      <family val="3"/>
    </font>
    <font>
      <sz val="11"/>
      <color indexed="8"/>
      <name val="ＭＳ Ｐゴシック"/>
      <family val="3"/>
    </font>
    <font>
      <b/>
      <u val="single"/>
      <sz val="11"/>
      <name val="ＭＳ Ｐゴシック"/>
      <family val="3"/>
    </font>
    <font>
      <i/>
      <sz val="11"/>
      <name val="ＭＳ Ｐゴシック"/>
      <family val="3"/>
    </font>
    <font>
      <vertAlign val="subscript"/>
      <sz val="11"/>
      <name val="ＭＳ Ｐゴシック"/>
      <family val="3"/>
    </font>
    <font>
      <sz val="9"/>
      <name val="ＭＳ Ｐゴシック"/>
      <family val="3"/>
    </font>
    <font>
      <sz val="10"/>
      <name val="ＭＳ Ｐゴシック"/>
      <family val="3"/>
    </font>
    <font>
      <sz val="10"/>
      <color indexed="8"/>
      <name val="ＭＳ Ｐゴシック"/>
      <family val="3"/>
    </font>
    <font>
      <sz val="11"/>
      <name val="HG創英角ﾎﾟｯﾌﾟ体"/>
      <family val="3"/>
    </font>
    <font>
      <sz val="11"/>
      <name val="HGP創英角ﾎﾟｯﾌﾟ体"/>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9"/>
      <name val="ＭＳ Ｐゴシック"/>
      <family val="3"/>
    </font>
    <font>
      <vertAlign val="superscript"/>
      <sz val="11"/>
      <name val="ＭＳ Ｐゴシック"/>
      <family val="3"/>
    </font>
    <font>
      <b/>
      <sz val="11"/>
      <name val="ＭＳ Ｐゴシック"/>
      <family val="3"/>
    </font>
    <font>
      <sz val="11"/>
      <name val="ＭＳ Ｐ明朝"/>
      <family val="1"/>
    </font>
    <font>
      <u val="single"/>
      <sz val="8"/>
      <name val="ＭＳ Ｐゴシック"/>
      <family val="3"/>
    </font>
    <font>
      <u val="single"/>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ck"/>
      <bottom style="thin"/>
    </border>
    <border>
      <left style="thin"/>
      <right style="thin"/>
      <top style="double"/>
      <bottom style="thin"/>
    </border>
    <border>
      <left style="thin"/>
      <right style="thin"/>
      <top style="thick"/>
      <bottom>
        <color indexed="63"/>
      </bottom>
    </border>
    <border>
      <left style="thin"/>
      <right style="thin"/>
      <top>
        <color indexed="63"/>
      </top>
      <bottom style="thin"/>
    </border>
    <border>
      <left style="thin"/>
      <right style="thin"/>
      <top style="double"/>
      <bottom style="double"/>
    </border>
    <border>
      <left style="double"/>
      <right style="double"/>
      <top style="double"/>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thin"/>
      <bottom style="double"/>
    </border>
    <border>
      <left style="double"/>
      <right style="double"/>
      <top style="thin"/>
      <bottom style="thin"/>
    </border>
    <border>
      <left>
        <color indexed="63"/>
      </left>
      <right style="thin"/>
      <top style="thin"/>
      <bottom style="thin"/>
    </border>
    <border>
      <left style="thin"/>
      <right style="double"/>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double"/>
    </border>
    <border>
      <left>
        <color indexed="63"/>
      </left>
      <right>
        <color indexed="63"/>
      </right>
      <top style="thin"/>
      <bottom style="double"/>
    </border>
    <border>
      <left style="thin"/>
      <right style="double"/>
      <top>
        <color indexed="63"/>
      </top>
      <bottom style="thin"/>
    </border>
    <border>
      <left style="double"/>
      <right style="thin"/>
      <top style="thin"/>
      <bottom style="thin"/>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style="double"/>
      <top style="double"/>
      <bottom style="double"/>
    </border>
    <border>
      <left style="double"/>
      <right style="double"/>
      <top style="double"/>
      <bottom style="thin"/>
    </border>
    <border>
      <left style="double"/>
      <right style="double"/>
      <top>
        <color indexed="63"/>
      </top>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color indexed="63"/>
      </bottom>
    </border>
    <border>
      <left style="thin"/>
      <right style="thin"/>
      <top style="double"/>
      <bottom>
        <color indexed="63"/>
      </bottom>
    </border>
    <border>
      <left style="double"/>
      <right style="double"/>
      <top>
        <color indexed="63"/>
      </top>
      <bottom>
        <color indexed="63"/>
      </bottom>
    </border>
    <border>
      <left>
        <color indexed="63"/>
      </left>
      <right style="double"/>
      <top>
        <color indexed="63"/>
      </top>
      <bottom style="thin"/>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style="thin"/>
      <top style="double"/>
      <bottom style="double"/>
    </border>
    <border>
      <left style="double"/>
      <right>
        <color indexed="63"/>
      </right>
      <top style="thin"/>
      <bottom style="double"/>
    </border>
    <border>
      <left style="double"/>
      <right>
        <color indexed="63"/>
      </right>
      <top style="thin"/>
      <bottom style="thin"/>
    </border>
    <border>
      <left>
        <color indexed="63"/>
      </left>
      <right style="thin"/>
      <top style="double"/>
      <bottom style="thin"/>
    </border>
    <border>
      <left style="thin"/>
      <right>
        <color indexed="63"/>
      </right>
      <top style="thin"/>
      <bottom style="double"/>
    </border>
    <border>
      <left style="thin"/>
      <right>
        <color indexed="63"/>
      </right>
      <top style="double"/>
      <bottom style="thin"/>
    </border>
    <border>
      <left style="thin"/>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pplyNumberFormat="0" applyFill="0" applyBorder="0" applyAlignment="0" applyProtection="0"/>
    <xf numFmtId="0" fontId="50" fillId="32" borderId="0" applyNumberFormat="0" applyBorder="0" applyAlignment="0" applyProtection="0"/>
  </cellStyleXfs>
  <cellXfs count="221">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8" fontId="0" fillId="0" borderId="13"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horizontal="center" vertical="center"/>
    </xf>
    <xf numFmtId="180" fontId="0" fillId="0" borderId="18" xfId="0" applyNumberFormat="1" applyBorder="1" applyAlignment="1">
      <alignment/>
    </xf>
    <xf numFmtId="0" fontId="0" fillId="0" borderId="10" xfId="0" applyBorder="1" applyAlignment="1">
      <alignment wrapText="1"/>
    </xf>
    <xf numFmtId="176" fontId="0" fillId="0" borderId="0" xfId="0" applyNumberFormat="1" applyAlignment="1">
      <alignment horizontal="center" vertical="center"/>
    </xf>
    <xf numFmtId="0" fontId="0" fillId="0" borderId="10" xfId="0" applyBorder="1" applyAlignment="1">
      <alignment/>
    </xf>
    <xf numFmtId="178" fontId="0" fillId="0" borderId="0" xfId="0" applyNumberFormat="1" applyBorder="1" applyAlignment="1" quotePrefix="1">
      <alignment/>
    </xf>
    <xf numFmtId="0" fontId="0" fillId="0" borderId="0" xfId="0" applyFont="1" applyAlignment="1">
      <alignment/>
    </xf>
    <xf numFmtId="0" fontId="4" fillId="0" borderId="0" xfId="0" applyFont="1" applyAlignment="1">
      <alignment/>
    </xf>
    <xf numFmtId="0" fontId="0" fillId="0" borderId="10" xfId="0" applyFill="1" applyBorder="1" applyAlignment="1">
      <alignment/>
    </xf>
    <xf numFmtId="176" fontId="0" fillId="0" borderId="0" xfId="0" applyNumberFormat="1" applyBorder="1" applyAlignment="1" quotePrefix="1">
      <alignment horizontal="center" vertical="center"/>
    </xf>
    <xf numFmtId="182" fontId="0" fillId="0" borderId="0" xfId="0" applyNumberFormat="1" applyBorder="1" applyAlignment="1" quotePrefix="1">
      <alignment horizontal="center" vertical="center"/>
    </xf>
    <xf numFmtId="178" fontId="0" fillId="0" borderId="0" xfId="0" applyNumberFormat="1" applyBorder="1" applyAlignment="1" quotePrefix="1">
      <alignment horizontal="center" vertical="center"/>
    </xf>
    <xf numFmtId="0" fontId="0" fillId="0" borderId="10" xfId="0" applyFill="1" applyBorder="1" applyAlignment="1">
      <alignment horizontal="center" vertical="center" wrapText="1"/>
    </xf>
    <xf numFmtId="178" fontId="0" fillId="0" borderId="10" xfId="0" applyNumberFormat="1" applyBorder="1" applyAlignment="1">
      <alignment horizontal="center" vertical="center"/>
    </xf>
    <xf numFmtId="179" fontId="0" fillId="0" borderId="10" xfId="0" applyNumberFormat="1" applyBorder="1" applyAlignment="1">
      <alignment/>
    </xf>
    <xf numFmtId="183" fontId="0" fillId="0" borderId="10" xfId="0" applyNumberFormat="1" applyBorder="1" applyAlignment="1">
      <alignment horizontal="center" vertical="center"/>
    </xf>
    <xf numFmtId="0" fontId="0" fillId="0" borderId="0" xfId="0" applyBorder="1" applyAlignment="1">
      <alignment/>
    </xf>
    <xf numFmtId="178" fontId="0" fillId="0" borderId="0" xfId="0" applyNumberFormat="1" applyAlignment="1">
      <alignment/>
    </xf>
    <xf numFmtId="0" fontId="0" fillId="0" borderId="0" xfId="0" applyAlignment="1">
      <alignment horizontal="left" vertical="top" wrapText="1"/>
    </xf>
    <xf numFmtId="180" fontId="0" fillId="33" borderId="18" xfId="0" applyNumberFormat="1" applyFill="1" applyBorder="1" applyAlignment="1" quotePrefix="1">
      <alignment/>
    </xf>
    <xf numFmtId="180" fontId="0" fillId="33" borderId="18" xfId="0" applyNumberFormat="1" applyFill="1" applyBorder="1" applyAlignment="1">
      <alignment/>
    </xf>
    <xf numFmtId="182" fontId="6" fillId="33" borderId="19" xfId="0" applyNumberFormat="1" applyFont="1" applyFill="1" applyBorder="1" applyAlignment="1">
      <alignment/>
    </xf>
    <xf numFmtId="182" fontId="0" fillId="33" borderId="19" xfId="0" applyNumberFormat="1" applyFill="1" applyBorder="1" applyAlignment="1">
      <alignment/>
    </xf>
    <xf numFmtId="180" fontId="2" fillId="33" borderId="17" xfId="0" applyNumberFormat="1" applyFont="1" applyFill="1" applyBorder="1" applyAlignment="1">
      <alignment vertical="center"/>
    </xf>
    <xf numFmtId="179" fontId="0" fillId="33" borderId="15" xfId="0" applyNumberFormat="1" applyFill="1" applyBorder="1" applyAlignment="1">
      <alignment/>
    </xf>
    <xf numFmtId="0" fontId="0" fillId="0" borderId="2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183" fontId="8" fillId="0" borderId="10" xfId="0" applyNumberFormat="1" applyFont="1" applyBorder="1" applyAlignment="1">
      <alignment horizontal="center" vertical="center"/>
    </xf>
    <xf numFmtId="179" fontId="7" fillId="0" borderId="10" xfId="0" applyNumberFormat="1" applyFont="1" applyBorder="1" applyAlignment="1">
      <alignment/>
    </xf>
    <xf numFmtId="178" fontId="7" fillId="0" borderId="10" xfId="0" applyNumberFormat="1"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10" xfId="0" applyFont="1" applyFill="1" applyBorder="1" applyAlignment="1">
      <alignment/>
    </xf>
    <xf numFmtId="0" fontId="7" fillId="0" borderId="0" xfId="0" applyFont="1" applyAlignment="1">
      <alignment/>
    </xf>
    <xf numFmtId="0" fontId="7" fillId="0" borderId="10" xfId="0" applyFont="1" applyBorder="1" applyAlignment="1">
      <alignment/>
    </xf>
    <xf numFmtId="176" fontId="7" fillId="0" borderId="10"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0" xfId="0" applyNumberFormat="1" applyFont="1" applyBorder="1" applyAlignment="1" quotePrefix="1">
      <alignment/>
    </xf>
    <xf numFmtId="179" fontId="0" fillId="34" borderId="10" xfId="0" applyNumberFormat="1" applyFill="1" applyBorder="1" applyAlignment="1">
      <alignment horizontal="center" vertical="center"/>
    </xf>
    <xf numFmtId="179" fontId="7" fillId="0" borderId="10" xfId="0" applyNumberFormat="1" applyFont="1" applyBorder="1" applyAlignment="1" quotePrefix="1">
      <alignment/>
    </xf>
    <xf numFmtId="0" fontId="6" fillId="0" borderId="10" xfId="0" applyFont="1" applyBorder="1" applyAlignment="1">
      <alignment horizontal="center" vertical="center"/>
    </xf>
    <xf numFmtId="0" fontId="0" fillId="0" borderId="26" xfId="0" applyBorder="1" applyAlignment="1">
      <alignment/>
    </xf>
    <xf numFmtId="0" fontId="0" fillId="0" borderId="0" xfId="0" applyBorder="1" applyAlignment="1">
      <alignment horizontal="center" vertical="center"/>
    </xf>
    <xf numFmtId="0" fontId="0" fillId="0" borderId="27" xfId="0" applyBorder="1" applyAlignment="1">
      <alignment/>
    </xf>
    <xf numFmtId="0" fontId="0" fillId="0" borderId="28" xfId="0" applyBorder="1" applyAlignment="1">
      <alignment wrapText="1"/>
    </xf>
    <xf numFmtId="179" fontId="7" fillId="0" borderId="28" xfId="0" applyNumberFormat="1" applyFont="1" applyBorder="1" applyAlignment="1" quotePrefix="1">
      <alignment/>
    </xf>
    <xf numFmtId="179" fontId="0" fillId="34" borderId="29" xfId="0" applyNumberFormat="1" applyFill="1" applyBorder="1" applyAlignment="1">
      <alignment horizontal="center" vertical="center"/>
    </xf>
    <xf numFmtId="179" fontId="7" fillId="0" borderId="25" xfId="0" applyNumberFormat="1" applyFont="1" applyBorder="1" applyAlignment="1" quotePrefix="1">
      <alignment/>
    </xf>
    <xf numFmtId="0" fontId="7" fillId="0" borderId="17" xfId="0" applyFont="1" applyBorder="1" applyAlignment="1">
      <alignment/>
    </xf>
    <xf numFmtId="0" fontId="0" fillId="0" borderId="30" xfId="0" applyBorder="1" applyAlignment="1">
      <alignment horizontal="center" vertical="center" wrapText="1"/>
    </xf>
    <xf numFmtId="176" fontId="7" fillId="0" borderId="28" xfId="0" applyNumberFormat="1" applyFont="1" applyBorder="1" applyAlignment="1" quotePrefix="1">
      <alignment horizontal="center" vertical="center"/>
    </xf>
    <xf numFmtId="0" fontId="7" fillId="0" borderId="29" xfId="0" applyFont="1" applyBorder="1" applyAlignment="1">
      <alignment/>
    </xf>
    <xf numFmtId="179" fontId="7" fillId="0" borderId="29" xfId="0" applyNumberFormat="1" applyFont="1" applyBorder="1" applyAlignment="1">
      <alignment/>
    </xf>
    <xf numFmtId="179" fontId="7" fillId="0" borderId="31" xfId="0" applyNumberFormat="1" applyFont="1" applyBorder="1" applyAlignment="1" quotePrefix="1">
      <alignment/>
    </xf>
    <xf numFmtId="179" fontId="7" fillId="0" borderId="32" xfId="0" applyNumberFormat="1" applyFont="1" applyBorder="1" applyAlignment="1">
      <alignment/>
    </xf>
    <xf numFmtId="179" fontId="7" fillId="0" borderId="33" xfId="0" applyNumberFormat="1" applyFont="1" applyBorder="1" applyAlignment="1">
      <alignment/>
    </xf>
    <xf numFmtId="176" fontId="7" fillId="0" borderId="34" xfId="0" applyNumberFormat="1" applyFont="1" applyBorder="1" applyAlignment="1" quotePrefix="1">
      <alignment horizontal="center" vertical="center"/>
    </xf>
    <xf numFmtId="176" fontId="7" fillId="0" borderId="32" xfId="0" applyNumberFormat="1" applyFont="1" applyBorder="1" applyAlignment="1">
      <alignment horizontal="center" vertical="center"/>
    </xf>
    <xf numFmtId="178" fontId="7" fillId="0" borderId="28" xfId="0" applyNumberFormat="1" applyFont="1" applyBorder="1" applyAlignment="1" quotePrefix="1">
      <alignment horizontal="center" vertical="center"/>
    </xf>
    <xf numFmtId="0" fontId="0" fillId="0" borderId="29" xfId="0" applyBorder="1" applyAlignment="1">
      <alignment wrapText="1"/>
    </xf>
    <xf numFmtId="176" fontId="7" fillId="0" borderId="29" xfId="0" applyNumberFormat="1" applyFont="1" applyBorder="1" applyAlignment="1">
      <alignment horizontal="center" vertical="center"/>
    </xf>
    <xf numFmtId="176" fontId="7" fillId="0" borderId="33" xfId="0" applyNumberFormat="1" applyFont="1" applyBorder="1" applyAlignment="1">
      <alignment horizontal="center" vertical="center"/>
    </xf>
    <xf numFmtId="0" fontId="0" fillId="0" borderId="35" xfId="0" applyBorder="1" applyAlignment="1">
      <alignment/>
    </xf>
    <xf numFmtId="0" fontId="7" fillId="0" borderId="36" xfId="0" applyFont="1" applyBorder="1" applyAlignment="1">
      <alignment/>
    </xf>
    <xf numFmtId="0" fontId="0" fillId="0" borderId="37" xfId="0" applyBorder="1" applyAlignment="1">
      <alignment wrapText="1"/>
    </xf>
    <xf numFmtId="0" fontId="4" fillId="0" borderId="38" xfId="0" applyFont="1" applyBorder="1" applyAlignment="1">
      <alignment/>
    </xf>
    <xf numFmtId="0" fontId="0" fillId="0" borderId="38" xfId="0" applyBorder="1" applyAlignment="1">
      <alignment/>
    </xf>
    <xf numFmtId="178" fontId="7" fillId="0" borderId="28" xfId="0" applyNumberFormat="1" applyFont="1" applyBorder="1" applyAlignment="1" quotePrefix="1">
      <alignment/>
    </xf>
    <xf numFmtId="0" fontId="7" fillId="0" borderId="28" xfId="0" applyFont="1" applyBorder="1" applyAlignment="1">
      <alignment/>
    </xf>
    <xf numFmtId="178" fontId="7" fillId="0" borderId="29" xfId="0" applyNumberFormat="1" applyFont="1" applyBorder="1" applyAlignment="1">
      <alignment horizontal="center" vertical="center"/>
    </xf>
    <xf numFmtId="178" fontId="7" fillId="0" borderId="31" xfId="0" applyNumberFormat="1" applyFont="1" applyBorder="1" applyAlignment="1" quotePrefix="1">
      <alignment horizontal="center" vertical="center"/>
    </xf>
    <xf numFmtId="178" fontId="7" fillId="0" borderId="32" xfId="0" applyNumberFormat="1" applyFont="1" applyBorder="1" applyAlignment="1">
      <alignment horizontal="center" vertical="center"/>
    </xf>
    <xf numFmtId="178" fontId="7" fillId="0" borderId="33" xfId="0" applyNumberFormat="1" applyFont="1" applyBorder="1" applyAlignment="1">
      <alignment horizontal="center" vertical="center"/>
    </xf>
    <xf numFmtId="178" fontId="7" fillId="0" borderId="29" xfId="0" applyNumberFormat="1"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178" fontId="7" fillId="0" borderId="29" xfId="0" applyNumberFormat="1" applyFont="1" applyBorder="1" applyAlignment="1" quotePrefix="1">
      <alignment/>
    </xf>
    <xf numFmtId="0" fontId="0" fillId="0" borderId="29" xfId="0" applyFill="1" applyBorder="1" applyAlignment="1">
      <alignment horizontal="center" vertical="center" wrapText="1"/>
    </xf>
    <xf numFmtId="183" fontId="8" fillId="0" borderId="29" xfId="0" applyNumberFormat="1" applyFont="1" applyBorder="1" applyAlignment="1">
      <alignment horizontal="center" vertical="center"/>
    </xf>
    <xf numFmtId="183" fontId="0" fillId="0" borderId="29" xfId="0" applyNumberFormat="1" applyBorder="1" applyAlignment="1">
      <alignment horizontal="center" vertical="center"/>
    </xf>
    <xf numFmtId="178" fontId="0" fillId="0" borderId="29" xfId="0" applyNumberFormat="1" applyBorder="1" applyAlignment="1">
      <alignment horizontal="center" vertical="center"/>
    </xf>
    <xf numFmtId="0" fontId="0" fillId="0" borderId="39" xfId="0" applyBorder="1" applyAlignment="1">
      <alignment/>
    </xf>
    <xf numFmtId="0" fontId="0" fillId="0" borderId="40" xfId="0" applyBorder="1" applyAlignment="1">
      <alignment/>
    </xf>
    <xf numFmtId="180" fontId="0" fillId="33" borderId="41" xfId="0" applyNumberFormat="1" applyFill="1" applyBorder="1" applyAlignment="1">
      <alignment/>
    </xf>
    <xf numFmtId="0" fontId="0" fillId="0" borderId="28" xfId="0" applyFill="1" applyBorder="1" applyAlignment="1">
      <alignment horizontal="center" vertical="center" wrapText="1"/>
    </xf>
    <xf numFmtId="183" fontId="8" fillId="0" borderId="28" xfId="0" applyNumberFormat="1" applyFont="1" applyBorder="1" applyAlignment="1">
      <alignment horizontal="center" vertical="center"/>
    </xf>
    <xf numFmtId="183" fontId="0" fillId="0" borderId="28" xfId="0" applyNumberFormat="1" applyBorder="1" applyAlignment="1">
      <alignment horizontal="center" vertical="center"/>
    </xf>
    <xf numFmtId="178" fontId="0" fillId="0" borderId="28" xfId="0" applyNumberFormat="1" applyBorder="1" applyAlignment="1" quotePrefix="1">
      <alignment horizontal="center" vertical="center"/>
    </xf>
    <xf numFmtId="180" fontId="0" fillId="33" borderId="42" xfId="0" applyNumberFormat="1" applyFill="1" applyBorder="1" applyAlignment="1" quotePrefix="1">
      <alignment/>
    </xf>
    <xf numFmtId="182" fontId="0" fillId="33" borderId="43" xfId="0" applyNumberFormat="1" applyFill="1" applyBorder="1" applyAlignment="1">
      <alignment/>
    </xf>
    <xf numFmtId="0" fontId="0" fillId="0" borderId="44" xfId="0" applyBorder="1" applyAlignment="1">
      <alignment horizontal="center" vertical="center" wrapText="1"/>
    </xf>
    <xf numFmtId="0" fontId="0" fillId="0" borderId="27" xfId="0" applyBorder="1" applyAlignment="1">
      <alignment horizontal="center" vertical="center" wrapText="1"/>
    </xf>
    <xf numFmtId="178" fontId="7" fillId="0" borderId="27" xfId="0" applyNumberFormat="1" applyFont="1" applyBorder="1" applyAlignment="1" quotePrefix="1">
      <alignment horizontal="center" vertical="center"/>
    </xf>
    <xf numFmtId="0" fontId="6" fillId="0" borderId="27" xfId="0" applyFont="1"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xf>
    <xf numFmtId="183" fontId="8" fillId="0" borderId="0" xfId="0" applyNumberFormat="1" applyFont="1" applyBorder="1" applyAlignment="1">
      <alignment horizontal="center" vertical="center"/>
    </xf>
    <xf numFmtId="183" fontId="0" fillId="0" borderId="0" xfId="0" applyNumberFormat="1" applyBorder="1" applyAlignment="1">
      <alignment horizontal="center" vertical="center"/>
    </xf>
    <xf numFmtId="178" fontId="0" fillId="0" borderId="0" xfId="0" applyNumberFormat="1" applyBorder="1" applyAlignment="1">
      <alignment horizontal="center" vertical="center"/>
    </xf>
    <xf numFmtId="180" fontId="0" fillId="0" borderId="0" xfId="0" applyNumberFormat="1" applyFill="1" applyBorder="1" applyAlignment="1">
      <alignment/>
    </xf>
    <xf numFmtId="182" fontId="0" fillId="0" borderId="0" xfId="0" applyNumberFormat="1" applyFill="1" applyBorder="1" applyAlignment="1">
      <alignment/>
    </xf>
    <xf numFmtId="180" fontId="0" fillId="33" borderId="33" xfId="0" applyNumberFormat="1" applyFill="1" applyBorder="1" applyAlignment="1">
      <alignment/>
    </xf>
    <xf numFmtId="0" fontId="0" fillId="0" borderId="0" xfId="0" applyFill="1" applyAlignment="1">
      <alignment/>
    </xf>
    <xf numFmtId="0" fontId="0" fillId="0" borderId="0" xfId="0" applyFont="1" applyFill="1" applyAlignment="1">
      <alignment/>
    </xf>
    <xf numFmtId="0" fontId="9"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xf>
    <xf numFmtId="0" fontId="14" fillId="0" borderId="0" xfId="0" applyFont="1" applyFill="1" applyAlignment="1">
      <alignment/>
    </xf>
    <xf numFmtId="0" fontId="0" fillId="0" borderId="10" xfId="0" applyBorder="1" applyAlignment="1">
      <alignment horizontal="center"/>
    </xf>
    <xf numFmtId="0" fontId="0" fillId="0" borderId="46" xfId="0" applyBorder="1" applyAlignment="1">
      <alignment horizontal="center"/>
    </xf>
    <xf numFmtId="0" fontId="0" fillId="0" borderId="28" xfId="0" applyBorder="1" applyAlignment="1">
      <alignment/>
    </xf>
    <xf numFmtId="0" fontId="0" fillId="0" borderId="46" xfId="0" applyBorder="1" applyAlignment="1">
      <alignment/>
    </xf>
    <xf numFmtId="0" fontId="0" fillId="0" borderId="46" xfId="0" applyFill="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0" fontId="0" fillId="0" borderId="51" xfId="0" applyBorder="1" applyAlignment="1">
      <alignment/>
    </xf>
    <xf numFmtId="176" fontId="0" fillId="0" borderId="11" xfId="0" applyNumberFormat="1" applyBorder="1" applyAlignment="1">
      <alignment horizontal="center" vertical="center"/>
    </xf>
    <xf numFmtId="176" fontId="0" fillId="0" borderId="52" xfId="0" applyNumberFormat="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13" xfId="0" applyBorder="1" applyAlignment="1">
      <alignment horizontal="center" vertical="center"/>
    </xf>
    <xf numFmtId="0" fontId="0" fillId="0" borderId="19" xfId="0" applyBorder="1" applyAlignment="1">
      <alignment/>
    </xf>
    <xf numFmtId="0" fontId="0" fillId="0" borderId="0" xfId="0" applyAlignment="1">
      <alignment horizontal="right"/>
    </xf>
    <xf numFmtId="0" fontId="0" fillId="0" borderId="56" xfId="0" applyFont="1" applyBorder="1" applyAlignment="1">
      <alignment/>
    </xf>
    <xf numFmtId="0" fontId="7" fillId="0" borderId="57" xfId="0" applyFont="1" applyBorder="1" applyAlignment="1">
      <alignment/>
    </xf>
    <xf numFmtId="0" fontId="0" fillId="0" borderId="58" xfId="0" applyBorder="1" applyAlignment="1">
      <alignment/>
    </xf>
    <xf numFmtId="0" fontId="0" fillId="0" borderId="59" xfId="0" applyBorder="1" applyAlignment="1">
      <alignment/>
    </xf>
    <xf numFmtId="0" fontId="16" fillId="0" borderId="0" xfId="0" applyFont="1" applyAlignment="1">
      <alignment/>
    </xf>
    <xf numFmtId="0" fontId="0" fillId="0" borderId="0" xfId="0" applyFill="1" applyBorder="1" applyAlignment="1">
      <alignment horizontal="right"/>
    </xf>
    <xf numFmtId="0" fontId="0" fillId="0" borderId="21" xfId="0" applyFont="1" applyFill="1" applyBorder="1" applyAlignment="1">
      <alignment/>
    </xf>
    <xf numFmtId="0" fontId="0" fillId="0" borderId="12" xfId="0" applyFill="1" applyBorder="1" applyAlignment="1">
      <alignment/>
    </xf>
    <xf numFmtId="0" fontId="10" fillId="0" borderId="12" xfId="0" applyFont="1" applyFill="1" applyBorder="1" applyAlignment="1">
      <alignment/>
    </xf>
    <xf numFmtId="0" fontId="0" fillId="0" borderId="22" xfId="0" applyFill="1" applyBorder="1" applyAlignment="1">
      <alignment/>
    </xf>
    <xf numFmtId="0" fontId="17" fillId="0" borderId="23" xfId="0" applyFont="1" applyFill="1" applyBorder="1" applyAlignment="1">
      <alignment horizontal="left"/>
    </xf>
    <xf numFmtId="0" fontId="0" fillId="0" borderId="24" xfId="0" applyFill="1" applyBorder="1" applyAlignment="1">
      <alignment/>
    </xf>
    <xf numFmtId="0" fontId="10" fillId="0" borderId="24" xfId="0" applyFont="1" applyFill="1" applyBorder="1" applyAlignment="1">
      <alignment/>
    </xf>
    <xf numFmtId="0" fontId="0" fillId="0" borderId="25" xfId="0" applyFill="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51" xfId="0" applyFont="1" applyBorder="1" applyAlignment="1">
      <alignment/>
    </xf>
    <xf numFmtId="0" fontId="0" fillId="0" borderId="19" xfId="0" applyFill="1" applyBorder="1" applyAlignment="1">
      <alignment/>
    </xf>
    <xf numFmtId="0" fontId="18" fillId="0" borderId="0" xfId="0" applyFont="1" applyAlignment="1">
      <alignment/>
    </xf>
    <xf numFmtId="0" fontId="19" fillId="0" borderId="0" xfId="0" applyFont="1" applyAlignment="1">
      <alignment/>
    </xf>
    <xf numFmtId="182" fontId="6" fillId="33" borderId="43" xfId="0" applyNumberFormat="1" applyFont="1" applyFill="1" applyBorder="1" applyAlignment="1">
      <alignment/>
    </xf>
    <xf numFmtId="0" fontId="0" fillId="0" borderId="65" xfId="0" applyBorder="1" applyAlignment="1">
      <alignment/>
    </xf>
    <xf numFmtId="0" fontId="6" fillId="0" borderId="10" xfId="0" applyFont="1" applyBorder="1" applyAlignment="1">
      <alignment shrinkToFit="1"/>
    </xf>
    <xf numFmtId="0" fontId="0" fillId="0" borderId="66" xfId="0" applyBorder="1" applyAlignment="1">
      <alignment/>
    </xf>
    <xf numFmtId="0" fontId="0" fillId="0" borderId="31" xfId="0" applyBorder="1" applyAlignment="1">
      <alignment shrinkToFit="1"/>
    </xf>
    <xf numFmtId="179" fontId="0" fillId="34" borderId="67" xfId="0" applyNumberFormat="1" applyFill="1" applyBorder="1" applyAlignment="1">
      <alignment horizontal="center" vertical="center"/>
    </xf>
    <xf numFmtId="179" fontId="0" fillId="34" borderId="30" xfId="0" applyNumberFormat="1" applyFill="1" applyBorder="1" applyAlignment="1">
      <alignment horizontal="center" vertical="center"/>
    </xf>
    <xf numFmtId="179" fontId="0" fillId="34" borderId="68" xfId="0" applyNumberFormat="1" applyFill="1" applyBorder="1" applyAlignment="1">
      <alignment horizontal="center" vertical="center"/>
    </xf>
    <xf numFmtId="0" fontId="13" fillId="35" borderId="19" xfId="0" applyFont="1" applyFill="1" applyBorder="1" applyAlignment="1">
      <alignment/>
    </xf>
    <xf numFmtId="0" fontId="0" fillId="0" borderId="13" xfId="0" applyBorder="1" applyAlignment="1">
      <alignment horizontal="center"/>
    </xf>
    <xf numFmtId="0" fontId="0" fillId="0" borderId="46" xfId="0" applyBorder="1" applyAlignment="1">
      <alignment/>
    </xf>
    <xf numFmtId="0" fontId="0" fillId="35" borderId="19" xfId="0" applyFill="1" applyBorder="1" applyAlignment="1">
      <alignment/>
    </xf>
    <xf numFmtId="179" fontId="0" fillId="34" borderId="28" xfId="0" applyNumberFormat="1" applyFill="1" applyBorder="1" applyAlignment="1">
      <alignment horizontal="center" vertical="center"/>
    </xf>
    <xf numFmtId="178" fontId="7" fillId="0" borderId="27" xfId="0"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35" borderId="69"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left" vertical="top" wrapText="1"/>
    </xf>
    <xf numFmtId="0" fontId="0" fillId="0" borderId="10" xfId="0" applyBorder="1" applyAlignment="1">
      <alignment/>
    </xf>
    <xf numFmtId="0" fontId="0" fillId="0" borderId="46" xfId="0" applyBorder="1" applyAlignment="1">
      <alignment/>
    </xf>
    <xf numFmtId="0" fontId="0" fillId="0" borderId="73" xfId="0" applyBorder="1" applyAlignment="1">
      <alignment/>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28" xfId="0" applyBorder="1" applyAlignment="1">
      <alignment/>
    </xf>
    <xf numFmtId="0" fontId="0" fillId="0" borderId="21" xfId="0" applyBorder="1" applyAlignment="1">
      <alignment horizontal="center" vertical="center" wrapText="1"/>
    </xf>
    <xf numFmtId="0" fontId="0" fillId="35" borderId="70" xfId="0" applyFill="1" applyBorder="1" applyAlignment="1">
      <alignment horizontal="center" vertical="center"/>
    </xf>
    <xf numFmtId="0" fontId="0" fillId="35" borderId="43" xfId="0" applyFill="1" applyBorder="1" applyAlignment="1">
      <alignment horizontal="center" vertical="center"/>
    </xf>
    <xf numFmtId="0" fontId="0" fillId="0" borderId="69"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49"/>
  <sheetViews>
    <sheetView zoomScalePageLayoutView="0" workbookViewId="0" topLeftCell="A25">
      <selection activeCell="C45" sqref="C45"/>
    </sheetView>
  </sheetViews>
  <sheetFormatPr defaultColWidth="9.00390625" defaultRowHeight="13.5"/>
  <cols>
    <col min="1" max="1" width="2.50390625" style="0" customWidth="1"/>
    <col min="2" max="2" width="13.75390625" style="0" customWidth="1"/>
    <col min="3" max="3" width="11.25390625" style="0" customWidth="1"/>
    <col min="9" max="9" width="11.125" style="0" customWidth="1"/>
  </cols>
  <sheetData>
    <row r="2" spans="2:3" ht="13.5">
      <c r="B2" s="149" t="s">
        <v>191</v>
      </c>
      <c r="C2" s="149"/>
    </row>
    <row r="3" ht="13.5">
      <c r="B3" t="s">
        <v>172</v>
      </c>
    </row>
    <row r="5" spans="2:8" ht="13.5">
      <c r="B5" s="4" t="s">
        <v>2</v>
      </c>
      <c r="C5" s="4"/>
      <c r="D5" s="4"/>
      <c r="E5" s="4" t="s">
        <v>0</v>
      </c>
      <c r="F5" s="4"/>
      <c r="G5" s="4" t="s">
        <v>1</v>
      </c>
      <c r="H5" s="4"/>
    </row>
    <row r="6" spans="2:8" ht="13.5">
      <c r="B6" s="4" t="s">
        <v>4</v>
      </c>
      <c r="C6" s="4" t="s">
        <v>3</v>
      </c>
      <c r="D6" s="4"/>
      <c r="E6" s="4">
        <v>50</v>
      </c>
      <c r="F6" s="4"/>
      <c r="G6" s="4">
        <v>50</v>
      </c>
      <c r="H6" s="4"/>
    </row>
    <row r="7" spans="2:8" ht="13.5">
      <c r="B7" s="182" t="s">
        <v>5</v>
      </c>
      <c r="C7" s="183" t="s">
        <v>6</v>
      </c>
      <c r="D7" s="4" t="s">
        <v>7</v>
      </c>
      <c r="E7" s="4">
        <v>15.6</v>
      </c>
      <c r="F7" s="4"/>
      <c r="G7" s="4">
        <v>19</v>
      </c>
      <c r="H7" s="4"/>
    </row>
    <row r="8" spans="2:8" ht="13.5">
      <c r="B8" s="182"/>
      <c r="C8" s="183"/>
      <c r="D8" s="4" t="s">
        <v>8</v>
      </c>
      <c r="E8" s="4">
        <v>22.4</v>
      </c>
      <c r="F8" s="4"/>
      <c r="G8" s="4">
        <v>27.1</v>
      </c>
      <c r="H8" s="4"/>
    </row>
    <row r="9" spans="2:8" ht="13.5">
      <c r="B9" s="182"/>
      <c r="C9" s="183"/>
      <c r="D9" s="4" t="s">
        <v>9</v>
      </c>
      <c r="E9" s="4">
        <v>29.1</v>
      </c>
      <c r="F9" s="4"/>
      <c r="G9" s="4">
        <v>34.4</v>
      </c>
      <c r="H9" s="4"/>
    </row>
    <row r="10" spans="2:8" ht="13.5">
      <c r="B10" s="4" t="s">
        <v>10</v>
      </c>
      <c r="C10" s="4" t="s">
        <v>17</v>
      </c>
      <c r="D10" s="4"/>
      <c r="E10" s="4">
        <v>0.3</v>
      </c>
      <c r="F10" s="4"/>
      <c r="G10" s="4">
        <v>1.9</v>
      </c>
      <c r="H10" s="4"/>
    </row>
    <row r="11" spans="2:8" ht="13.5">
      <c r="B11" s="4" t="s">
        <v>12</v>
      </c>
      <c r="C11" s="4" t="s">
        <v>18</v>
      </c>
      <c r="D11" s="4"/>
      <c r="E11" s="4">
        <v>0.16</v>
      </c>
      <c r="F11" s="4"/>
      <c r="G11" s="4">
        <v>0.8</v>
      </c>
      <c r="H11" s="4"/>
    </row>
    <row r="12" spans="2:8" ht="13.5">
      <c r="B12" s="4" t="s">
        <v>11</v>
      </c>
      <c r="C12" s="4" t="s">
        <v>16</v>
      </c>
      <c r="D12" s="4"/>
      <c r="E12" s="4">
        <v>4</v>
      </c>
      <c r="F12" s="4"/>
      <c r="G12" s="4">
        <v>100</v>
      </c>
      <c r="H12" s="4"/>
    </row>
    <row r="13" spans="2:8" ht="13.5">
      <c r="B13" s="4" t="s">
        <v>13</v>
      </c>
      <c r="C13" s="4" t="s">
        <v>19</v>
      </c>
      <c r="D13" s="4"/>
      <c r="E13" s="4">
        <v>0.07</v>
      </c>
      <c r="F13" s="4"/>
      <c r="G13" s="4">
        <v>0.33</v>
      </c>
      <c r="H13" s="4"/>
    </row>
    <row r="14" spans="2:8" ht="13.5">
      <c r="B14" s="182" t="s">
        <v>36</v>
      </c>
      <c r="C14" s="183" t="s">
        <v>15</v>
      </c>
      <c r="D14" s="4" t="s">
        <v>7</v>
      </c>
      <c r="E14" s="4">
        <v>1</v>
      </c>
      <c r="F14" s="4"/>
      <c r="G14" s="4">
        <v>1</v>
      </c>
      <c r="H14" s="4"/>
    </row>
    <row r="15" spans="2:8" ht="13.5">
      <c r="B15" s="182"/>
      <c r="C15" s="183"/>
      <c r="D15" s="4" t="s">
        <v>8</v>
      </c>
      <c r="E15" s="4">
        <v>2</v>
      </c>
      <c r="F15" s="4"/>
      <c r="G15" s="4">
        <v>1</v>
      </c>
      <c r="H15" s="4"/>
    </row>
    <row r="16" spans="2:8" ht="13.5">
      <c r="B16" s="182"/>
      <c r="C16" s="184"/>
      <c r="D16" s="5" t="s">
        <v>9</v>
      </c>
      <c r="E16" s="4">
        <v>2</v>
      </c>
      <c r="F16" s="4"/>
      <c r="G16" s="4">
        <v>1</v>
      </c>
      <c r="H16" s="4"/>
    </row>
    <row r="17" spans="2:8" ht="13.5">
      <c r="B17" s="182" t="s">
        <v>20</v>
      </c>
      <c r="C17" s="184" t="s">
        <v>21</v>
      </c>
      <c r="D17" s="187"/>
      <c r="E17" s="4" t="s">
        <v>22</v>
      </c>
      <c r="F17" s="4"/>
      <c r="G17" s="4" t="s">
        <v>25</v>
      </c>
      <c r="H17" s="4"/>
    </row>
    <row r="18" spans="2:8" ht="13.5">
      <c r="B18" s="182"/>
      <c r="C18" s="188"/>
      <c r="D18" s="189"/>
      <c r="E18" s="4" t="s">
        <v>23</v>
      </c>
      <c r="F18" s="4"/>
      <c r="G18" s="4" t="s">
        <v>26</v>
      </c>
      <c r="H18" s="4"/>
    </row>
    <row r="19" spans="2:8" ht="13.5">
      <c r="B19" s="182"/>
      <c r="C19" s="190"/>
      <c r="D19" s="191"/>
      <c r="E19" s="4" t="s">
        <v>24</v>
      </c>
      <c r="F19" s="4"/>
      <c r="G19" s="4"/>
      <c r="H19" s="4"/>
    </row>
    <row r="21" ht="14.25" thickBot="1"/>
    <row r="22" spans="2:3" ht="15" thickBot="1" thickTop="1">
      <c r="B22" s="144" t="s">
        <v>183</v>
      </c>
      <c r="C22" s="179"/>
    </row>
    <row r="23" spans="5:8" ht="15" thickBot="1" thickTop="1">
      <c r="E23" s="16"/>
      <c r="F23" s="16"/>
      <c r="G23" s="16"/>
      <c r="H23" s="16"/>
    </row>
    <row r="24" spans="2:8" ht="15" thickBot="1" thickTop="1">
      <c r="B24" s="131" t="s">
        <v>27</v>
      </c>
      <c r="C24" s="165" t="s">
        <v>180</v>
      </c>
      <c r="D24" s="132"/>
      <c r="E24" s="132"/>
      <c r="F24" s="133"/>
      <c r="G24" s="133"/>
      <c r="H24" s="134"/>
    </row>
    <row r="25" spans="2:8" ht="15" thickBot="1" thickTop="1">
      <c r="B25" s="135" t="s">
        <v>28</v>
      </c>
      <c r="C25" s="176">
        <v>4000</v>
      </c>
      <c r="D25" s="5"/>
      <c r="E25" s="4"/>
      <c r="F25" s="4"/>
      <c r="G25" s="136"/>
      <c r="H25" s="137"/>
    </row>
    <row r="26" spans="2:8" ht="15" thickBot="1" thickTop="1">
      <c r="B26" s="135" t="s">
        <v>78</v>
      </c>
      <c r="C26" s="46"/>
      <c r="D26" s="176">
        <v>1</v>
      </c>
      <c r="E26" s="4"/>
      <c r="F26" s="4"/>
      <c r="G26" s="5"/>
      <c r="H26" s="137"/>
    </row>
    <row r="27" spans="2:8" ht="15" thickBot="1" thickTop="1">
      <c r="B27" s="135" t="s">
        <v>79</v>
      </c>
      <c r="C27" s="4"/>
      <c r="D27" s="46"/>
      <c r="E27" s="4"/>
      <c r="F27" s="5"/>
      <c r="G27" s="176">
        <v>1</v>
      </c>
      <c r="H27" s="138"/>
    </row>
    <row r="28" spans="2:8" ht="15" thickBot="1" thickTop="1">
      <c r="B28" s="139" t="s">
        <v>80</v>
      </c>
      <c r="C28" s="140"/>
      <c r="D28" s="140"/>
      <c r="E28" s="140"/>
      <c r="F28" s="176">
        <v>0.3</v>
      </c>
      <c r="G28" s="130"/>
      <c r="H28" s="141"/>
    </row>
    <row r="30" spans="2:8" ht="14.25" thickBot="1">
      <c r="B30" s="6" t="s">
        <v>43</v>
      </c>
      <c r="C30" s="3" t="s">
        <v>44</v>
      </c>
      <c r="D30" s="3" t="s">
        <v>45</v>
      </c>
      <c r="E30" s="142" t="s">
        <v>46</v>
      </c>
      <c r="F30" s="3" t="s">
        <v>52</v>
      </c>
      <c r="G30" s="3" t="s">
        <v>47</v>
      </c>
      <c r="H30" s="3" t="s">
        <v>48</v>
      </c>
    </row>
    <row r="31" spans="2:8" ht="15" thickBot="1" thickTop="1">
      <c r="B31" s="6" t="s">
        <v>29</v>
      </c>
      <c r="C31" s="6" t="s">
        <v>49</v>
      </c>
      <c r="D31" s="128">
        <v>96</v>
      </c>
      <c r="E31" s="176">
        <v>5</v>
      </c>
      <c r="F31" s="127">
        <f>E31*1000</f>
        <v>5000</v>
      </c>
      <c r="G31" s="6">
        <v>10</v>
      </c>
      <c r="H31" s="6">
        <f>F31/G31</f>
        <v>500</v>
      </c>
    </row>
    <row r="32" spans="2:8" ht="15" thickBot="1" thickTop="1">
      <c r="B32" s="6" t="s">
        <v>30</v>
      </c>
      <c r="C32" s="6" t="s">
        <v>50</v>
      </c>
      <c r="D32" s="128">
        <v>48</v>
      </c>
      <c r="E32" s="176">
        <v>0.41</v>
      </c>
      <c r="F32" s="127">
        <f>E32*1000</f>
        <v>410</v>
      </c>
      <c r="G32" s="6">
        <v>10</v>
      </c>
      <c r="H32" s="6">
        <f>F32/G32</f>
        <v>41</v>
      </c>
    </row>
    <row r="33" spans="2:8" ht="15" thickBot="1" thickTop="1">
      <c r="B33" s="6" t="s">
        <v>31</v>
      </c>
      <c r="C33" s="6" t="s">
        <v>51</v>
      </c>
      <c r="D33" s="128">
        <v>72</v>
      </c>
      <c r="E33" s="176">
        <v>0.3</v>
      </c>
      <c r="F33" s="127">
        <f>E33*1000</f>
        <v>300</v>
      </c>
      <c r="G33" s="6">
        <v>1</v>
      </c>
      <c r="H33" s="6">
        <f>F33/G33</f>
        <v>300</v>
      </c>
    </row>
    <row r="34" ht="14.25" thickTop="1"/>
    <row r="35" spans="2:8" ht="13.5">
      <c r="B35" s="6"/>
      <c r="C35" s="185" t="s">
        <v>0</v>
      </c>
      <c r="D35" s="182"/>
      <c r="E35" s="186"/>
      <c r="F35" s="185" t="s">
        <v>1</v>
      </c>
      <c r="G35" s="182"/>
      <c r="H35" s="186"/>
    </row>
    <row r="36" spans="2:8" s="1" customFormat="1" ht="13.5">
      <c r="B36" s="3" t="s">
        <v>2</v>
      </c>
      <c r="C36" s="3" t="s">
        <v>32</v>
      </c>
      <c r="D36" s="3" t="s">
        <v>33</v>
      </c>
      <c r="E36" s="3" t="s">
        <v>34</v>
      </c>
      <c r="F36" s="3" t="s">
        <v>32</v>
      </c>
      <c r="G36" s="3" t="s">
        <v>33</v>
      </c>
      <c r="H36" s="3" t="s">
        <v>34</v>
      </c>
    </row>
    <row r="37" spans="2:8" ht="13.5">
      <c r="B37" s="6" t="s">
        <v>4</v>
      </c>
      <c r="C37" s="6">
        <v>50</v>
      </c>
      <c r="D37" s="6">
        <v>50</v>
      </c>
      <c r="E37" s="6">
        <v>50</v>
      </c>
      <c r="F37" s="6">
        <v>50</v>
      </c>
      <c r="G37" s="6">
        <v>50</v>
      </c>
      <c r="H37" s="6">
        <v>50</v>
      </c>
    </row>
    <row r="38" spans="2:8" ht="13.5">
      <c r="B38" s="6" t="s">
        <v>35</v>
      </c>
      <c r="C38" s="6">
        <v>15.6</v>
      </c>
      <c r="D38" s="6">
        <v>22.4</v>
      </c>
      <c r="E38" s="6">
        <v>29.1</v>
      </c>
      <c r="F38" s="6">
        <v>19</v>
      </c>
      <c r="G38" s="6">
        <v>27.1</v>
      </c>
      <c r="H38" s="6">
        <v>34.4</v>
      </c>
    </row>
    <row r="39" spans="2:8" ht="13.5">
      <c r="B39" s="6" t="s">
        <v>10</v>
      </c>
      <c r="C39" s="6">
        <f>IF(ds=0,0,0.3)</f>
        <v>0.3</v>
      </c>
      <c r="D39" s="6">
        <f>IF(ds=0,0,0.3)</f>
        <v>0.3</v>
      </c>
      <c r="E39" s="6">
        <f>IF(ds=0,0,0.3)</f>
        <v>0.3</v>
      </c>
      <c r="F39" s="6">
        <v>1.9</v>
      </c>
      <c r="G39" s="6">
        <v>1.9</v>
      </c>
      <c r="H39" s="6">
        <v>1.9</v>
      </c>
    </row>
    <row r="40" spans="2:8" ht="13.5">
      <c r="B40" s="6" t="s">
        <v>12</v>
      </c>
      <c r="C40" s="6">
        <v>0.16</v>
      </c>
      <c r="D40" s="6">
        <v>0.16</v>
      </c>
      <c r="E40" s="6">
        <v>0.16</v>
      </c>
      <c r="F40" s="6">
        <v>0.8</v>
      </c>
      <c r="G40" s="6">
        <v>0.8</v>
      </c>
      <c r="H40" s="6">
        <v>0.8</v>
      </c>
    </row>
    <row r="41" spans="2:8" ht="13.5">
      <c r="B41" s="6" t="s">
        <v>11</v>
      </c>
      <c r="C41" s="6">
        <f>IF(ds=0,0,4)</f>
        <v>4</v>
      </c>
      <c r="D41" s="6">
        <f>IF(ds=0,0,4)</f>
        <v>4</v>
      </c>
      <c r="E41" s="6">
        <f>IF(ds=0,0,4)</f>
        <v>4</v>
      </c>
      <c r="F41" s="6">
        <v>100</v>
      </c>
      <c r="G41" s="6">
        <v>100</v>
      </c>
      <c r="H41" s="6">
        <v>100</v>
      </c>
    </row>
    <row r="42" spans="2:8" ht="13.5">
      <c r="B42" s="6" t="s">
        <v>13</v>
      </c>
      <c r="C42" s="6">
        <v>0.07</v>
      </c>
      <c r="D42" s="6">
        <v>0.07</v>
      </c>
      <c r="E42" s="6">
        <v>0.07</v>
      </c>
      <c r="F42" s="6">
        <v>0.33</v>
      </c>
      <c r="G42" s="6">
        <v>0.33</v>
      </c>
      <c r="H42" s="6">
        <v>0.33</v>
      </c>
    </row>
    <row r="43" spans="2:8" ht="13.5">
      <c r="B43" s="6" t="s">
        <v>14</v>
      </c>
      <c r="C43" s="6">
        <v>1</v>
      </c>
      <c r="D43" s="6">
        <v>2</v>
      </c>
      <c r="E43" s="6">
        <v>2</v>
      </c>
      <c r="F43" s="6">
        <v>1</v>
      </c>
      <c r="G43" s="6">
        <v>1</v>
      </c>
      <c r="H43" s="6">
        <v>1</v>
      </c>
    </row>
    <row r="44" spans="2:8" ht="14.25" thickBot="1">
      <c r="B44" s="7" t="s">
        <v>37</v>
      </c>
      <c r="C44" s="7">
        <f>fp</f>
        <v>1</v>
      </c>
      <c r="D44" s="7">
        <f>fp</f>
        <v>1</v>
      </c>
      <c r="E44" s="7">
        <f>fp</f>
        <v>1</v>
      </c>
      <c r="F44" s="7">
        <f>fpp</f>
        <v>0.3</v>
      </c>
      <c r="G44" s="7">
        <f>fpp</f>
        <v>0.3</v>
      </c>
      <c r="H44" s="7">
        <f>fpp</f>
        <v>0.3</v>
      </c>
    </row>
    <row r="45" spans="2:8" ht="14.25" thickTop="1">
      <c r="B45" s="8" t="s">
        <v>38</v>
      </c>
      <c r="C45" s="11">
        <f aca="true" t="shared" si="0" ref="C45:H45">$C$25*(C38/100)*C37*C44</f>
        <v>31200</v>
      </c>
      <c r="D45" s="11">
        <f t="shared" si="0"/>
        <v>44799.99999999999</v>
      </c>
      <c r="E45" s="11">
        <f t="shared" si="0"/>
        <v>58200.000000000015</v>
      </c>
      <c r="F45" s="11">
        <f t="shared" si="0"/>
        <v>11400</v>
      </c>
      <c r="G45" s="11">
        <f t="shared" si="0"/>
        <v>16260</v>
      </c>
      <c r="H45" s="11">
        <f t="shared" si="0"/>
        <v>20640</v>
      </c>
    </row>
    <row r="46" spans="2:8" ht="13.5">
      <c r="B46" s="6" t="s">
        <v>39</v>
      </c>
      <c r="C46" s="6">
        <f aca="true" t="shared" si="1" ref="C46:H46">$C$25*(C39/100)*C40*C43</f>
        <v>1.92</v>
      </c>
      <c r="D46" s="6">
        <f t="shared" si="1"/>
        <v>3.84</v>
      </c>
      <c r="E46" s="6">
        <f t="shared" si="1"/>
        <v>3.84</v>
      </c>
      <c r="F46" s="6">
        <f t="shared" si="1"/>
        <v>60.800000000000004</v>
      </c>
      <c r="G46" s="6">
        <f t="shared" si="1"/>
        <v>60.800000000000004</v>
      </c>
      <c r="H46" s="6">
        <f t="shared" si="1"/>
        <v>60.800000000000004</v>
      </c>
    </row>
    <row r="47" spans="2:8" ht="13.5">
      <c r="B47" s="6" t="s">
        <v>40</v>
      </c>
      <c r="C47" s="12">
        <f aca="true" t="shared" si="2" ref="C47:H47">$C$25*(C41/100)*C42*C43</f>
        <v>11.200000000000001</v>
      </c>
      <c r="D47" s="12">
        <f t="shared" si="2"/>
        <v>22.400000000000002</v>
      </c>
      <c r="E47" s="12">
        <f t="shared" si="2"/>
        <v>22.400000000000002</v>
      </c>
      <c r="F47" s="12">
        <f t="shared" si="2"/>
        <v>1320</v>
      </c>
      <c r="G47" s="12">
        <f t="shared" si="2"/>
        <v>1320</v>
      </c>
      <c r="H47" s="12">
        <f t="shared" si="2"/>
        <v>1320</v>
      </c>
    </row>
    <row r="48" spans="2:8" ht="14.25" thickBot="1">
      <c r="B48" s="7" t="s">
        <v>41</v>
      </c>
      <c r="C48" s="10">
        <f aca="true" t="shared" si="3" ref="C48:H48">C45+C46+C47</f>
        <v>31213.12</v>
      </c>
      <c r="D48" s="10">
        <f t="shared" si="3"/>
        <v>44826.23999999999</v>
      </c>
      <c r="E48" s="10">
        <f t="shared" si="3"/>
        <v>58226.24000000001</v>
      </c>
      <c r="F48" s="10">
        <f t="shared" si="3"/>
        <v>12780.8</v>
      </c>
      <c r="G48" s="10">
        <f t="shared" si="3"/>
        <v>17640.8</v>
      </c>
      <c r="H48" s="10">
        <f t="shared" si="3"/>
        <v>22020.8</v>
      </c>
    </row>
    <row r="49" spans="2:8" ht="14.25" thickTop="1">
      <c r="B49" s="9" t="s">
        <v>42</v>
      </c>
      <c r="C49" s="37">
        <f>C48/(3*86400*2)*1000</f>
        <v>60.21049382716049</v>
      </c>
      <c r="D49" s="37">
        <f>D48/(3*86400*3)*1000</f>
        <v>57.6469135802469</v>
      </c>
      <c r="E49" s="37">
        <f>E48/(3*86400*4)*1000</f>
        <v>56.15956790123458</v>
      </c>
      <c r="F49" s="37">
        <f>F48/(3*86400*2)*1000</f>
        <v>24.65432098765432</v>
      </c>
      <c r="G49" s="37">
        <f>G48/(3*86400*3)*1000</f>
        <v>22.686213991769545</v>
      </c>
      <c r="H49" s="37">
        <f>H48/(3*86400*4)*1000</f>
        <v>21.239197530864196</v>
      </c>
    </row>
  </sheetData>
  <sheetProtection/>
  <mergeCells count="8">
    <mergeCell ref="B7:B9"/>
    <mergeCell ref="C7:C9"/>
    <mergeCell ref="B14:B16"/>
    <mergeCell ref="C14:C16"/>
    <mergeCell ref="C35:E35"/>
    <mergeCell ref="F35:H35"/>
    <mergeCell ref="B17:B19"/>
    <mergeCell ref="C17:D1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41"/>
  <sheetViews>
    <sheetView zoomScalePageLayoutView="0" workbookViewId="0" topLeftCell="A34">
      <selection activeCell="E39" sqref="E39"/>
    </sheetView>
  </sheetViews>
  <sheetFormatPr defaultColWidth="9.00390625" defaultRowHeight="13.5"/>
  <cols>
    <col min="1" max="1" width="2.50390625" style="0" customWidth="1"/>
    <col min="2" max="2" width="13.75390625" style="0" customWidth="1"/>
    <col min="3" max="3" width="11.25390625" style="0" customWidth="1"/>
  </cols>
  <sheetData>
    <row r="2" spans="2:3" ht="13.5">
      <c r="B2" s="149" t="s">
        <v>190</v>
      </c>
      <c r="C2" s="149"/>
    </row>
    <row r="3" ht="13.5">
      <c r="B3" t="s">
        <v>172</v>
      </c>
    </row>
    <row r="5" spans="2:8" ht="13.5">
      <c r="B5" s="4" t="s">
        <v>53</v>
      </c>
      <c r="C5" s="4"/>
      <c r="D5" s="4"/>
      <c r="E5" s="182" t="s">
        <v>0</v>
      </c>
      <c r="F5" s="182"/>
      <c r="G5" s="182" t="s">
        <v>1</v>
      </c>
      <c r="H5" s="182"/>
    </row>
    <row r="6" spans="2:8" ht="13.5">
      <c r="B6" s="13" t="s">
        <v>84</v>
      </c>
      <c r="C6" s="182" t="s">
        <v>3</v>
      </c>
      <c r="D6" s="182"/>
      <c r="E6" s="182">
        <v>37.5</v>
      </c>
      <c r="F6" s="182"/>
      <c r="G6" s="182">
        <v>37.5</v>
      </c>
      <c r="H6" s="182"/>
    </row>
    <row r="7" spans="2:8" ht="13.5">
      <c r="B7" s="13" t="s">
        <v>85</v>
      </c>
      <c r="C7" s="183" t="s">
        <v>70</v>
      </c>
      <c r="D7" s="182"/>
      <c r="E7" s="182">
        <v>0.02</v>
      </c>
      <c r="F7" s="182"/>
      <c r="G7" s="182">
        <v>0.02</v>
      </c>
      <c r="H7" s="182"/>
    </row>
    <row r="8" spans="2:8" ht="13.5">
      <c r="B8" s="187" t="s">
        <v>86</v>
      </c>
      <c r="C8" s="187" t="s">
        <v>17</v>
      </c>
      <c r="D8" s="187"/>
      <c r="E8" s="182" t="s">
        <v>68</v>
      </c>
      <c r="F8" s="182"/>
      <c r="G8" s="187">
        <v>1.7</v>
      </c>
      <c r="H8" s="187"/>
    </row>
    <row r="9" spans="2:8" ht="13.5">
      <c r="B9" s="191"/>
      <c r="C9" s="191"/>
      <c r="D9" s="191"/>
      <c r="E9" s="182" t="s">
        <v>69</v>
      </c>
      <c r="F9" s="182"/>
      <c r="G9" s="191"/>
      <c r="H9" s="191"/>
    </row>
    <row r="10" spans="2:8" ht="13.5">
      <c r="B10" s="13" t="s">
        <v>54</v>
      </c>
      <c r="C10" s="182" t="s">
        <v>18</v>
      </c>
      <c r="D10" s="182"/>
      <c r="E10" s="182">
        <v>0.12</v>
      </c>
      <c r="F10" s="182"/>
      <c r="G10" s="182">
        <v>0.6</v>
      </c>
      <c r="H10" s="182"/>
    </row>
    <row r="11" spans="2:8" ht="13.5">
      <c r="B11" s="13" t="s">
        <v>87</v>
      </c>
      <c r="C11" s="182" t="s">
        <v>71</v>
      </c>
      <c r="D11" s="182"/>
      <c r="E11" s="182" t="s">
        <v>88</v>
      </c>
      <c r="F11" s="182"/>
      <c r="G11" s="182">
        <v>1</v>
      </c>
      <c r="H11" s="182"/>
    </row>
    <row r="12" spans="2:8" ht="13.5">
      <c r="B12" s="182" t="s">
        <v>89</v>
      </c>
      <c r="C12" s="184" t="s">
        <v>21</v>
      </c>
      <c r="D12" s="187"/>
      <c r="E12" s="182" t="s">
        <v>67</v>
      </c>
      <c r="F12" s="182"/>
      <c r="G12" s="182" t="s">
        <v>25</v>
      </c>
      <c r="H12" s="182"/>
    </row>
    <row r="13" spans="2:8" ht="13.5">
      <c r="B13" s="182"/>
      <c r="C13" s="190"/>
      <c r="D13" s="191"/>
      <c r="E13" s="182" t="s">
        <v>26</v>
      </c>
      <c r="F13" s="182"/>
      <c r="G13" s="182" t="s">
        <v>26</v>
      </c>
      <c r="H13" s="182"/>
    </row>
    <row r="15" ht="14.25" thickBot="1"/>
    <row r="16" spans="2:3" ht="15" thickBot="1" thickTop="1">
      <c r="B16" s="144" t="s">
        <v>183</v>
      </c>
      <c r="C16" s="179"/>
    </row>
    <row r="17" ht="15" thickBot="1" thickTop="1"/>
    <row r="18" spans="2:8" ht="15" thickBot="1" thickTop="1">
      <c r="B18" s="131" t="s">
        <v>182</v>
      </c>
      <c r="C18" s="143" t="s">
        <v>181</v>
      </c>
      <c r="D18" s="159"/>
      <c r="E18" s="160"/>
      <c r="F18" s="160"/>
      <c r="G18" s="160"/>
      <c r="H18" s="161"/>
    </row>
    <row r="19" spans="2:8" ht="15" thickBot="1" thickTop="1">
      <c r="B19" s="135" t="s">
        <v>28</v>
      </c>
      <c r="C19" s="179">
        <v>35</v>
      </c>
      <c r="D19" s="162"/>
      <c r="E19" s="46"/>
      <c r="F19" s="46"/>
      <c r="G19" s="46"/>
      <c r="H19" s="163"/>
    </row>
    <row r="20" spans="2:8" ht="15" thickBot="1" thickTop="1">
      <c r="B20" s="164" t="s">
        <v>81</v>
      </c>
      <c r="C20" s="46"/>
      <c r="D20" s="4"/>
      <c r="E20" s="4"/>
      <c r="F20" s="127"/>
      <c r="G20" s="128" t="s">
        <v>90</v>
      </c>
      <c r="H20" s="179">
        <v>0.1</v>
      </c>
    </row>
    <row r="21" spans="2:8" ht="15" thickBot="1" thickTop="1">
      <c r="B21" s="145" t="s">
        <v>82</v>
      </c>
      <c r="C21" s="6"/>
      <c r="D21" s="6"/>
      <c r="E21" s="6"/>
      <c r="F21" s="6"/>
      <c r="G21" s="128" t="s">
        <v>90</v>
      </c>
      <c r="H21" s="179">
        <v>1</v>
      </c>
    </row>
    <row r="22" spans="2:8" ht="15" thickBot="1" thickTop="1">
      <c r="B22" s="146" t="s">
        <v>83</v>
      </c>
      <c r="C22" s="147"/>
      <c r="D22" s="147"/>
      <c r="E22" s="147"/>
      <c r="F22" s="147"/>
      <c r="G22" s="148" t="s">
        <v>91</v>
      </c>
      <c r="H22" s="179">
        <v>0.1</v>
      </c>
    </row>
    <row r="24" spans="2:8" ht="13.5">
      <c r="B24" s="6" t="s">
        <v>43</v>
      </c>
      <c r="C24" s="3" t="s">
        <v>44</v>
      </c>
      <c r="D24" s="3" t="s">
        <v>45</v>
      </c>
      <c r="E24" s="3" t="s">
        <v>46</v>
      </c>
      <c r="F24" s="3" t="s">
        <v>52</v>
      </c>
      <c r="G24" s="3" t="s">
        <v>47</v>
      </c>
      <c r="H24" s="3" t="s">
        <v>55</v>
      </c>
    </row>
    <row r="25" spans="2:8" ht="13.5">
      <c r="B25" s="6" t="s">
        <v>29</v>
      </c>
      <c r="C25" s="6" t="s">
        <v>56</v>
      </c>
      <c r="D25" s="6">
        <v>96</v>
      </c>
      <c r="E25" s="6"/>
      <c r="F25" s="6">
        <f>E25*1000</f>
        <v>0</v>
      </c>
      <c r="G25" s="6">
        <v>10</v>
      </c>
      <c r="H25" s="6">
        <f>F25/G25</f>
        <v>0</v>
      </c>
    </row>
    <row r="26" spans="2:8" ht="13.5">
      <c r="B26" s="6" t="s">
        <v>30</v>
      </c>
      <c r="C26" s="6" t="s">
        <v>57</v>
      </c>
      <c r="D26" s="6">
        <v>48</v>
      </c>
      <c r="E26" s="6"/>
      <c r="F26" s="6">
        <f>E26*1000</f>
        <v>0</v>
      </c>
      <c r="G26" s="6">
        <v>10</v>
      </c>
      <c r="H26" s="6">
        <f>F26/G26</f>
        <v>0</v>
      </c>
    </row>
    <row r="27" spans="2:8" ht="13.5">
      <c r="B27" s="6" t="s">
        <v>31</v>
      </c>
      <c r="C27" s="6" t="s">
        <v>51</v>
      </c>
      <c r="D27" s="6">
        <v>72</v>
      </c>
      <c r="E27" s="6"/>
      <c r="F27" s="6">
        <f>E27*1000</f>
        <v>0</v>
      </c>
      <c r="G27" s="6">
        <v>1</v>
      </c>
      <c r="H27" s="6">
        <f>F27/G27</f>
        <v>0</v>
      </c>
    </row>
    <row r="29" spans="2:8" ht="13.5">
      <c r="B29" s="6"/>
      <c r="C29" s="185" t="s">
        <v>0</v>
      </c>
      <c r="D29" s="182"/>
      <c r="E29" s="186"/>
      <c r="F29" s="185" t="s">
        <v>1</v>
      </c>
      <c r="G29" s="182"/>
      <c r="H29" s="186"/>
    </row>
    <row r="30" spans="2:8" s="1" customFormat="1" ht="13.5">
      <c r="B30" s="3" t="s">
        <v>58</v>
      </c>
      <c r="C30" s="3" t="s">
        <v>59</v>
      </c>
      <c r="D30" s="3" t="s">
        <v>60</v>
      </c>
      <c r="E30" s="3" t="s">
        <v>61</v>
      </c>
      <c r="F30" s="3" t="s">
        <v>59</v>
      </c>
      <c r="G30" s="3" t="s">
        <v>60</v>
      </c>
      <c r="H30" s="3" t="s">
        <v>61</v>
      </c>
    </row>
    <row r="31" spans="2:8" ht="13.5">
      <c r="B31" s="6" t="s">
        <v>84</v>
      </c>
      <c r="C31" s="6">
        <v>37.5</v>
      </c>
      <c r="D31" s="6">
        <v>37.5</v>
      </c>
      <c r="E31" s="6">
        <v>37.5</v>
      </c>
      <c r="F31" s="6">
        <v>37.5</v>
      </c>
      <c r="G31" s="6">
        <v>37.5</v>
      </c>
      <c r="H31" s="6">
        <v>37.5</v>
      </c>
    </row>
    <row r="32" spans="2:8" ht="13.5">
      <c r="B32" s="6" t="s">
        <v>92</v>
      </c>
      <c r="C32" s="6">
        <v>0.02</v>
      </c>
      <c r="D32" s="6">
        <v>0.02</v>
      </c>
      <c r="E32" s="6">
        <v>0.02</v>
      </c>
      <c r="F32" s="6">
        <v>0.02</v>
      </c>
      <c r="G32" s="6">
        <v>0.02</v>
      </c>
      <c r="H32" s="6">
        <v>0.02</v>
      </c>
    </row>
    <row r="33" spans="2:8" ht="13.5">
      <c r="B33" s="6" t="s">
        <v>62</v>
      </c>
      <c r="C33" s="6">
        <f>dr</f>
        <v>0.1</v>
      </c>
      <c r="D33" s="6">
        <f>dr</f>
        <v>0.1</v>
      </c>
      <c r="E33" s="6">
        <f>dr</f>
        <v>0.1</v>
      </c>
      <c r="F33" s="6">
        <v>1.7</v>
      </c>
      <c r="G33" s="6">
        <v>1.7</v>
      </c>
      <c r="H33" s="6">
        <v>1.7</v>
      </c>
    </row>
    <row r="34" spans="2:8" ht="13.5">
      <c r="B34" s="6" t="s">
        <v>63</v>
      </c>
      <c r="C34" s="6">
        <v>0.12</v>
      </c>
      <c r="D34" s="6">
        <v>0.12</v>
      </c>
      <c r="E34" s="6">
        <v>0.12</v>
      </c>
      <c r="F34" s="6">
        <v>0.6</v>
      </c>
      <c r="G34" s="6">
        <v>0.6</v>
      </c>
      <c r="H34" s="6">
        <v>0.6</v>
      </c>
    </row>
    <row r="35" spans="2:8" ht="13.5">
      <c r="B35" s="6" t="s">
        <v>93</v>
      </c>
      <c r="C35" s="6">
        <v>2</v>
      </c>
      <c r="D35" s="6">
        <v>3</v>
      </c>
      <c r="E35" s="6">
        <v>4</v>
      </c>
      <c r="F35" s="6">
        <v>1</v>
      </c>
      <c r="G35" s="6">
        <v>1</v>
      </c>
      <c r="H35" s="6">
        <v>1</v>
      </c>
    </row>
    <row r="36" spans="2:8" ht="14.25" thickBot="1">
      <c r="B36" s="7" t="s">
        <v>94</v>
      </c>
      <c r="C36" s="7">
        <f>fu</f>
        <v>0.1</v>
      </c>
      <c r="D36" s="7">
        <f>fu</f>
        <v>0.1</v>
      </c>
      <c r="E36" s="7">
        <f>fu</f>
        <v>0.1</v>
      </c>
      <c r="F36" s="7">
        <f>fua</f>
        <v>1</v>
      </c>
      <c r="G36" s="7">
        <f>fua</f>
        <v>1</v>
      </c>
      <c r="H36" s="7">
        <f>fua</f>
        <v>1</v>
      </c>
    </row>
    <row r="37" spans="2:8" ht="14.25" thickTop="1">
      <c r="B37" s="8" t="s">
        <v>64</v>
      </c>
      <c r="C37" s="11">
        <f aca="true" t="shared" si="0" ref="C37:H37">$C$19*(C32/100)*C31*C36</f>
        <v>0.026250000000000002</v>
      </c>
      <c r="D37" s="11">
        <f t="shared" si="0"/>
        <v>0.026250000000000002</v>
      </c>
      <c r="E37" s="11">
        <f t="shared" si="0"/>
        <v>0.026250000000000002</v>
      </c>
      <c r="F37" s="11">
        <f t="shared" si="0"/>
        <v>0.2625</v>
      </c>
      <c r="G37" s="11">
        <f t="shared" si="0"/>
        <v>0.2625</v>
      </c>
      <c r="H37" s="11">
        <f t="shared" si="0"/>
        <v>0.2625</v>
      </c>
    </row>
    <row r="38" spans="2:8" ht="14.25" thickBot="1">
      <c r="B38" s="6" t="s">
        <v>65</v>
      </c>
      <c r="C38" s="7">
        <f aca="true" t="shared" si="1" ref="C38:H38">$C$19*(C33/100)*C34*C35</f>
        <v>0.008400000000000001</v>
      </c>
      <c r="D38" s="7">
        <f t="shared" si="1"/>
        <v>0.012600000000000002</v>
      </c>
      <c r="E38" s="7">
        <f t="shared" si="1"/>
        <v>0.016800000000000002</v>
      </c>
      <c r="F38" s="7">
        <f t="shared" si="1"/>
        <v>0.35700000000000004</v>
      </c>
      <c r="G38" s="7">
        <f t="shared" si="1"/>
        <v>0.35700000000000004</v>
      </c>
      <c r="H38" s="7">
        <f t="shared" si="1"/>
        <v>0.35700000000000004</v>
      </c>
    </row>
    <row r="39" spans="2:8" ht="15" thickBot="1" thickTop="1">
      <c r="B39" s="9" t="s">
        <v>95</v>
      </c>
      <c r="C39" s="14">
        <f>C37/(11*86400*2)*1000</f>
        <v>1.3809974747474748E-05</v>
      </c>
      <c r="D39" s="14">
        <f>D37/(11*86400*3)*1000</f>
        <v>9.206649831649833E-06</v>
      </c>
      <c r="E39" s="14">
        <f>E37/(11*86400*4)*1000</f>
        <v>6.904987373737374E-06</v>
      </c>
      <c r="F39" s="14">
        <f>F37/(11*86400*2)*1000</f>
        <v>0.00013809974747474747</v>
      </c>
      <c r="G39" s="14">
        <f>G37/(11*86400*3)*1000</f>
        <v>9.206649831649833E-05</v>
      </c>
      <c r="H39" s="14">
        <f>H37/(11*86400*4)*1000</f>
        <v>6.904987373737373E-05</v>
      </c>
    </row>
    <row r="40" spans="2:8" ht="15" thickBot="1" thickTop="1">
      <c r="B40" s="9" t="s">
        <v>96</v>
      </c>
      <c r="C40" s="14">
        <f>C38/(3*86400*2)*1000</f>
        <v>1.6203703703703704E-05</v>
      </c>
      <c r="D40" s="14">
        <f>D38/(3*86400*3)*1000</f>
        <v>1.6203703703703704E-05</v>
      </c>
      <c r="E40" s="14">
        <f>E38/(3*86400*4)*1000</f>
        <v>1.6203703703703704E-05</v>
      </c>
      <c r="F40" s="14">
        <f>F38/(3*86400*2)*1000</f>
        <v>0.0006886574074074075</v>
      </c>
      <c r="G40" s="14">
        <f>G38/(3*86400*3)*1000</f>
        <v>0.000459104938271605</v>
      </c>
      <c r="H40" s="14">
        <f>H38/(3*86400*4)*1000</f>
        <v>0.00034432870370370373</v>
      </c>
    </row>
    <row r="41" spans="2:8" ht="14.25" thickTop="1">
      <c r="B41" s="9" t="s">
        <v>66</v>
      </c>
      <c r="C41" s="36">
        <f aca="true" t="shared" si="2" ref="C41:H41">IF(C39&gt;C40,C39,C40)</f>
        <v>1.6203703703703704E-05</v>
      </c>
      <c r="D41" s="36">
        <f t="shared" si="2"/>
        <v>1.6203703703703704E-05</v>
      </c>
      <c r="E41" s="36">
        <f t="shared" si="2"/>
        <v>1.6203703703703704E-05</v>
      </c>
      <c r="F41" s="36">
        <f t="shared" si="2"/>
        <v>0.0006886574074074075</v>
      </c>
      <c r="G41" s="36">
        <f t="shared" si="2"/>
        <v>0.000459104938271605</v>
      </c>
      <c r="H41" s="36">
        <f t="shared" si="2"/>
        <v>0.00034432870370370373</v>
      </c>
    </row>
  </sheetData>
  <sheetProtection/>
  <mergeCells count="27">
    <mergeCell ref="E11:F11"/>
    <mergeCell ref="G10:H10"/>
    <mergeCell ref="G11:H11"/>
    <mergeCell ref="E5:F5"/>
    <mergeCell ref="E10:F10"/>
    <mergeCell ref="E6:F6"/>
    <mergeCell ref="E7:F7"/>
    <mergeCell ref="G8:H9"/>
    <mergeCell ref="G5:H5"/>
    <mergeCell ref="G6:H6"/>
    <mergeCell ref="F29:H29"/>
    <mergeCell ref="B12:B13"/>
    <mergeCell ref="C12:D13"/>
    <mergeCell ref="E12:F12"/>
    <mergeCell ref="E13:F13"/>
    <mergeCell ref="C10:D10"/>
    <mergeCell ref="C11:D11"/>
    <mergeCell ref="G12:H12"/>
    <mergeCell ref="C29:E29"/>
    <mergeCell ref="G13:H13"/>
    <mergeCell ref="G7:H7"/>
    <mergeCell ref="B8:B9"/>
    <mergeCell ref="C8:D9"/>
    <mergeCell ref="E8:F8"/>
    <mergeCell ref="E9:F9"/>
    <mergeCell ref="C6:D6"/>
    <mergeCell ref="C7:D7"/>
  </mergeCells>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1:AN41"/>
  <sheetViews>
    <sheetView showGridLines="0" view="pageBreakPreview" zoomScaleSheetLayoutView="100" zoomScalePageLayoutView="0" workbookViewId="0" topLeftCell="A11">
      <selection activeCell="F14" sqref="F14"/>
    </sheetView>
  </sheetViews>
  <sheetFormatPr defaultColWidth="9.00390625" defaultRowHeight="13.5"/>
  <cols>
    <col min="1" max="1" width="2.50390625" style="124" customWidth="1"/>
    <col min="2" max="2" width="10.00390625" style="0" customWidth="1"/>
    <col min="3" max="5" width="6.25390625" style="0" customWidth="1"/>
    <col min="6" max="6" width="12.00390625" style="0" customWidth="1"/>
    <col min="7" max="11" width="6.375" style="0" customWidth="1"/>
    <col min="12" max="12" width="5.875" style="0" customWidth="1"/>
    <col min="13" max="31" width="6.375" style="0" customWidth="1"/>
    <col min="32" max="32" width="9.375" style="0" customWidth="1"/>
    <col min="37" max="37" width="13.625" style="0" customWidth="1"/>
    <col min="38" max="38" width="11.375" style="0" customWidth="1"/>
    <col min="39" max="39" width="14.25390625" style="0" customWidth="1"/>
  </cols>
  <sheetData>
    <row r="1" ht="13.5" customHeight="1">
      <c r="B1" s="149" t="s">
        <v>188</v>
      </c>
    </row>
    <row r="2" spans="2:4" ht="13.5" customHeight="1">
      <c r="B2" s="149" t="s">
        <v>174</v>
      </c>
      <c r="C2" s="149"/>
      <c r="D2" s="149"/>
    </row>
    <row r="3" spans="2:6" ht="13.5">
      <c r="B3" s="119" t="s">
        <v>172</v>
      </c>
      <c r="C3" s="119"/>
      <c r="D3" s="119"/>
      <c r="E3" s="119"/>
      <c r="F3" s="120"/>
    </row>
    <row r="4" spans="2:13" ht="13.5">
      <c r="B4" s="151" t="s">
        <v>185</v>
      </c>
      <c r="C4" s="152"/>
      <c r="D4" s="152"/>
      <c r="E4" s="153"/>
      <c r="F4" s="154"/>
      <c r="G4" s="29"/>
      <c r="H4" s="29"/>
      <c r="I4" s="29"/>
      <c r="J4" s="29"/>
      <c r="M4" t="s">
        <v>184</v>
      </c>
    </row>
    <row r="5" spans="2:16" ht="11.25" customHeight="1">
      <c r="B5" s="155" t="s">
        <v>186</v>
      </c>
      <c r="C5" s="156"/>
      <c r="D5" s="156"/>
      <c r="E5" s="157"/>
      <c r="F5" s="158"/>
      <c r="G5" s="29"/>
      <c r="H5" s="29"/>
      <c r="I5" s="29"/>
      <c r="J5" s="29"/>
      <c r="K5" s="29"/>
      <c r="M5" s="126" t="s">
        <v>179</v>
      </c>
      <c r="N5" s="127"/>
      <c r="O5" s="125" t="s">
        <v>100</v>
      </c>
      <c r="P5" s="125" t="s">
        <v>101</v>
      </c>
    </row>
    <row r="6" spans="2:16" ht="14.25" customHeight="1" thickBot="1">
      <c r="B6" s="121"/>
      <c r="C6" s="122"/>
      <c r="D6" s="122"/>
      <c r="E6" s="123"/>
      <c r="F6" s="122"/>
      <c r="G6" s="29"/>
      <c r="H6" s="29"/>
      <c r="I6" s="29"/>
      <c r="J6" s="29"/>
      <c r="M6" s="128" t="s">
        <v>178</v>
      </c>
      <c r="N6" s="127"/>
      <c r="O6" s="6">
        <v>2000</v>
      </c>
      <c r="P6" s="6" t="s">
        <v>175</v>
      </c>
    </row>
    <row r="7" spans="2:16" ht="13.5" customHeight="1" thickBot="1" thickTop="1">
      <c r="B7" s="150" t="s">
        <v>187</v>
      </c>
      <c r="C7" s="179"/>
      <c r="D7" s="122"/>
      <c r="E7" s="122"/>
      <c r="F7" s="122"/>
      <c r="G7" s="29"/>
      <c r="H7" s="29"/>
      <c r="I7" s="29"/>
      <c r="J7" s="29"/>
      <c r="M7" s="128" t="s">
        <v>135</v>
      </c>
      <c r="N7" s="127"/>
      <c r="O7" s="6">
        <v>1</v>
      </c>
      <c r="P7" s="6" t="s">
        <v>176</v>
      </c>
    </row>
    <row r="8" spans="2:16" ht="14.25" thickTop="1">
      <c r="B8" s="119"/>
      <c r="C8" s="119"/>
      <c r="D8" s="119"/>
      <c r="E8" s="119"/>
      <c r="F8" s="119"/>
      <c r="M8" s="128" t="s">
        <v>108</v>
      </c>
      <c r="N8" s="127"/>
      <c r="O8" s="6">
        <v>1.2</v>
      </c>
      <c r="P8" s="6" t="s">
        <v>109</v>
      </c>
    </row>
    <row r="9" spans="2:16" ht="13.5" customHeight="1">
      <c r="B9" t="s">
        <v>107</v>
      </c>
      <c r="M9" s="128" t="s">
        <v>111</v>
      </c>
      <c r="N9" s="127"/>
      <c r="O9" s="6">
        <v>1</v>
      </c>
      <c r="P9" s="6" t="s">
        <v>177</v>
      </c>
    </row>
    <row r="10" spans="2:16" ht="14.25" thickBot="1">
      <c r="B10" s="125" t="s">
        <v>110</v>
      </c>
      <c r="C10" s="177" t="s">
        <v>100</v>
      </c>
      <c r="D10" s="125" t="s">
        <v>101</v>
      </c>
      <c r="M10" s="129" t="s">
        <v>114</v>
      </c>
      <c r="N10" s="127"/>
      <c r="O10" s="6">
        <v>2.4</v>
      </c>
      <c r="P10" s="6" t="s">
        <v>115</v>
      </c>
    </row>
    <row r="11" spans="2:16" ht="15" thickBot="1" thickTop="1">
      <c r="B11" s="128" t="s">
        <v>112</v>
      </c>
      <c r="C11" s="176">
        <v>500</v>
      </c>
      <c r="D11" s="127" t="s">
        <v>113</v>
      </c>
      <c r="E11" s="49" t="s">
        <v>171</v>
      </c>
      <c r="M11" s="129" t="s">
        <v>117</v>
      </c>
      <c r="N11" s="127"/>
      <c r="O11" s="6">
        <v>2.9</v>
      </c>
      <c r="P11" s="6" t="s">
        <v>118</v>
      </c>
    </row>
    <row r="12" spans="2:4" ht="15" thickBot="1" thickTop="1">
      <c r="B12" s="128" t="s">
        <v>116</v>
      </c>
      <c r="C12" s="176">
        <v>3</v>
      </c>
      <c r="D12" s="49" t="s">
        <v>166</v>
      </c>
    </row>
    <row r="13" spans="2:16" ht="15" thickBot="1" thickTop="1">
      <c r="B13" s="128" t="s">
        <v>119</v>
      </c>
      <c r="C13" s="176">
        <v>6</v>
      </c>
      <c r="D13" s="127" t="s">
        <v>104</v>
      </c>
      <c r="P13" s="22"/>
    </row>
    <row r="14" spans="2:12" ht="15" thickBot="1" thickTop="1">
      <c r="B14" s="128" t="s">
        <v>98</v>
      </c>
      <c r="C14" s="176">
        <v>800</v>
      </c>
      <c r="D14" s="127"/>
      <c r="L14" s="49" t="s">
        <v>102</v>
      </c>
    </row>
    <row r="15" spans="2:33" ht="15" thickBot="1" thickTop="1">
      <c r="B15" s="6" t="s">
        <v>130</v>
      </c>
      <c r="C15" s="12">
        <f>(Plevee/rws)*Koc*(Oclevee/100)+1</f>
        <v>10.666666666666668</v>
      </c>
      <c r="D15" s="6"/>
      <c r="F15" s="23"/>
      <c r="G15" s="185" t="s">
        <v>169</v>
      </c>
      <c r="H15" s="182"/>
      <c r="I15" s="182"/>
      <c r="J15" s="186"/>
      <c r="L15" s="200" t="s">
        <v>103</v>
      </c>
      <c r="M15" s="200"/>
      <c r="N15" s="201"/>
      <c r="O15" s="176">
        <v>2</v>
      </c>
      <c r="P15" s="127" t="s">
        <v>133</v>
      </c>
      <c r="Q15" s="20" t="s">
        <v>134</v>
      </c>
      <c r="R15">
        <f>IF(dth="",0,LN(2)/dth)</f>
        <v>0.34657359027997264</v>
      </c>
      <c r="W15" s="18"/>
      <c r="AB15" s="18"/>
      <c r="AG15" s="24"/>
    </row>
    <row r="16" spans="2:19" ht="15" thickBot="1" thickTop="1">
      <c r="B16" s="48" t="s">
        <v>120</v>
      </c>
      <c r="C16" s="6"/>
      <c r="D16" s="128"/>
      <c r="E16" s="176">
        <v>0</v>
      </c>
      <c r="G16" s="27" t="s">
        <v>140</v>
      </c>
      <c r="H16" s="6">
        <f>IF(E16=0,0,0.3)</f>
        <v>0</v>
      </c>
      <c r="I16" s="6" t="s">
        <v>141</v>
      </c>
      <c r="J16" s="6">
        <f>IF(E16=0,0,4)</f>
        <v>0</v>
      </c>
      <c r="L16" s="200" t="s">
        <v>106</v>
      </c>
      <c r="M16" s="200"/>
      <c r="N16" s="201"/>
      <c r="O16" s="176">
        <v>1</v>
      </c>
      <c r="P16" s="127" t="s">
        <v>137</v>
      </c>
      <c r="Q16" s="20" t="s">
        <v>138</v>
      </c>
      <c r="R16">
        <f>IF(dtp="",0,LN(2)/dtp)</f>
        <v>0.6931471805599453</v>
      </c>
      <c r="S16" s="24"/>
    </row>
    <row r="17" spans="12:36" ht="15" thickBot="1" thickTop="1">
      <c r="L17" s="78"/>
      <c r="M17" s="78"/>
      <c r="N17" s="78"/>
      <c r="O17" s="82"/>
      <c r="P17" s="78"/>
      <c r="Q17" s="81" t="s">
        <v>139</v>
      </c>
      <c r="R17" s="82">
        <f>R15+R16</f>
        <v>1.0397207708399179</v>
      </c>
      <c r="S17" s="82"/>
      <c r="T17" s="82"/>
      <c r="U17" s="82"/>
      <c r="V17" s="82"/>
      <c r="W17" s="82"/>
      <c r="X17" s="82"/>
      <c r="Y17" s="82"/>
      <c r="Z17" s="82"/>
      <c r="AA17" s="82"/>
      <c r="AB17" s="82"/>
      <c r="AC17" s="82"/>
      <c r="AD17" s="82"/>
      <c r="AE17" s="82"/>
      <c r="AF17" s="82"/>
      <c r="AG17" s="82"/>
      <c r="AH17" s="82"/>
      <c r="AI17" s="82"/>
      <c r="AJ17" s="29"/>
    </row>
    <row r="18" spans="2:36" ht="20.25" customHeight="1" thickTop="1">
      <c r="B18" s="203" t="s">
        <v>72</v>
      </c>
      <c r="C18" s="194" t="s">
        <v>121</v>
      </c>
      <c r="D18" s="195"/>
      <c r="E18" s="195"/>
      <c r="F18" s="202"/>
      <c r="G18" s="194" t="s">
        <v>122</v>
      </c>
      <c r="H18" s="195"/>
      <c r="I18" s="195"/>
      <c r="J18" s="195"/>
      <c r="K18" s="196"/>
      <c r="L18" s="194" t="s">
        <v>143</v>
      </c>
      <c r="M18" s="195"/>
      <c r="N18" s="195"/>
      <c r="O18" s="195"/>
      <c r="P18" s="196"/>
      <c r="Q18" s="194" t="s">
        <v>145</v>
      </c>
      <c r="R18" s="195"/>
      <c r="S18" s="195"/>
      <c r="T18" s="195"/>
      <c r="U18" s="196"/>
      <c r="V18" s="194" t="s">
        <v>147</v>
      </c>
      <c r="W18" s="195"/>
      <c r="X18" s="195"/>
      <c r="Y18" s="195"/>
      <c r="Z18" s="196"/>
      <c r="AA18" s="194" t="s">
        <v>149</v>
      </c>
      <c r="AB18" s="195"/>
      <c r="AC18" s="195"/>
      <c r="AD18" s="195"/>
      <c r="AE18" s="196"/>
      <c r="AF18" s="107" t="s">
        <v>151</v>
      </c>
      <c r="AG18" s="195" t="s">
        <v>123</v>
      </c>
      <c r="AH18" s="195"/>
      <c r="AI18" s="196"/>
      <c r="AJ18" s="58"/>
    </row>
    <row r="19" spans="2:39" ht="27" customHeight="1" thickBot="1">
      <c r="B19" s="204"/>
      <c r="C19" s="197" t="s">
        <v>167</v>
      </c>
      <c r="D19" s="184"/>
      <c r="E19" s="198"/>
      <c r="F19" s="65" t="s">
        <v>124</v>
      </c>
      <c r="G19" s="80" t="s">
        <v>73</v>
      </c>
      <c r="H19" s="15" t="s">
        <v>74</v>
      </c>
      <c r="I19" s="15" t="s">
        <v>75</v>
      </c>
      <c r="J19" s="15" t="s">
        <v>76</v>
      </c>
      <c r="K19" s="75" t="s">
        <v>77</v>
      </c>
      <c r="L19" s="60" t="s">
        <v>73</v>
      </c>
      <c r="M19" s="15" t="s">
        <v>74</v>
      </c>
      <c r="N19" s="15" t="s">
        <v>75</v>
      </c>
      <c r="O19" s="15" t="s">
        <v>76</v>
      </c>
      <c r="P19" s="75" t="s">
        <v>77</v>
      </c>
      <c r="Q19" s="60" t="s">
        <v>73</v>
      </c>
      <c r="R19" s="15" t="s">
        <v>74</v>
      </c>
      <c r="S19" s="15" t="s">
        <v>75</v>
      </c>
      <c r="T19" s="15" t="s">
        <v>76</v>
      </c>
      <c r="U19" s="75" t="s">
        <v>77</v>
      </c>
      <c r="V19" s="60" t="s">
        <v>73</v>
      </c>
      <c r="W19" s="15" t="s">
        <v>74</v>
      </c>
      <c r="X19" s="15" t="s">
        <v>75</v>
      </c>
      <c r="Y19" s="15" t="s">
        <v>76</v>
      </c>
      <c r="Z19" s="75" t="s">
        <v>77</v>
      </c>
      <c r="AA19" s="60" t="s">
        <v>73</v>
      </c>
      <c r="AB19" s="15" t="s">
        <v>74</v>
      </c>
      <c r="AC19" s="15" t="s">
        <v>75</v>
      </c>
      <c r="AD19" s="15" t="s">
        <v>76</v>
      </c>
      <c r="AE19" s="75" t="s">
        <v>77</v>
      </c>
      <c r="AF19" s="108"/>
      <c r="AG19" s="101" t="s">
        <v>125</v>
      </c>
      <c r="AH19" s="25" t="s">
        <v>126</v>
      </c>
      <c r="AI19" s="94" t="s">
        <v>127</v>
      </c>
      <c r="AJ19" s="39"/>
      <c r="AK19" s="39" t="s">
        <v>161</v>
      </c>
      <c r="AL19" s="39" t="s">
        <v>162</v>
      </c>
      <c r="AM19" s="39" t="s">
        <v>163</v>
      </c>
    </row>
    <row r="20" spans="2:39" ht="15" thickBot="1" thickTop="1">
      <c r="B20" s="112">
        <v>0</v>
      </c>
      <c r="C20" s="192">
        <v>5</v>
      </c>
      <c r="D20" s="209"/>
      <c r="E20" s="210"/>
      <c r="F20" s="173">
        <f>C20</f>
        <v>5</v>
      </c>
      <c r="G20" s="63">
        <f aca="true" t="shared" si="0" ref="G20:G34">F20</f>
        <v>5</v>
      </c>
      <c r="H20" s="64"/>
      <c r="I20" s="64"/>
      <c r="J20" s="64"/>
      <c r="K20" s="79"/>
      <c r="L20" s="66">
        <f>IF($B20&lt;$C$13,"",(G20*30*50*ffp)/5)</f>
      </c>
      <c r="M20" s="51">
        <f aca="true" t="shared" si="1" ref="M20:M34">IF($B20&lt;($C$13+1),"",(H20*30*50*ffp)/5)</f>
      </c>
      <c r="N20" s="51">
        <f aca="true" t="shared" si="2" ref="N20:N34">IF($B20&lt;($C$13+2),"",(I20*30*50*ffp)/5)</f>
      </c>
      <c r="O20" s="51">
        <f aca="true" t="shared" si="3" ref="O20:O34">IF($B20&lt;($C$13+3),"",(J20*30*50*ffp)/5)</f>
      </c>
      <c r="P20" s="76">
        <f aca="true" t="shared" si="4" ref="P20:P34">IF($B20&lt;($C$13+4),"",(K20*30*50*ffp)/5)</f>
      </c>
      <c r="Q20" s="74">
        <f>((G20*20*50*ffp)/Klevee)/5</f>
        <v>281.24999999999994</v>
      </c>
      <c r="R20" s="52"/>
      <c r="S20" s="52"/>
      <c r="T20" s="52"/>
      <c r="U20" s="85"/>
      <c r="V20" s="83">
        <f>I*(dr/100)*0.16*1</f>
        <v>0</v>
      </c>
      <c r="W20" s="50"/>
      <c r="X20" s="50"/>
      <c r="Y20" s="50"/>
      <c r="Z20" s="67"/>
      <c r="AA20" s="83">
        <f>I*(dt/100)*0.07*1</f>
        <v>0</v>
      </c>
      <c r="AB20" s="50"/>
      <c r="AC20" s="50"/>
      <c r="AD20" s="50"/>
      <c r="AE20" s="67"/>
      <c r="AF20" s="109">
        <f>SUM(L20:AE20)-0.0000000001</f>
        <v>281.24999999989996</v>
      </c>
      <c r="AG20" s="102">
        <f>IF(AK20&gt;=LARGE(AK$20:AK$34,1),AF20,"")</f>
      </c>
      <c r="AH20" s="42">
        <f>IF(AL20&gt;=LARGE(AL$20:AL$34,1),AF20,"")</f>
      </c>
      <c r="AI20" s="95">
        <f>IF(AM20&gt;=LARGE(AM$20:AM$34,1),AF20,"")</f>
      </c>
      <c r="AJ20" s="113"/>
      <c r="AK20" s="30">
        <f aca="true" t="shared" si="5" ref="AK20:AK32">AF20+AF21</f>
        <v>579.3749999996999</v>
      </c>
      <c r="AL20" s="30">
        <f aca="true" t="shared" si="6" ref="AL20:AL32">AF20+AF21+AF22</f>
        <v>894.6843749993998</v>
      </c>
      <c r="AM20" s="30">
        <f aca="true" t="shared" si="7" ref="AM20:AM31">AF20+AF21+AF22+AF23</f>
        <v>1227.4874999989997</v>
      </c>
    </row>
    <row r="21" spans="2:39" ht="15" thickBot="1" thickTop="1">
      <c r="B21" s="59">
        <v>1</v>
      </c>
      <c r="C21" s="192">
        <v>0.3</v>
      </c>
      <c r="D21" s="209"/>
      <c r="E21" s="210"/>
      <c r="F21" s="174">
        <f>C21</f>
        <v>0.3</v>
      </c>
      <c r="G21" s="61">
        <f t="shared" si="0"/>
        <v>0.3</v>
      </c>
      <c r="H21" s="43">
        <f aca="true" t="shared" si="8" ref="H21:H34">G20</f>
        <v>5</v>
      </c>
      <c r="I21" s="50"/>
      <c r="J21" s="50"/>
      <c r="K21" s="67"/>
      <c r="L21" s="66">
        <f>IF($B21&lt;$C$13,"",(G21*30*50*ffp)/5)</f>
      </c>
      <c r="M21" s="51">
        <f>IF($B21&lt;($C$13+1),"",(H21*30*50*ffp)/5)</f>
      </c>
      <c r="N21" s="51">
        <f t="shared" si="2"/>
      </c>
      <c r="O21" s="51">
        <f t="shared" si="3"/>
      </c>
      <c r="P21" s="76">
        <f t="shared" si="4"/>
      </c>
      <c r="Q21" s="74">
        <f aca="true" t="shared" si="9" ref="Q21:Q34">((G21*20*50*ffp)/Klevee)/5</f>
        <v>16.874999999999996</v>
      </c>
      <c r="R21" s="52">
        <f aca="true" t="shared" si="10" ref="R21:R34">((H21*20*50*ffp)/Klevee)/5</f>
        <v>281.24999999999994</v>
      </c>
      <c r="S21" s="52"/>
      <c r="T21" s="52"/>
      <c r="U21" s="85"/>
      <c r="V21" s="84"/>
      <c r="W21" s="44">
        <f>I*(dr/100)*0.16*1</f>
        <v>0</v>
      </c>
      <c r="X21" s="50"/>
      <c r="Y21" s="50"/>
      <c r="Z21" s="67"/>
      <c r="AA21" s="84"/>
      <c r="AB21" s="53">
        <f>I*(dt/100)*0.07*1</f>
        <v>0</v>
      </c>
      <c r="AC21" s="50"/>
      <c r="AD21" s="50"/>
      <c r="AE21" s="67"/>
      <c r="AF21" s="181">
        <f>SUM(L21:AE21)-0.0000000002</f>
        <v>298.12499999979997</v>
      </c>
      <c r="AG21" s="102">
        <f aca="true" t="shared" si="11" ref="AG21:AG34">IF(AK20&gt;=LARGE(AK$20:AK$34,1),AF21,IF(AK21&gt;=LARGE(AK$20:AK$34,1),AF21,""))</f>
      </c>
      <c r="AH21" s="42">
        <f>IF(AL20&gt;=LARGE(AL$20:AL$34,1),AF21,IF(AL21&gt;=LARGE(AL$20:AL$34,1),AF21,""))</f>
      </c>
      <c r="AI21" s="95">
        <f>IF(AM20&gt;=LARGE(AM$20:AM$34,1),AF21,IF(AM21&gt;=LARGE(AM$20:AM$34,1),AF21,""))</f>
      </c>
      <c r="AJ21" s="113"/>
      <c r="AK21" s="30">
        <f t="shared" si="5"/>
        <v>613.4343749994998</v>
      </c>
      <c r="AL21" s="30">
        <f t="shared" si="6"/>
        <v>946.2374999990998</v>
      </c>
      <c r="AM21" s="30">
        <f t="shared" si="7"/>
        <v>1300.5984374985997</v>
      </c>
    </row>
    <row r="22" spans="2:39" ht="15" thickBot="1" thickTop="1">
      <c r="B22" s="59">
        <v>2</v>
      </c>
      <c r="C22" s="211"/>
      <c r="D22" s="193"/>
      <c r="E22" s="212"/>
      <c r="F22" s="62">
        <f>IF(C22&lt;&gt;"",C22,(C21+C23)/2)</f>
        <v>0.3055</v>
      </c>
      <c r="G22" s="61">
        <f t="shared" si="0"/>
        <v>0.3055</v>
      </c>
      <c r="H22" s="43">
        <f t="shared" si="8"/>
        <v>0.3</v>
      </c>
      <c r="I22" s="43">
        <f aca="true" t="shared" si="12" ref="I22:I34">H21</f>
        <v>5</v>
      </c>
      <c r="J22" s="50"/>
      <c r="K22" s="67"/>
      <c r="L22" s="66">
        <f aca="true" t="shared" si="13" ref="L22:L34">IF($B22&lt;$C$13,"",(G22*30*50*ffp)/5)</f>
      </c>
      <c r="M22" s="51">
        <f t="shared" si="1"/>
      </c>
      <c r="N22" s="51">
        <f t="shared" si="2"/>
      </c>
      <c r="O22" s="51">
        <f t="shared" si="3"/>
      </c>
      <c r="P22" s="76">
        <f t="shared" si="4"/>
      </c>
      <c r="Q22" s="74">
        <f t="shared" si="9"/>
        <v>17.184374999999996</v>
      </c>
      <c r="R22" s="52">
        <f t="shared" si="10"/>
        <v>16.874999999999996</v>
      </c>
      <c r="S22" s="52">
        <f aca="true" t="shared" si="14" ref="S22:S34">((I22*20*50*ffp)/Klevee)/5</f>
        <v>281.24999999999994</v>
      </c>
      <c r="T22" s="52"/>
      <c r="U22" s="85"/>
      <c r="V22" s="84"/>
      <c r="W22" s="50"/>
      <c r="X22" s="44">
        <f>I*(dr/100)*0.16*1</f>
        <v>0</v>
      </c>
      <c r="Y22" s="50"/>
      <c r="Z22" s="67"/>
      <c r="AA22" s="84"/>
      <c r="AB22" s="50"/>
      <c r="AC22" s="53">
        <f>I*(dt/100)*0.07*1</f>
        <v>0</v>
      </c>
      <c r="AD22" s="50"/>
      <c r="AE22" s="67"/>
      <c r="AF22" s="181">
        <f>SUM(L22:AE22)-0.0000000003</f>
        <v>315.3093749996999</v>
      </c>
      <c r="AG22" s="102">
        <f t="shared" si="11"/>
      </c>
      <c r="AH22" s="42">
        <f aca="true" t="shared" si="15" ref="AH22:AH34">IF(AL20&gt;=LARGE(AL$20:AL$34,1),AF22,IF(AL21&gt;=LARGE(AL$20:AL$34,1),AF22,IF(AL22&gt;=LARGE(AL$20:AL$34,1),AF22,"")))</f>
      </c>
      <c r="AI22" s="95">
        <f>IF(AM20&gt;=LARGE(AM$20:AM$34,1),AF22,IF(AM21&gt;=LARGE(AM$20:AM$34,1),AF22,IF(AM22&gt;=LARGE(AM$20:AM$34,1),AF22,"")))</f>
      </c>
      <c r="AJ22" s="113"/>
      <c r="AK22" s="30">
        <f t="shared" si="5"/>
        <v>648.1124999992999</v>
      </c>
      <c r="AL22" s="30">
        <f t="shared" si="6"/>
        <v>1002.4734374987997</v>
      </c>
      <c r="AM22" s="30">
        <f t="shared" si="7"/>
        <v>1101.2062499981996</v>
      </c>
    </row>
    <row r="23" spans="2:39" ht="15" thickBot="1" thickTop="1">
      <c r="B23" s="59">
        <v>3</v>
      </c>
      <c r="C23" s="192">
        <v>0.311</v>
      </c>
      <c r="D23" s="209"/>
      <c r="E23" s="210"/>
      <c r="F23" s="174">
        <f>C23</f>
        <v>0.311</v>
      </c>
      <c r="G23" s="61">
        <f t="shared" si="0"/>
        <v>0.311</v>
      </c>
      <c r="H23" s="43">
        <f t="shared" si="8"/>
        <v>0.3055</v>
      </c>
      <c r="I23" s="43">
        <f t="shared" si="12"/>
        <v>0.3</v>
      </c>
      <c r="J23" s="43">
        <f aca="true" t="shared" si="16" ref="J23:J34">I22</f>
        <v>5</v>
      </c>
      <c r="K23" s="67"/>
      <c r="L23" s="66">
        <f t="shared" si="13"/>
      </c>
      <c r="M23" s="51">
        <f t="shared" si="1"/>
      </c>
      <c r="N23" s="51">
        <f t="shared" si="2"/>
      </c>
      <c r="O23" s="51">
        <f t="shared" si="3"/>
      </c>
      <c r="P23" s="76">
        <f t="shared" si="4"/>
      </c>
      <c r="Q23" s="74">
        <f t="shared" si="9"/>
        <v>17.49375</v>
      </c>
      <c r="R23" s="52">
        <f t="shared" si="10"/>
        <v>17.184374999999996</v>
      </c>
      <c r="S23" s="52">
        <f t="shared" si="14"/>
        <v>16.874999999999996</v>
      </c>
      <c r="T23" s="52">
        <f aca="true" t="shared" si="17" ref="T23:T34">((J23*20*50*ffp)/Klevee)/5</f>
        <v>281.24999999999994</v>
      </c>
      <c r="U23" s="85"/>
      <c r="V23" s="84"/>
      <c r="W23" s="50"/>
      <c r="X23" s="50"/>
      <c r="Y23" s="44">
        <f>I*(dr/100)*0.16*1</f>
        <v>0</v>
      </c>
      <c r="Z23" s="67"/>
      <c r="AA23" s="84"/>
      <c r="AB23" s="50"/>
      <c r="AC23" s="50"/>
      <c r="AD23" s="53">
        <f>I*(dt/100)*0.07*1</f>
        <v>0</v>
      </c>
      <c r="AE23" s="67"/>
      <c r="AF23" s="181">
        <f>SUM(L23:AE23)-0.0000000004</f>
        <v>332.8031249995999</v>
      </c>
      <c r="AG23" s="102">
        <f>IF(AK22&gt;=LARGE(AK$20:AK$34,1),AF23,IF(AK23&gt;=LARGE(AK$20:AK$34,1),AF23,""))</f>
      </c>
      <c r="AH23" s="42">
        <f t="shared" si="15"/>
      </c>
      <c r="AI23" s="95">
        <f aca="true" t="shared" si="18" ref="AI23:AI34">IF(AM20&gt;=LARGE(AM$20:AM$34,1),AF23,IF(AM21&gt;=LARGE(AM$20:AM$34,1),AF23,IF(AM22&gt;=LARGE(AM$20:AM$34,1),AF23,IF(AM23&gt;=LARGE(AM$20:AM$34,1),AF23,""))))</f>
      </c>
      <c r="AJ23" s="113"/>
      <c r="AK23" s="30">
        <f t="shared" si="5"/>
        <v>687.1640624990998</v>
      </c>
      <c r="AL23" s="30">
        <f>AF23+AF24+AF25</f>
        <v>785.8968749984998</v>
      </c>
      <c r="AM23" s="30">
        <f t="shared" si="7"/>
        <v>1372.4156249977998</v>
      </c>
    </row>
    <row r="24" spans="2:39" ht="14.25" thickTop="1">
      <c r="B24" s="59">
        <v>4</v>
      </c>
      <c r="C24" s="194"/>
      <c r="D24" s="195"/>
      <c r="E24" s="217"/>
      <c r="F24" s="62">
        <f>IF(C24&lt;&gt;"",C24,IF(C25&lt;&gt;"",F23-(F23-C25)/2,IF(C26&lt;&gt;"",F23-(F23-C26)/3,F23-(F23-C27)/4)))</f>
        <v>0.38325</v>
      </c>
      <c r="G24" s="61">
        <f t="shared" si="0"/>
        <v>0.38325</v>
      </c>
      <c r="H24" s="43">
        <f t="shared" si="8"/>
        <v>0.311</v>
      </c>
      <c r="I24" s="43">
        <f t="shared" si="12"/>
        <v>0.3055</v>
      </c>
      <c r="J24" s="43">
        <f t="shared" si="16"/>
        <v>0.3</v>
      </c>
      <c r="K24" s="68">
        <f aca="true" t="shared" si="19" ref="K24:K34">J23</f>
        <v>5</v>
      </c>
      <c r="L24" s="66">
        <f>IF($B24&lt;$C$13,"",(G24*30*50*ffp)/5)</f>
      </c>
      <c r="M24" s="51">
        <f t="shared" si="1"/>
      </c>
      <c r="N24" s="51">
        <f t="shared" si="2"/>
      </c>
      <c r="O24" s="51">
        <f t="shared" si="3"/>
      </c>
      <c r="P24" s="76">
        <f t="shared" si="4"/>
      </c>
      <c r="Q24" s="74">
        <f t="shared" si="9"/>
        <v>21.557812499999994</v>
      </c>
      <c r="R24" s="52">
        <f t="shared" si="10"/>
        <v>17.49375</v>
      </c>
      <c r="S24" s="52">
        <f t="shared" si="14"/>
        <v>17.184374999999996</v>
      </c>
      <c r="T24" s="52">
        <f t="shared" si="17"/>
        <v>16.874999999999996</v>
      </c>
      <c r="U24" s="85">
        <f aca="true" t="shared" si="20" ref="U24:U34">((K24*20*50*ffp)/Klevee)/5</f>
        <v>281.24999999999994</v>
      </c>
      <c r="V24" s="84"/>
      <c r="W24" s="50"/>
      <c r="X24" s="50"/>
      <c r="Y24" s="50"/>
      <c r="Z24" s="89">
        <f>I*(dr/100)*0.16*1</f>
        <v>0</v>
      </c>
      <c r="AA24" s="84"/>
      <c r="AB24" s="50"/>
      <c r="AC24" s="50"/>
      <c r="AD24" s="50"/>
      <c r="AE24" s="93">
        <f>I*(dt/100)*0.07*1</f>
        <v>0</v>
      </c>
      <c r="AF24" s="181">
        <f>SUM(L24:AE24)-0.0000000005</f>
        <v>354.3609374994999</v>
      </c>
      <c r="AG24" s="102">
        <f t="shared" si="11"/>
      </c>
      <c r="AH24" s="42">
        <f t="shared" si="15"/>
      </c>
      <c r="AI24" s="95">
        <f>IF(AM21&gt;=LARGE(AM$20:AM$34,1),AF24,IF(AM22&gt;=LARGE(AM$20:AM$34,1),AF24,IF(AM23&gt;=LARGE(AM$20:AM$34,1),AF24,IF(AM24&gt;=LARGE(AM$20:AM$34,1),AF24,""))))</f>
      </c>
      <c r="AJ24" s="113"/>
      <c r="AK24" s="30">
        <f t="shared" si="5"/>
        <v>453.0937499988999</v>
      </c>
      <c r="AL24" s="30">
        <f t="shared" si="6"/>
        <v>1039.6124999981998</v>
      </c>
      <c r="AM24" s="30">
        <f t="shared" si="7"/>
        <v>2182.6968749974</v>
      </c>
    </row>
    <row r="25" spans="2:39" ht="13.5">
      <c r="B25" s="59">
        <v>5</v>
      </c>
      <c r="C25" s="216"/>
      <c r="D25" s="182"/>
      <c r="E25" s="186"/>
      <c r="F25" s="62">
        <f>IF(C25&lt;&gt;"",C25,IF(C26&lt;&gt;"",F24-(F24-C26)/2,F24-(F24-C27)/3))</f>
        <v>0.45549999999999996</v>
      </c>
      <c r="G25" s="61">
        <f t="shared" si="0"/>
        <v>0.45549999999999996</v>
      </c>
      <c r="H25" s="43">
        <f t="shared" si="8"/>
        <v>0.38325</v>
      </c>
      <c r="I25" s="43">
        <f t="shared" si="12"/>
        <v>0.311</v>
      </c>
      <c r="J25" s="43">
        <f t="shared" si="16"/>
        <v>0.3055</v>
      </c>
      <c r="K25" s="68">
        <f t="shared" si="19"/>
        <v>0.3</v>
      </c>
      <c r="L25" s="66">
        <f t="shared" si="13"/>
      </c>
      <c r="M25" s="51">
        <f t="shared" si="1"/>
      </c>
      <c r="N25" s="51">
        <f t="shared" si="2"/>
      </c>
      <c r="O25" s="51">
        <f t="shared" si="3"/>
      </c>
      <c r="P25" s="76">
        <f t="shared" si="4"/>
      </c>
      <c r="Q25" s="74">
        <f t="shared" si="9"/>
        <v>25.621874999999996</v>
      </c>
      <c r="R25" s="52">
        <f t="shared" si="10"/>
        <v>21.557812499999994</v>
      </c>
      <c r="S25" s="52">
        <f t="shared" si="14"/>
        <v>17.49375</v>
      </c>
      <c r="T25" s="52">
        <f t="shared" si="17"/>
        <v>17.184374999999996</v>
      </c>
      <c r="U25" s="85">
        <f t="shared" si="20"/>
        <v>16.874999999999996</v>
      </c>
      <c r="V25" s="84"/>
      <c r="W25" s="50"/>
      <c r="X25" s="50"/>
      <c r="Y25" s="50"/>
      <c r="Z25" s="67"/>
      <c r="AA25" s="84"/>
      <c r="AB25" s="50"/>
      <c r="AC25" s="50"/>
      <c r="AD25" s="50"/>
      <c r="AE25" s="67"/>
      <c r="AF25" s="181">
        <f>SUM(L25:AE25)-0.0000000006</f>
        <v>98.73281249939997</v>
      </c>
      <c r="AG25" s="102">
        <f t="shared" si="11"/>
      </c>
      <c r="AH25" s="42">
        <f t="shared" si="15"/>
      </c>
      <c r="AI25" s="95">
        <f t="shared" si="18"/>
      </c>
      <c r="AJ25" s="113"/>
      <c r="AK25" s="30">
        <f>AF25+AF26</f>
        <v>685.2515624987</v>
      </c>
      <c r="AL25" s="30">
        <f t="shared" si="6"/>
        <v>1828.3359374979</v>
      </c>
      <c r="AM25" s="30">
        <f t="shared" si="7"/>
        <v>3554.9979910684287</v>
      </c>
    </row>
    <row r="26" spans="2:39" ht="14.25" thickBot="1">
      <c r="B26" s="59">
        <v>6</v>
      </c>
      <c r="C26" s="213"/>
      <c r="D26" s="214"/>
      <c r="E26" s="215"/>
      <c r="F26" s="62">
        <f>IF(C26&lt;&gt;"",C26,F25-(F25-C27)/2)</f>
        <v>0.5277499999999999</v>
      </c>
      <c r="G26" s="61">
        <f t="shared" si="0"/>
        <v>0.5277499999999999</v>
      </c>
      <c r="H26" s="43">
        <f t="shared" si="8"/>
        <v>0.45549999999999996</v>
      </c>
      <c r="I26" s="43">
        <f t="shared" si="12"/>
        <v>0.38325</v>
      </c>
      <c r="J26" s="43">
        <f t="shared" si="16"/>
        <v>0.311</v>
      </c>
      <c r="K26" s="68">
        <f t="shared" si="19"/>
        <v>0.3055</v>
      </c>
      <c r="L26" s="66">
        <f t="shared" si="13"/>
        <v>474.9749999999999</v>
      </c>
      <c r="M26" s="51">
        <f t="shared" si="1"/>
      </c>
      <c r="N26" s="51">
        <f t="shared" si="2"/>
      </c>
      <c r="O26" s="51">
        <f t="shared" si="3"/>
      </c>
      <c r="P26" s="76">
        <f t="shared" si="4"/>
      </c>
      <c r="Q26" s="74">
        <f t="shared" si="9"/>
        <v>29.685937499999994</v>
      </c>
      <c r="R26" s="52">
        <f t="shared" si="10"/>
        <v>25.621874999999996</v>
      </c>
      <c r="S26" s="52">
        <f t="shared" si="14"/>
        <v>21.557812499999994</v>
      </c>
      <c r="T26" s="52">
        <f t="shared" si="17"/>
        <v>17.49375</v>
      </c>
      <c r="U26" s="85">
        <f t="shared" si="20"/>
        <v>17.184374999999996</v>
      </c>
      <c r="V26" s="84"/>
      <c r="W26" s="50"/>
      <c r="X26" s="50"/>
      <c r="Y26" s="50"/>
      <c r="Z26" s="67"/>
      <c r="AA26" s="84"/>
      <c r="AB26" s="50"/>
      <c r="AC26" s="50"/>
      <c r="AD26" s="50"/>
      <c r="AE26" s="67"/>
      <c r="AF26" s="181">
        <f>SUM(L26:AE26)-0.0000000007</f>
        <v>586.5187499993</v>
      </c>
      <c r="AG26" s="102">
        <f>IF(AK25&gt;=LARGE(AK$20:AK$34,1),AF26,IF(AK26&gt;=LARGE(AK$20:AK$34,1),AF26,""))</f>
      </c>
      <c r="AH26" s="42">
        <f t="shared" si="15"/>
      </c>
      <c r="AI26" s="95">
        <f t="shared" si="18"/>
      </c>
      <c r="AJ26" s="113"/>
      <c r="AK26" s="30">
        <f>AF26+AF27</f>
        <v>1729.6031249984999</v>
      </c>
      <c r="AL26" s="30">
        <f t="shared" si="6"/>
        <v>3456.2651785690286</v>
      </c>
      <c r="AM26" s="30">
        <f t="shared" si="7"/>
        <v>5789.762276782314</v>
      </c>
    </row>
    <row r="27" spans="2:39" ht="15" thickBot="1" thickTop="1">
      <c r="B27" s="59">
        <v>7</v>
      </c>
      <c r="C27" s="192">
        <v>0.6</v>
      </c>
      <c r="D27" s="209"/>
      <c r="E27" s="210"/>
      <c r="F27" s="174">
        <f>C27</f>
        <v>0.6</v>
      </c>
      <c r="G27" s="61">
        <f t="shared" si="0"/>
        <v>0.6</v>
      </c>
      <c r="H27" s="43">
        <f t="shared" si="8"/>
        <v>0.5277499999999999</v>
      </c>
      <c r="I27" s="43">
        <f t="shared" si="12"/>
        <v>0.45549999999999996</v>
      </c>
      <c r="J27" s="43">
        <f t="shared" si="16"/>
        <v>0.38325</v>
      </c>
      <c r="K27" s="68">
        <f t="shared" si="19"/>
        <v>0.311</v>
      </c>
      <c r="L27" s="66">
        <f t="shared" si="13"/>
        <v>540</v>
      </c>
      <c r="M27" s="51">
        <f t="shared" si="1"/>
        <v>474.9749999999999</v>
      </c>
      <c r="N27" s="51">
        <f t="shared" si="2"/>
      </c>
      <c r="O27" s="51">
        <f t="shared" si="3"/>
      </c>
      <c r="P27" s="76">
        <f t="shared" si="4"/>
      </c>
      <c r="Q27" s="74">
        <f t="shared" si="9"/>
        <v>33.74999999999999</v>
      </c>
      <c r="R27" s="52">
        <f t="shared" si="10"/>
        <v>29.685937499999994</v>
      </c>
      <c r="S27" s="52">
        <f t="shared" si="14"/>
        <v>25.621874999999996</v>
      </c>
      <c r="T27" s="52">
        <f t="shared" si="17"/>
        <v>21.557812499999994</v>
      </c>
      <c r="U27" s="85">
        <f t="shared" si="20"/>
        <v>17.49375</v>
      </c>
      <c r="V27" s="84"/>
      <c r="W27" s="50"/>
      <c r="X27" s="50"/>
      <c r="Y27" s="50"/>
      <c r="Z27" s="67"/>
      <c r="AA27" s="84"/>
      <c r="AB27" s="50"/>
      <c r="AC27" s="50"/>
      <c r="AD27" s="50"/>
      <c r="AE27" s="67"/>
      <c r="AF27" s="181">
        <f>SUM(L27:AE27)-0.0000000008</f>
        <v>1143.0843749992</v>
      </c>
      <c r="AG27" s="102">
        <f t="shared" si="11"/>
      </c>
      <c r="AH27" s="42">
        <f t="shared" si="15"/>
      </c>
      <c r="AI27" s="95">
        <f t="shared" si="18"/>
      </c>
      <c r="AJ27" s="113"/>
      <c r="AK27" s="30">
        <f t="shared" si="5"/>
        <v>2869.746428569729</v>
      </c>
      <c r="AL27" s="30">
        <f t="shared" si="6"/>
        <v>5203.243526783014</v>
      </c>
      <c r="AM27" s="30">
        <f t="shared" si="7"/>
        <v>8166.833035710485</v>
      </c>
    </row>
    <row r="28" spans="2:39" ht="14.25" thickTop="1">
      <c r="B28" s="59">
        <v>8</v>
      </c>
      <c r="C28" s="194"/>
      <c r="D28" s="195"/>
      <c r="E28" s="217"/>
      <c r="F28" s="62">
        <f>IF(C28&lt;&gt;"",C28,IF(C29&lt;&gt;"",F27-(F27-C29)/2,IF(C30&lt;&gt;"",F27-(F27-C30)/3,IF(C31&lt;&gt;"",F27-(F27-C31)/4,IF(C32&lt;&gt;"",F27-(F27-C32)/5,IF(C33&lt;&gt;"",F27-(F27-C33)/6,F27-(F27-C34)/7))))))</f>
        <v>0.6285714285714286</v>
      </c>
      <c r="G28" s="61">
        <f t="shared" si="0"/>
        <v>0.6285714285714286</v>
      </c>
      <c r="H28" s="43">
        <f t="shared" si="8"/>
        <v>0.6</v>
      </c>
      <c r="I28" s="43">
        <f t="shared" si="12"/>
        <v>0.5277499999999999</v>
      </c>
      <c r="J28" s="43">
        <f t="shared" si="16"/>
        <v>0.45549999999999996</v>
      </c>
      <c r="K28" s="68">
        <f t="shared" si="19"/>
        <v>0.38325</v>
      </c>
      <c r="L28" s="66">
        <f t="shared" si="13"/>
        <v>565.7142857142857</v>
      </c>
      <c r="M28" s="51">
        <f t="shared" si="1"/>
        <v>540</v>
      </c>
      <c r="N28" s="51">
        <f t="shared" si="2"/>
        <v>474.9749999999999</v>
      </c>
      <c r="O28" s="51">
        <f t="shared" si="3"/>
      </c>
      <c r="P28" s="76">
        <f t="shared" si="4"/>
      </c>
      <c r="Q28" s="74">
        <f t="shared" si="9"/>
        <v>35.357142857142854</v>
      </c>
      <c r="R28" s="52">
        <f t="shared" si="10"/>
        <v>33.74999999999999</v>
      </c>
      <c r="S28" s="52">
        <f t="shared" si="14"/>
        <v>29.685937499999994</v>
      </c>
      <c r="T28" s="52">
        <f t="shared" si="17"/>
        <v>25.621874999999996</v>
      </c>
      <c r="U28" s="85">
        <f t="shared" si="20"/>
        <v>21.557812499999994</v>
      </c>
      <c r="V28" s="84"/>
      <c r="W28" s="50"/>
      <c r="X28" s="50"/>
      <c r="Y28" s="50"/>
      <c r="Z28" s="67"/>
      <c r="AA28" s="84"/>
      <c r="AB28" s="50"/>
      <c r="AC28" s="50"/>
      <c r="AD28" s="50"/>
      <c r="AE28" s="67"/>
      <c r="AF28" s="181">
        <f>SUM(L28:AE28)-0.0000000009</f>
        <v>1726.6620535705285</v>
      </c>
      <c r="AG28" s="102">
        <f t="shared" si="11"/>
      </c>
      <c r="AH28" s="42">
        <f t="shared" si="15"/>
      </c>
      <c r="AI28" s="95">
        <f t="shared" si="18"/>
      </c>
      <c r="AJ28" s="113"/>
      <c r="AK28" s="30">
        <f t="shared" si="5"/>
        <v>4060.159151783814</v>
      </c>
      <c r="AL28" s="30">
        <f t="shared" si="6"/>
        <v>7023.748660711285</v>
      </c>
      <c r="AM28" s="30">
        <f t="shared" si="7"/>
        <v>10165.71294642437</v>
      </c>
    </row>
    <row r="29" spans="2:39" ht="13.5">
      <c r="B29" s="59">
        <v>9</v>
      </c>
      <c r="C29" s="216"/>
      <c r="D29" s="182"/>
      <c r="E29" s="186"/>
      <c r="F29" s="62">
        <f>IF(C29&lt;&gt;"",C29,IF(C30&lt;&gt;"",F28-(F28-C30)/2,IF(C31&lt;&gt;"",F28-(F28-C31)/3,IF(C32&lt;&gt;"",F28-(F28-C32)/4,IF(C33&lt;&gt;"",F28-(F28-C33)/5,F28-(F28-C34)/6)))))</f>
        <v>0.6571428571428571</v>
      </c>
      <c r="G29" s="61">
        <f t="shared" si="0"/>
        <v>0.6571428571428571</v>
      </c>
      <c r="H29" s="43">
        <f t="shared" si="8"/>
        <v>0.6285714285714286</v>
      </c>
      <c r="I29" s="43">
        <f t="shared" si="12"/>
        <v>0.6</v>
      </c>
      <c r="J29" s="43">
        <f t="shared" si="16"/>
        <v>0.5277499999999999</v>
      </c>
      <c r="K29" s="68">
        <f t="shared" si="19"/>
        <v>0.45549999999999996</v>
      </c>
      <c r="L29" s="66">
        <f t="shared" si="13"/>
        <v>591.4285714285714</v>
      </c>
      <c r="M29" s="51">
        <f t="shared" si="1"/>
        <v>565.7142857142857</v>
      </c>
      <c r="N29" s="51">
        <f t="shared" si="2"/>
        <v>540</v>
      </c>
      <c r="O29" s="51">
        <f t="shared" si="3"/>
        <v>474.9749999999999</v>
      </c>
      <c r="P29" s="76">
        <f t="shared" si="4"/>
      </c>
      <c r="Q29" s="74">
        <f t="shared" si="9"/>
        <v>36.96428571428571</v>
      </c>
      <c r="R29" s="52">
        <f t="shared" si="10"/>
        <v>35.357142857142854</v>
      </c>
      <c r="S29" s="52">
        <f t="shared" si="14"/>
        <v>33.74999999999999</v>
      </c>
      <c r="T29" s="52">
        <f t="shared" si="17"/>
        <v>29.685937499999994</v>
      </c>
      <c r="U29" s="85">
        <f t="shared" si="20"/>
        <v>25.621874999999996</v>
      </c>
      <c r="V29" s="84"/>
      <c r="W29" s="50"/>
      <c r="X29" s="50"/>
      <c r="Y29" s="50"/>
      <c r="Z29" s="67"/>
      <c r="AA29" s="84"/>
      <c r="AB29" s="50"/>
      <c r="AC29" s="50"/>
      <c r="AD29" s="50"/>
      <c r="AE29" s="67"/>
      <c r="AF29" s="181">
        <f>SUM(L29:AE29)-0.000000001</f>
        <v>2333.4970982132854</v>
      </c>
      <c r="AG29" s="102">
        <f t="shared" si="11"/>
      </c>
      <c r="AH29" s="42">
        <f t="shared" si="15"/>
      </c>
      <c r="AI29" s="95">
        <f t="shared" si="18"/>
      </c>
      <c r="AJ29" s="113"/>
      <c r="AK29" s="30">
        <f>AF29+AF30</f>
        <v>5297.086607140756</v>
      </c>
      <c r="AL29" s="30">
        <f t="shared" si="6"/>
        <v>8439.050892853842</v>
      </c>
      <c r="AM29" s="30">
        <f t="shared" si="7"/>
        <v>11717.62232142397</v>
      </c>
    </row>
    <row r="30" spans="2:39" ht="13.5">
      <c r="B30" s="59">
        <v>10</v>
      </c>
      <c r="C30" s="216"/>
      <c r="D30" s="182"/>
      <c r="E30" s="186"/>
      <c r="F30" s="62">
        <f>IF(C30&lt;&gt;"",C30,IF(C31&lt;&gt;"",F29-(F29-C31)/2,IF(C32&lt;&gt;"",F29-(F29-C32)/3,IF(C33&lt;&gt;"",F29-(F29-C33)/4,F29-(F29-C34)/5))))</f>
        <v>0.6857142857142857</v>
      </c>
      <c r="G30" s="61">
        <f t="shared" si="0"/>
        <v>0.6857142857142857</v>
      </c>
      <c r="H30" s="43">
        <f t="shared" si="8"/>
        <v>0.6571428571428571</v>
      </c>
      <c r="I30" s="43">
        <f t="shared" si="12"/>
        <v>0.6285714285714286</v>
      </c>
      <c r="J30" s="43">
        <f t="shared" si="16"/>
        <v>0.6</v>
      </c>
      <c r="K30" s="68">
        <f t="shared" si="19"/>
        <v>0.5277499999999999</v>
      </c>
      <c r="L30" s="66">
        <f t="shared" si="13"/>
        <v>617.1428571428572</v>
      </c>
      <c r="M30" s="51">
        <f t="shared" si="1"/>
        <v>591.4285714285714</v>
      </c>
      <c r="N30" s="51">
        <f t="shared" si="2"/>
        <v>565.7142857142857</v>
      </c>
      <c r="O30" s="51">
        <f t="shared" si="3"/>
        <v>540</v>
      </c>
      <c r="P30" s="76">
        <f t="shared" si="4"/>
        <v>474.9749999999999</v>
      </c>
      <c r="Q30" s="74">
        <f t="shared" si="9"/>
        <v>38.57142857142857</v>
      </c>
      <c r="R30" s="52">
        <f t="shared" si="10"/>
        <v>36.96428571428571</v>
      </c>
      <c r="S30" s="52">
        <f t="shared" si="14"/>
        <v>35.357142857142854</v>
      </c>
      <c r="T30" s="52">
        <f t="shared" si="17"/>
        <v>33.74999999999999</v>
      </c>
      <c r="U30" s="85">
        <f t="shared" si="20"/>
        <v>29.685937499999994</v>
      </c>
      <c r="V30" s="84"/>
      <c r="W30" s="50"/>
      <c r="X30" s="50"/>
      <c r="Y30" s="50"/>
      <c r="Z30" s="67"/>
      <c r="AA30" s="84"/>
      <c r="AB30" s="50"/>
      <c r="AC30" s="50"/>
      <c r="AD30" s="50"/>
      <c r="AE30" s="67"/>
      <c r="AF30" s="181">
        <f>SUM(L30:AE30)-0.0000000011</f>
        <v>2963.589508927471</v>
      </c>
      <c r="AG30" s="102">
        <f t="shared" si="11"/>
      </c>
      <c r="AH30" s="42">
        <f t="shared" si="15"/>
      </c>
      <c r="AI30" s="95">
        <f t="shared" si="18"/>
      </c>
      <c r="AJ30" s="113"/>
      <c r="AK30" s="30">
        <f t="shared" si="5"/>
        <v>6105.553794640557</v>
      </c>
      <c r="AL30" s="30">
        <f t="shared" si="6"/>
        <v>9384.125223210685</v>
      </c>
      <c r="AM30" s="30">
        <f t="shared" si="7"/>
        <v>12799.303794637857</v>
      </c>
    </row>
    <row r="31" spans="2:39" ht="13.5">
      <c r="B31" s="59">
        <v>11</v>
      </c>
      <c r="C31" s="216"/>
      <c r="D31" s="182"/>
      <c r="E31" s="186"/>
      <c r="F31" s="62">
        <f>IF(C31&lt;&gt;"",C31,IF(C32&lt;&gt;"",F30-(F30-C32)/2,IF(C33&lt;&gt;"",F30-(F30-C33)/3,F30-(F30-C34)/4)))</f>
        <v>0.7142857142857143</v>
      </c>
      <c r="G31" s="61">
        <f t="shared" si="0"/>
        <v>0.7142857142857143</v>
      </c>
      <c r="H31" s="43">
        <f t="shared" si="8"/>
        <v>0.6857142857142857</v>
      </c>
      <c r="I31" s="43">
        <f t="shared" si="12"/>
        <v>0.6571428571428571</v>
      </c>
      <c r="J31" s="43">
        <f t="shared" si="16"/>
        <v>0.6285714285714286</v>
      </c>
      <c r="K31" s="68">
        <f t="shared" si="19"/>
        <v>0.6</v>
      </c>
      <c r="L31" s="66">
        <f t="shared" si="13"/>
        <v>642.8571428571429</v>
      </c>
      <c r="M31" s="51">
        <f t="shared" si="1"/>
        <v>617.1428571428572</v>
      </c>
      <c r="N31" s="51">
        <f t="shared" si="2"/>
        <v>591.4285714285714</v>
      </c>
      <c r="O31" s="51">
        <f t="shared" si="3"/>
        <v>565.7142857142857</v>
      </c>
      <c r="P31" s="76">
        <f t="shared" si="4"/>
        <v>540</v>
      </c>
      <c r="Q31" s="74">
        <f t="shared" si="9"/>
        <v>40.17857142857143</v>
      </c>
      <c r="R31" s="52">
        <f t="shared" si="10"/>
        <v>38.57142857142857</v>
      </c>
      <c r="S31" s="52">
        <f>((I31*20*50*ffp)/Klevee)/5</f>
        <v>36.96428571428571</v>
      </c>
      <c r="T31" s="52">
        <f t="shared" si="17"/>
        <v>35.357142857142854</v>
      </c>
      <c r="U31" s="85">
        <f t="shared" si="20"/>
        <v>33.74999999999999</v>
      </c>
      <c r="V31" s="84"/>
      <c r="W31" s="50"/>
      <c r="X31" s="50"/>
      <c r="Y31" s="50"/>
      <c r="Z31" s="67"/>
      <c r="AA31" s="84"/>
      <c r="AB31" s="50"/>
      <c r="AC31" s="50"/>
      <c r="AD31" s="50"/>
      <c r="AE31" s="67"/>
      <c r="AF31" s="181">
        <f>SUM(L31:AE31)-0.0000000012</f>
        <v>3141.9642857130857</v>
      </c>
      <c r="AG31" s="102">
        <f t="shared" si="11"/>
      </c>
      <c r="AH31" s="42">
        <f t="shared" si="15"/>
      </c>
      <c r="AI31" s="95">
        <f>IF(AM28&gt;=LARGE(AM$20:AM$34,1),AF31,IF(AM29&gt;=LARGE(AM$20:AM$34,1),AF31,IF(AM30&gt;=LARGE(AM$20:AM$34,1),AF31,IF(AM31&gt;=LARGE(AM$20:AM$34,1),AF31,""))))</f>
        <v>3141.9642857130857</v>
      </c>
      <c r="AJ31" s="113"/>
      <c r="AK31" s="30">
        <f>AF31+AF32</f>
        <v>6420.5357142832145</v>
      </c>
      <c r="AL31" s="30">
        <f t="shared" si="6"/>
        <v>9835.714285710386</v>
      </c>
      <c r="AM31" s="30">
        <f t="shared" si="7"/>
        <v>13387.499999994601</v>
      </c>
    </row>
    <row r="32" spans="2:39" ht="13.5">
      <c r="B32" s="59">
        <v>12</v>
      </c>
      <c r="C32" s="216"/>
      <c r="D32" s="182"/>
      <c r="E32" s="186"/>
      <c r="F32" s="62">
        <f>IF(C32&lt;&gt;"",C32,IF(C33&lt;&gt;"",F31-(F31-C33)/2,F31-(F31-C34)/3))</f>
        <v>0.7428571428571429</v>
      </c>
      <c r="G32" s="61">
        <f t="shared" si="0"/>
        <v>0.7428571428571429</v>
      </c>
      <c r="H32" s="43">
        <f t="shared" si="8"/>
        <v>0.7142857142857143</v>
      </c>
      <c r="I32" s="43">
        <f t="shared" si="12"/>
        <v>0.6857142857142857</v>
      </c>
      <c r="J32" s="43">
        <f t="shared" si="16"/>
        <v>0.6571428571428571</v>
      </c>
      <c r="K32" s="68">
        <f t="shared" si="19"/>
        <v>0.6285714285714286</v>
      </c>
      <c r="L32" s="66">
        <f t="shared" si="13"/>
        <v>668.5714285714286</v>
      </c>
      <c r="M32" s="51">
        <f t="shared" si="1"/>
        <v>642.8571428571429</v>
      </c>
      <c r="N32" s="51">
        <f t="shared" si="2"/>
        <v>617.1428571428572</v>
      </c>
      <c r="O32" s="51">
        <f t="shared" si="3"/>
        <v>591.4285714285714</v>
      </c>
      <c r="P32" s="76">
        <f t="shared" si="4"/>
        <v>565.7142857142857</v>
      </c>
      <c r="Q32" s="74">
        <f t="shared" si="9"/>
        <v>41.78571428571428</v>
      </c>
      <c r="R32" s="52">
        <f t="shared" si="10"/>
        <v>40.17857142857143</v>
      </c>
      <c r="S32" s="52">
        <f t="shared" si="14"/>
        <v>38.57142857142857</v>
      </c>
      <c r="T32" s="52">
        <f t="shared" si="17"/>
        <v>36.96428571428571</v>
      </c>
      <c r="U32" s="85">
        <f t="shared" si="20"/>
        <v>35.357142857142854</v>
      </c>
      <c r="V32" s="84"/>
      <c r="W32" s="50"/>
      <c r="X32" s="50"/>
      <c r="Y32" s="50"/>
      <c r="Z32" s="67"/>
      <c r="AA32" s="84"/>
      <c r="AB32" s="50"/>
      <c r="AC32" s="50"/>
      <c r="AD32" s="50"/>
      <c r="AE32" s="67"/>
      <c r="AF32" s="181">
        <f>SUM(L32:AE32)-0.0000000013</f>
        <v>3278.571428570129</v>
      </c>
      <c r="AG32" s="102">
        <f t="shared" si="11"/>
      </c>
      <c r="AH32" s="42">
        <f t="shared" si="15"/>
        <v>3278.571428570129</v>
      </c>
      <c r="AI32" s="95">
        <f t="shared" si="18"/>
        <v>3278.571428570129</v>
      </c>
      <c r="AJ32" s="113"/>
      <c r="AK32" s="30">
        <f t="shared" si="5"/>
        <v>6693.749999997301</v>
      </c>
      <c r="AL32" s="30">
        <f t="shared" si="6"/>
        <v>10245.535714281516</v>
      </c>
      <c r="AM32" s="30"/>
    </row>
    <row r="33" spans="2:39" ht="14.25" thickBot="1">
      <c r="B33" s="59">
        <v>13</v>
      </c>
      <c r="C33" s="213"/>
      <c r="D33" s="214"/>
      <c r="E33" s="215"/>
      <c r="F33" s="62">
        <f>IF(C33&lt;&gt;"",C33,F32-(F32-C34)/2)</f>
        <v>0.7714285714285715</v>
      </c>
      <c r="G33" s="61">
        <f t="shared" si="0"/>
        <v>0.7714285714285715</v>
      </c>
      <c r="H33" s="43">
        <f t="shared" si="8"/>
        <v>0.7428571428571429</v>
      </c>
      <c r="I33" s="43">
        <f t="shared" si="12"/>
        <v>0.7142857142857143</v>
      </c>
      <c r="J33" s="43">
        <f t="shared" si="16"/>
        <v>0.6857142857142857</v>
      </c>
      <c r="K33" s="68">
        <f t="shared" si="19"/>
        <v>0.6571428571428571</v>
      </c>
      <c r="L33" s="66">
        <f t="shared" si="13"/>
        <v>694.2857142857143</v>
      </c>
      <c r="M33" s="51">
        <f t="shared" si="1"/>
        <v>668.5714285714286</v>
      </c>
      <c r="N33" s="51">
        <f t="shared" si="2"/>
        <v>642.8571428571429</v>
      </c>
      <c r="O33" s="51">
        <f t="shared" si="3"/>
        <v>617.1428571428572</v>
      </c>
      <c r="P33" s="76">
        <f t="shared" si="4"/>
        <v>591.4285714285714</v>
      </c>
      <c r="Q33" s="74">
        <f t="shared" si="9"/>
        <v>43.39285714285714</v>
      </c>
      <c r="R33" s="52">
        <f t="shared" si="10"/>
        <v>41.78571428571428</v>
      </c>
      <c r="S33" s="52">
        <f t="shared" si="14"/>
        <v>40.17857142857143</v>
      </c>
      <c r="T33" s="52">
        <f t="shared" si="17"/>
        <v>38.57142857142857</v>
      </c>
      <c r="U33" s="85">
        <f t="shared" si="20"/>
        <v>36.96428571428571</v>
      </c>
      <c r="V33" s="84"/>
      <c r="W33" s="50"/>
      <c r="X33" s="50"/>
      <c r="Y33" s="50"/>
      <c r="Z33" s="67"/>
      <c r="AA33" s="84"/>
      <c r="AB33" s="50"/>
      <c r="AC33" s="50"/>
      <c r="AD33" s="50"/>
      <c r="AE33" s="67"/>
      <c r="AF33" s="181">
        <f>SUM(L33:AE33)-0.0000000014</f>
        <v>3415.178571427172</v>
      </c>
      <c r="AG33" s="102">
        <f t="shared" si="11"/>
        <v>3415.178571427172</v>
      </c>
      <c r="AH33" s="42">
        <f t="shared" si="15"/>
        <v>3415.178571427172</v>
      </c>
      <c r="AI33" s="95">
        <f t="shared" si="18"/>
        <v>3415.178571427172</v>
      </c>
      <c r="AJ33" s="113"/>
      <c r="AK33" s="30">
        <f>AF33+AF34</f>
        <v>6966.964285711386</v>
      </c>
      <c r="AL33" s="30"/>
      <c r="AM33" s="30"/>
    </row>
    <row r="34" spans="2:36" ht="15" thickBot="1" thickTop="1">
      <c r="B34" s="57">
        <v>14</v>
      </c>
      <c r="C34" s="192">
        <v>0.8</v>
      </c>
      <c r="D34" s="209"/>
      <c r="E34" s="210"/>
      <c r="F34" s="175">
        <f>C34</f>
        <v>0.8</v>
      </c>
      <c r="G34" s="69">
        <f t="shared" si="0"/>
        <v>0.8</v>
      </c>
      <c r="H34" s="70">
        <f t="shared" si="8"/>
        <v>0.7714285714285715</v>
      </c>
      <c r="I34" s="70">
        <f t="shared" si="12"/>
        <v>0.7428571428571429</v>
      </c>
      <c r="J34" s="70">
        <f t="shared" si="16"/>
        <v>0.7142857142857143</v>
      </c>
      <c r="K34" s="71">
        <f t="shared" si="19"/>
        <v>0.6857142857142857</v>
      </c>
      <c r="L34" s="72">
        <f t="shared" si="13"/>
        <v>720</v>
      </c>
      <c r="M34" s="73">
        <f t="shared" si="1"/>
        <v>694.2857142857143</v>
      </c>
      <c r="N34" s="73">
        <f t="shared" si="2"/>
        <v>668.5714285714286</v>
      </c>
      <c r="O34" s="73">
        <f t="shared" si="3"/>
        <v>642.8571428571429</v>
      </c>
      <c r="P34" s="77">
        <f t="shared" si="4"/>
        <v>617.1428571428572</v>
      </c>
      <c r="Q34" s="86">
        <f t="shared" si="9"/>
        <v>44.99999999999999</v>
      </c>
      <c r="R34" s="87">
        <f t="shared" si="10"/>
        <v>43.39285714285714</v>
      </c>
      <c r="S34" s="87">
        <f t="shared" si="14"/>
        <v>41.78571428571428</v>
      </c>
      <c r="T34" s="87">
        <f t="shared" si="17"/>
        <v>40.17857142857143</v>
      </c>
      <c r="U34" s="88">
        <f t="shared" si="20"/>
        <v>38.57142857142857</v>
      </c>
      <c r="V34" s="90"/>
      <c r="W34" s="91"/>
      <c r="X34" s="91"/>
      <c r="Y34" s="91"/>
      <c r="Z34" s="92"/>
      <c r="AA34" s="90"/>
      <c r="AB34" s="91"/>
      <c r="AC34" s="91"/>
      <c r="AD34" s="91"/>
      <c r="AE34" s="92"/>
      <c r="AF34" s="181">
        <f>SUM(L34:AE34)-0.0000000015</f>
        <v>3551.785714284214</v>
      </c>
      <c r="AG34" s="102">
        <f t="shared" si="11"/>
        <v>3551.785714284214</v>
      </c>
      <c r="AH34" s="42">
        <f t="shared" si="15"/>
        <v>3551.785714284214</v>
      </c>
      <c r="AI34" s="95">
        <f t="shared" si="18"/>
        <v>3551.785714284214</v>
      </c>
      <c r="AJ34" s="113"/>
    </row>
    <row r="35" spans="31:36" ht="14.25" thickTop="1">
      <c r="AE35" s="98"/>
      <c r="AF35" s="110" t="s">
        <v>170</v>
      </c>
      <c r="AG35" s="103">
        <f>SUM(AG20:AG34)</f>
        <v>6966.964285711386</v>
      </c>
      <c r="AH35" s="28">
        <f>SUM(AH20:AH34)</f>
        <v>10245.535714281516</v>
      </c>
      <c r="AI35" s="96">
        <f>SUM(AI20:AI34)</f>
        <v>13387.499999994601</v>
      </c>
      <c r="AJ35" s="114"/>
    </row>
    <row r="36" spans="2:36" ht="13.5">
      <c r="B36" s="199" t="s">
        <v>165</v>
      </c>
      <c r="C36" s="199"/>
      <c r="D36" s="199"/>
      <c r="E36" s="199"/>
      <c r="F36" s="199"/>
      <c r="AE36" s="99"/>
      <c r="AF36" s="111" t="s">
        <v>128</v>
      </c>
      <c r="AG36" s="104">
        <f>AG35*(Koc*(Ocse/100)*Pse*Vse)/(Koc*(Ocse/100)*Pse*Vse+1*86400*2)</f>
        <v>696.6964285711387</v>
      </c>
      <c r="AH36" s="26">
        <f>AH35*(Koc*(Ocse/100)*Pse*Vse)/(Koc*(Ocse/100)*Pse*Vse+1*86400*3)</f>
        <v>706.5886699504493</v>
      </c>
      <c r="AI36" s="97">
        <f>AI35*(Koc*(Ocse/100)*Pse*Vse)/(Koc*(Ocse/100)*Pse*Vse+1*86400*4)</f>
        <v>704.6052631576106</v>
      </c>
      <c r="AJ36" s="115"/>
    </row>
    <row r="37" spans="2:40" ht="14.25" thickBot="1">
      <c r="B37" s="199"/>
      <c r="C37" s="199"/>
      <c r="D37" s="199"/>
      <c r="E37" s="199"/>
      <c r="F37" s="199"/>
      <c r="AE37" s="99"/>
      <c r="AF37" s="171" t="s">
        <v>152</v>
      </c>
      <c r="AG37" s="105">
        <f>(AG35-AG36)/(3*86400*2)*1000</f>
        <v>12.095424107137823</v>
      </c>
      <c r="AH37" s="100">
        <f>(AH35-AH36)/(3*86400*3)*1000</f>
        <v>12.267164408861968</v>
      </c>
      <c r="AI37" s="118">
        <f>(AI35-AI36)/(3*86400*4)*1000</f>
        <v>12.23273026315296</v>
      </c>
      <c r="AJ37" s="116"/>
      <c r="AM37" s="29"/>
      <c r="AN37" s="29"/>
    </row>
    <row r="38" spans="2:40" ht="15" thickBot="1" thickTop="1">
      <c r="B38" s="199"/>
      <c r="C38" s="199"/>
      <c r="D38" s="199"/>
      <c r="E38" s="199"/>
      <c r="F38" s="199"/>
      <c r="AF38" s="172" t="s">
        <v>129</v>
      </c>
      <c r="AG38" s="106">
        <f>IF(k=0,"分解せず",AG37*EXP(-0.17*k))</f>
        <v>10.135809790134056</v>
      </c>
      <c r="AH38" s="35">
        <f>IF(k=0,"分解せず",AH37*EXP(-0.17*k))</f>
        <v>10.27972595348288</v>
      </c>
      <c r="AI38" s="35">
        <f>IF(k=0,"分解せず",AI37*EXP(-0.17*k))</f>
        <v>10.250870582385451</v>
      </c>
      <c r="AJ38" s="117"/>
      <c r="AM38" s="29"/>
      <c r="AN38" s="29"/>
    </row>
    <row r="39" spans="2:39" ht="14.25" thickTop="1">
      <c r="B39" s="199"/>
      <c r="C39" s="199"/>
      <c r="D39" s="199"/>
      <c r="E39" s="199"/>
      <c r="F39" s="199"/>
      <c r="AF39" s="166" t="s">
        <v>189</v>
      </c>
      <c r="AG39" s="167"/>
      <c r="AH39" s="167"/>
      <c r="AI39" s="167"/>
      <c r="AJ39" s="167"/>
      <c r="AK39" s="167"/>
      <c r="AL39" s="167"/>
      <c r="AM39" s="167"/>
    </row>
    <row r="40" spans="2:6" ht="13.5">
      <c r="B40" s="31"/>
      <c r="C40" s="31"/>
      <c r="D40" s="31"/>
      <c r="E40" s="31"/>
      <c r="F40" s="31"/>
    </row>
    <row r="41" spans="2:6" ht="13.5">
      <c r="B41" s="31"/>
      <c r="C41" s="31"/>
      <c r="D41" s="31"/>
      <c r="E41" s="31"/>
      <c r="F41" s="31"/>
    </row>
  </sheetData>
  <sheetProtection/>
  <mergeCells count="28">
    <mergeCell ref="C34:E34"/>
    <mergeCell ref="C24:E24"/>
    <mergeCell ref="C25:E25"/>
    <mergeCell ref="C28:E28"/>
    <mergeCell ref="C29:E29"/>
    <mergeCell ref="C31:E31"/>
    <mergeCell ref="C32:E32"/>
    <mergeCell ref="C33:E33"/>
    <mergeCell ref="C30:E30"/>
    <mergeCell ref="B36:F39"/>
    <mergeCell ref="L15:N15"/>
    <mergeCell ref="L16:N16"/>
    <mergeCell ref="C18:F18"/>
    <mergeCell ref="B18:B19"/>
    <mergeCell ref="C20:E20"/>
    <mergeCell ref="C21:E21"/>
    <mergeCell ref="G15:J15"/>
    <mergeCell ref="C26:E26"/>
    <mergeCell ref="C27:E27"/>
    <mergeCell ref="C22:E22"/>
    <mergeCell ref="C23:E23"/>
    <mergeCell ref="AA18:AE18"/>
    <mergeCell ref="AG18:AI18"/>
    <mergeCell ref="G18:K18"/>
    <mergeCell ref="L18:P18"/>
    <mergeCell ref="Q18:U18"/>
    <mergeCell ref="V18:Z18"/>
    <mergeCell ref="C19:E19"/>
  </mergeCells>
  <printOptions/>
  <pageMargins left="0.3937007874015748" right="0.3937007874015748" top="0.5905511811023623" bottom="0.3937007874015748" header="0.5118110236220472" footer="0.5118110236220472"/>
  <pageSetup horizontalDpi="600" verticalDpi="600" orientation="landscape" paperSize="9" scale="57" r:id="rId1"/>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B1:S43"/>
  <sheetViews>
    <sheetView tabSelected="1" zoomScale="70" zoomScaleNormal="70" zoomScalePageLayoutView="0" workbookViewId="0" topLeftCell="A11">
      <selection activeCell="W13" sqref="W13"/>
    </sheetView>
  </sheetViews>
  <sheetFormatPr defaultColWidth="9.00390625" defaultRowHeight="13.5"/>
  <cols>
    <col min="1" max="1" width="2.50390625" style="0" customWidth="1"/>
    <col min="2" max="2" width="10.125" style="0" customWidth="1"/>
    <col min="3" max="5" width="6.75390625" style="0" customWidth="1"/>
    <col min="6" max="6" width="10.50390625" style="0" customWidth="1"/>
    <col min="7" max="7" width="8.50390625" style="0" customWidth="1"/>
    <col min="8" max="11" width="10.50390625" style="0" customWidth="1"/>
    <col min="12" max="12" width="8.00390625" style="0" customWidth="1"/>
    <col min="13" max="15" width="7.25390625" style="0" customWidth="1"/>
    <col min="16" max="18" width="8.875" style="0" hidden="1" customWidth="1"/>
  </cols>
  <sheetData>
    <row r="1" ht="13.5">
      <c r="B1" s="149" t="s">
        <v>188</v>
      </c>
    </row>
    <row r="2" spans="2:6" ht="13.5">
      <c r="B2" s="149" t="s">
        <v>153</v>
      </c>
      <c r="C2" s="149"/>
      <c r="D2" s="149"/>
      <c r="F2" s="19"/>
    </row>
    <row r="3" ht="13.5">
      <c r="B3" t="s">
        <v>172</v>
      </c>
    </row>
    <row r="4" spans="2:11" ht="13.5">
      <c r="B4" s="40" t="s">
        <v>173</v>
      </c>
      <c r="C4" s="5"/>
      <c r="D4" s="5"/>
      <c r="E4" s="5"/>
      <c r="F4" s="41"/>
      <c r="G4" s="29"/>
      <c r="H4" s="29"/>
      <c r="I4" s="29"/>
      <c r="K4" t="s">
        <v>97</v>
      </c>
    </row>
    <row r="5" spans="2:13" ht="13.5">
      <c r="B5" s="45" t="s">
        <v>168</v>
      </c>
      <c r="C5" s="46"/>
      <c r="D5" s="46"/>
      <c r="E5" s="46"/>
      <c r="F5" s="47"/>
      <c r="G5" s="29"/>
      <c r="H5" s="29"/>
      <c r="I5" s="29"/>
      <c r="K5" s="125" t="s">
        <v>99</v>
      </c>
      <c r="L5" s="125" t="s">
        <v>100</v>
      </c>
      <c r="M5" s="125" t="s">
        <v>101</v>
      </c>
    </row>
    <row r="6" spans="2:13" ht="14.25" thickBot="1">
      <c r="B6" s="29"/>
      <c r="C6" s="29"/>
      <c r="D6" s="29"/>
      <c r="E6" s="29"/>
      <c r="F6" s="29"/>
      <c r="G6" s="29"/>
      <c r="H6" s="29"/>
      <c r="I6" s="29"/>
      <c r="K6" s="6" t="s">
        <v>131</v>
      </c>
      <c r="L6" s="6">
        <v>2000</v>
      </c>
      <c r="M6" s="6" t="s">
        <v>132</v>
      </c>
    </row>
    <row r="7" spans="2:13" ht="15" thickBot="1" thickTop="1">
      <c r="B7" s="150" t="s">
        <v>187</v>
      </c>
      <c r="C7" s="179"/>
      <c r="D7" s="29"/>
      <c r="E7" s="29"/>
      <c r="F7" s="29"/>
      <c r="G7" s="29"/>
      <c r="H7" s="29"/>
      <c r="I7" s="29"/>
      <c r="K7" s="6" t="s">
        <v>135</v>
      </c>
      <c r="L7" s="6">
        <v>1</v>
      </c>
      <c r="M7" s="6" t="s">
        <v>136</v>
      </c>
    </row>
    <row r="8" spans="11:13" ht="14.25" thickTop="1">
      <c r="K8" s="6" t="s">
        <v>108</v>
      </c>
      <c r="L8" s="6">
        <v>1.2</v>
      </c>
      <c r="M8" s="6" t="s">
        <v>109</v>
      </c>
    </row>
    <row r="9" spans="2:13" ht="13.5">
      <c r="B9" t="s">
        <v>107</v>
      </c>
      <c r="K9" s="6" t="s">
        <v>111</v>
      </c>
      <c r="L9" s="6">
        <v>1</v>
      </c>
      <c r="M9" s="6" t="s">
        <v>105</v>
      </c>
    </row>
    <row r="10" spans="2:13" ht="14.25" thickBot="1">
      <c r="B10" s="125" t="s">
        <v>110</v>
      </c>
      <c r="C10" s="177" t="s">
        <v>100</v>
      </c>
      <c r="D10" s="125" t="s">
        <v>101</v>
      </c>
      <c r="K10" s="21" t="s">
        <v>114</v>
      </c>
      <c r="L10" s="6">
        <v>2.4</v>
      </c>
      <c r="M10" s="6" t="s">
        <v>115</v>
      </c>
    </row>
    <row r="11" spans="2:13" ht="15" thickBot="1" thickTop="1">
      <c r="B11" s="128" t="s">
        <v>112</v>
      </c>
      <c r="C11" s="179">
        <v>100</v>
      </c>
      <c r="D11" s="127" t="s">
        <v>113</v>
      </c>
      <c r="E11" s="49" t="s">
        <v>171</v>
      </c>
      <c r="K11" s="21" t="s">
        <v>117</v>
      </c>
      <c r="L11" s="6">
        <v>2.9</v>
      </c>
      <c r="M11" s="6" t="s">
        <v>118</v>
      </c>
    </row>
    <row r="12" spans="2:5" ht="15" thickBot="1" thickTop="1">
      <c r="B12" s="128" t="s">
        <v>116</v>
      </c>
      <c r="C12" s="179">
        <v>0.03</v>
      </c>
      <c r="D12" s="6"/>
      <c r="E12" s="49" t="s">
        <v>166</v>
      </c>
    </row>
    <row r="13" spans="2:4" ht="15" thickBot="1" thickTop="1">
      <c r="B13" s="128" t="s">
        <v>119</v>
      </c>
      <c r="C13" s="179">
        <v>3</v>
      </c>
      <c r="D13" s="127" t="s">
        <v>104</v>
      </c>
    </row>
    <row r="14" spans="2:10" ht="15" thickBot="1" thickTop="1">
      <c r="B14" s="128" t="s">
        <v>98</v>
      </c>
      <c r="C14" s="179">
        <v>1000</v>
      </c>
      <c r="D14" s="127"/>
      <c r="J14" s="49" t="s">
        <v>102</v>
      </c>
    </row>
    <row r="15" spans="2:15" ht="15" thickBot="1" thickTop="1">
      <c r="B15" s="6" t="s">
        <v>130</v>
      </c>
      <c r="C15" s="12">
        <f>(Plevee/rws)*Koc*(Oclevee/100)+1</f>
        <v>13.083333333333334</v>
      </c>
      <c r="D15" s="6"/>
      <c r="J15" s="17" t="s">
        <v>103</v>
      </c>
      <c r="K15" s="178"/>
      <c r="L15" s="179"/>
      <c r="M15" s="127" t="s">
        <v>133</v>
      </c>
      <c r="N15" s="20" t="s">
        <v>134</v>
      </c>
      <c r="O15">
        <f>IF(L15="",0,LN(2)/L15)</f>
        <v>0</v>
      </c>
    </row>
    <row r="16" spans="2:15" ht="15" thickBot="1" thickTop="1">
      <c r="B16" s="6" t="s">
        <v>154</v>
      </c>
      <c r="C16" s="125" t="s">
        <v>155</v>
      </c>
      <c r="D16" s="6"/>
      <c r="E16" s="49" t="s">
        <v>164</v>
      </c>
      <c r="J16" s="17" t="s">
        <v>192</v>
      </c>
      <c r="K16" s="178"/>
      <c r="L16" s="179">
        <v>3</v>
      </c>
      <c r="M16" s="127" t="s">
        <v>137</v>
      </c>
      <c r="N16" s="20" t="s">
        <v>138</v>
      </c>
      <c r="O16">
        <f>IF(L16="",0,LN(2)/L16)</f>
        <v>0.23104906018664842</v>
      </c>
    </row>
    <row r="17" spans="14:15" ht="14.25" thickTop="1">
      <c r="N17" s="20" t="s">
        <v>139</v>
      </c>
      <c r="O17">
        <f>O15+O16</f>
        <v>0.23104906018664842</v>
      </c>
    </row>
    <row r="18" spans="2:15" ht="20.25" customHeight="1">
      <c r="B18" s="205" t="s">
        <v>72</v>
      </c>
      <c r="C18" s="185" t="s">
        <v>121</v>
      </c>
      <c r="D18" s="182"/>
      <c r="E18" s="182"/>
      <c r="F18" s="207"/>
      <c r="G18" s="3" t="s">
        <v>122</v>
      </c>
      <c r="H18" s="3" t="s">
        <v>142</v>
      </c>
      <c r="I18" s="3" t="s">
        <v>144</v>
      </c>
      <c r="J18" s="3" t="s">
        <v>146</v>
      </c>
      <c r="K18" s="3" t="s">
        <v>148</v>
      </c>
      <c r="L18" s="206" t="s">
        <v>150</v>
      </c>
      <c r="M18" s="205" t="s">
        <v>123</v>
      </c>
      <c r="N18" s="205"/>
      <c r="O18" s="205"/>
    </row>
    <row r="19" spans="2:18" ht="27" customHeight="1" thickBot="1">
      <c r="B19" s="205"/>
      <c r="C19" s="208" t="s">
        <v>167</v>
      </c>
      <c r="D19" s="184"/>
      <c r="E19" s="198"/>
      <c r="F19" s="2" t="s">
        <v>124</v>
      </c>
      <c r="G19" s="15" t="s">
        <v>156</v>
      </c>
      <c r="H19" s="15" t="s">
        <v>157</v>
      </c>
      <c r="I19" s="15" t="s">
        <v>158</v>
      </c>
      <c r="J19" s="15" t="s">
        <v>159</v>
      </c>
      <c r="K19" s="15" t="s">
        <v>160</v>
      </c>
      <c r="L19" s="206"/>
      <c r="M19" s="25" t="s">
        <v>125</v>
      </c>
      <c r="N19" s="25" t="s">
        <v>126</v>
      </c>
      <c r="O19" s="25" t="s">
        <v>127</v>
      </c>
      <c r="P19" s="38" t="s">
        <v>161</v>
      </c>
      <c r="Q19" s="39" t="s">
        <v>162</v>
      </c>
      <c r="R19" s="39" t="s">
        <v>163</v>
      </c>
    </row>
    <row r="20" spans="2:18" ht="15" thickBot="1" thickTop="1">
      <c r="B20" s="128">
        <v>0</v>
      </c>
      <c r="C20" s="192">
        <v>0.6</v>
      </c>
      <c r="D20" s="209"/>
      <c r="E20" s="210"/>
      <c r="F20" s="180">
        <f>C20</f>
        <v>0.6</v>
      </c>
      <c r="G20" s="55">
        <f>F20</f>
        <v>0.6</v>
      </c>
      <c r="H20" s="51">
        <f aca="true" t="shared" si="0" ref="H20:H34">IF($B20&lt;$C$13,"",(G20*30*50*ｆｐ)/1)</f>
      </c>
      <c r="I20" s="52">
        <f aca="true" t="shared" si="1" ref="I20:I34">((G20*20*50*ｆｐ)/Klevee)/1</f>
        <v>1.375796178343949</v>
      </c>
      <c r="J20" s="44">
        <f>I*(1.9/100)*0.8*1</f>
        <v>1.52</v>
      </c>
      <c r="K20" s="44">
        <f>I*(100/100)*0.33*1</f>
        <v>33</v>
      </c>
      <c r="L20" s="52">
        <f aca="true" t="shared" si="2" ref="L20:L34">SUM(H20:K20)</f>
        <v>35.89579617834395</v>
      </c>
      <c r="M20" s="42">
        <f>IF(P20&gt;=LARGE(P$20:P$34,1),L20,"")</f>
      </c>
      <c r="N20" s="42">
        <f>IF(Q20&gt;=LARGE(Q$20:Q$34,1),L20,"")</f>
      </c>
      <c r="O20" s="42">
        <f>IF(R20&gt;=LARGE(R$20:R$34,1),L20,"")</f>
        <v>35.89579617834395</v>
      </c>
      <c r="P20" s="30">
        <f aca="true" t="shared" si="3" ref="P20:P33">L20+L21</f>
        <v>36.05630573248408</v>
      </c>
      <c r="Q20" s="30">
        <f aca="true" t="shared" si="4" ref="Q20:Q32">L20+L21+L22</f>
        <v>36.331464968152865</v>
      </c>
      <c r="R20" s="30">
        <f aca="true" t="shared" si="5" ref="R20:R31">L20+L21+L22+L23</f>
        <v>74.16585987261146</v>
      </c>
    </row>
    <row r="21" spans="2:18" ht="15" thickBot="1" thickTop="1">
      <c r="B21" s="128">
        <v>1</v>
      </c>
      <c r="C21" s="192">
        <v>0.07</v>
      </c>
      <c r="D21" s="209"/>
      <c r="E21" s="210"/>
      <c r="F21" s="180">
        <f>C21</f>
        <v>0.07</v>
      </c>
      <c r="G21" s="55">
        <f aca="true" t="shared" si="6" ref="G21:G34">F21</f>
        <v>0.07</v>
      </c>
      <c r="H21" s="51">
        <f t="shared" si="0"/>
      </c>
      <c r="I21" s="52">
        <f t="shared" si="1"/>
        <v>0.16050955414012738</v>
      </c>
      <c r="J21" s="50"/>
      <c r="K21" s="50"/>
      <c r="L21" s="52">
        <f t="shared" si="2"/>
        <v>0.16050955414012738</v>
      </c>
      <c r="M21" s="42">
        <f>IF(P20&gt;=LARGE(P$20:P$34,1),L21,IF(P21&gt;=LARGE(P$20:P$34,1),L21,""))</f>
      </c>
      <c r="N21" s="42">
        <f>IF(Q20&gt;=LARGE(Q$20:Q$34,1),L21,IF(Q21&gt;=LARGE(Q$20:Q$34,1),L21,""))</f>
      </c>
      <c r="O21" s="42">
        <f>IF(R20&gt;=LARGE(R$20:R$34,1),L21,IF(R21&gt;=LARGE(R$20:R$34,1),L21,""))</f>
        <v>0.16050955414012738</v>
      </c>
      <c r="P21" s="30">
        <f t="shared" si="3"/>
        <v>0.4356687898089171</v>
      </c>
      <c r="Q21" s="30">
        <f t="shared" si="4"/>
        <v>38.27006369426751</v>
      </c>
      <c r="R21" s="30">
        <f t="shared" si="5"/>
        <v>57.376433121019105</v>
      </c>
    </row>
    <row r="22" spans="2:18" ht="15" thickBot="1" thickTop="1">
      <c r="B22" s="6">
        <v>2</v>
      </c>
      <c r="C22" s="220">
        <v>0.12</v>
      </c>
      <c r="D22" s="193"/>
      <c r="E22" s="212"/>
      <c r="F22" s="54">
        <f>IF(C22&lt;&gt;"",C22,(C21+C23)/2)</f>
        <v>0.12</v>
      </c>
      <c r="G22" s="55">
        <f t="shared" si="6"/>
        <v>0.12</v>
      </c>
      <c r="H22" s="51">
        <f t="shared" si="0"/>
      </c>
      <c r="I22" s="52">
        <f t="shared" si="1"/>
        <v>0.27515923566878975</v>
      </c>
      <c r="J22" s="50"/>
      <c r="K22" s="50"/>
      <c r="L22" s="52">
        <f t="shared" si="2"/>
        <v>0.27515923566878975</v>
      </c>
      <c r="M22" s="42">
        <f aca="true" t="shared" si="7" ref="M22:M34">IF(P21&gt;=LARGE(P$20:P$34,1),L22,IF(P22&gt;=LARGE(P$20:P$34,1),L22,""))</f>
      </c>
      <c r="N22" s="42">
        <f>IF(Q20&gt;=LARGE(Q$20:Q$34,1),L22,IF(Q21&gt;=LARGE(Q$20:Q$34,1),L22,IF(Q22&gt;=LARGE(Q$20:Q$34,1),L22,"")))</f>
      </c>
      <c r="O22" s="42">
        <f>IF(R20&gt;=LARGE(R$20:R$34,1),L22,IF(R21&gt;=LARGE(R$20:R$34,1),L22,IF(R22&gt;=LARGE(R$20:R$34,1),L22,"")))</f>
        <v>0.27515923566878975</v>
      </c>
      <c r="P22" s="30">
        <f t="shared" si="3"/>
        <v>38.109554140127386</v>
      </c>
      <c r="Q22" s="30">
        <f t="shared" si="4"/>
        <v>57.21592356687898</v>
      </c>
      <c r="R22" s="30">
        <f t="shared" si="5"/>
        <v>57.59426751592356</v>
      </c>
    </row>
    <row r="23" spans="2:18" ht="15" thickBot="1" thickTop="1">
      <c r="B23" s="128">
        <v>3</v>
      </c>
      <c r="C23" s="192">
        <v>0.8</v>
      </c>
      <c r="D23" s="209"/>
      <c r="E23" s="210"/>
      <c r="F23" s="180">
        <f>C23</f>
        <v>0.8</v>
      </c>
      <c r="G23" s="55">
        <f t="shared" si="6"/>
        <v>0.8</v>
      </c>
      <c r="H23" s="51">
        <f t="shared" si="0"/>
        <v>36</v>
      </c>
      <c r="I23" s="52">
        <f t="shared" si="1"/>
        <v>1.8343949044585985</v>
      </c>
      <c r="J23" s="50"/>
      <c r="K23" s="50"/>
      <c r="L23" s="52">
        <f t="shared" si="2"/>
        <v>37.8343949044586</v>
      </c>
      <c r="M23" s="42">
        <f t="shared" si="7"/>
        <v>37.8343949044586</v>
      </c>
      <c r="N23" s="42">
        <f aca="true" t="shared" si="8" ref="N23:N34">IF(Q21&gt;=LARGE(Q$20:Q$34,1),L23,IF(Q22&gt;=LARGE(Q$20:Q$34,1),L23,IF(Q23&gt;=LARGE(Q$20:Q$34,1),L23,"")))</f>
        <v>37.8343949044586</v>
      </c>
      <c r="O23" s="42">
        <f>IF(R20&gt;=LARGE(R$20:R$34,1),L23,IF(R21&gt;=LARGE(R$20:R$34,1),L23,IF(R22&gt;=LARGE(R$20:R$34,1),L23,IF(R23&gt;=LARGE(R$20:R$34,1),L23,""))))</f>
        <v>37.8343949044586</v>
      </c>
      <c r="P23" s="30">
        <f t="shared" si="3"/>
        <v>56.94076433121019</v>
      </c>
      <c r="Q23" s="30">
        <f t="shared" si="4"/>
        <v>57.319108280254774</v>
      </c>
      <c r="R23" s="30">
        <f t="shared" si="5"/>
        <v>58.927070063694266</v>
      </c>
    </row>
    <row r="24" spans="2:18" ht="14.25" thickTop="1">
      <c r="B24" s="6">
        <v>4</v>
      </c>
      <c r="C24" s="219"/>
      <c r="D24" s="195"/>
      <c r="E24" s="217"/>
      <c r="F24" s="54">
        <f>IF(C24&lt;&gt;"",C24,IF(C25&lt;&gt;"",F23-(F23-C25)/2,IF(C26&lt;&gt;"",F23-(F23-C26)/3,F23-(F23-C27)/4)))</f>
        <v>0.404</v>
      </c>
      <c r="G24" s="55">
        <f t="shared" si="6"/>
        <v>0.404</v>
      </c>
      <c r="H24" s="51">
        <f t="shared" si="0"/>
        <v>18.18</v>
      </c>
      <c r="I24" s="52">
        <f t="shared" si="1"/>
        <v>0.9263694267515923</v>
      </c>
      <c r="J24" s="50"/>
      <c r="K24" s="50"/>
      <c r="L24" s="52">
        <f t="shared" si="2"/>
        <v>19.10636942675159</v>
      </c>
      <c r="M24" s="42">
        <f t="shared" si="7"/>
        <v>19.10636942675159</v>
      </c>
      <c r="N24" s="42">
        <f t="shared" si="8"/>
        <v>19.10636942675159</v>
      </c>
      <c r="O24" s="42">
        <f aca="true" t="shared" si="9" ref="O24:O34">IF(R21&gt;=LARGE(R$20:R$34,1),L24,IF(R22&gt;=LARGE(R$20:R$34,1),L24,IF(R23&gt;=LARGE(R$20:R$34,1),L24,IF(R24&gt;=LARGE(R$20:R$34,1),L24,""))))</f>
      </c>
      <c r="P24" s="30">
        <f t="shared" si="3"/>
        <v>19.484713375796176</v>
      </c>
      <c r="Q24" s="30">
        <f t="shared" si="4"/>
        <v>21.092675159235664</v>
      </c>
      <c r="R24" s="30">
        <f t="shared" si="5"/>
        <v>23.930254777070058</v>
      </c>
    </row>
    <row r="25" spans="2:18" ht="13.5">
      <c r="B25" s="6">
        <v>5</v>
      </c>
      <c r="C25" s="185">
        <v>0.008</v>
      </c>
      <c r="D25" s="182"/>
      <c r="E25" s="186"/>
      <c r="F25" s="54">
        <f>IF(C25&lt;&gt;"",C25,IF(C26&lt;&gt;"",F24-(F24-C26)/2,F24-(F24-C27)/3))</f>
        <v>0.008</v>
      </c>
      <c r="G25" s="55">
        <f t="shared" si="6"/>
        <v>0.008</v>
      </c>
      <c r="H25" s="51">
        <f t="shared" si="0"/>
        <v>0.36</v>
      </c>
      <c r="I25" s="52">
        <f t="shared" si="1"/>
        <v>0.018343949044585986</v>
      </c>
      <c r="J25" s="50"/>
      <c r="K25" s="50"/>
      <c r="L25" s="52">
        <f t="shared" si="2"/>
        <v>0.37834394904458596</v>
      </c>
      <c r="M25" s="42">
        <f t="shared" si="7"/>
      </c>
      <c r="N25" s="42">
        <f t="shared" si="8"/>
        <v>0.37834394904458596</v>
      </c>
      <c r="O25" s="42">
        <f t="shared" si="9"/>
      </c>
      <c r="P25" s="30">
        <f t="shared" si="3"/>
        <v>1.9863057324840763</v>
      </c>
      <c r="Q25" s="30">
        <f t="shared" si="4"/>
        <v>4.82388535031847</v>
      </c>
      <c r="R25" s="30">
        <f t="shared" si="5"/>
        <v>6.747133757961782</v>
      </c>
    </row>
    <row r="26" spans="2:18" ht="14.25" thickBot="1">
      <c r="B26" s="6">
        <v>6</v>
      </c>
      <c r="C26" s="218"/>
      <c r="D26" s="214"/>
      <c r="E26" s="215"/>
      <c r="F26" s="54">
        <f>IF(C26&lt;&gt;"",C26,F25-(F25-C27)/2)</f>
        <v>0.034</v>
      </c>
      <c r="G26" s="55">
        <f t="shared" si="6"/>
        <v>0.034</v>
      </c>
      <c r="H26" s="51">
        <f t="shared" si="0"/>
        <v>1.53</v>
      </c>
      <c r="I26" s="52">
        <f t="shared" si="1"/>
        <v>0.07796178343949044</v>
      </c>
      <c r="J26" s="50"/>
      <c r="K26" s="50"/>
      <c r="L26" s="52">
        <f t="shared" si="2"/>
        <v>1.6079617834394904</v>
      </c>
      <c r="M26" s="42">
        <f t="shared" si="7"/>
      </c>
      <c r="N26" s="42">
        <f t="shared" si="8"/>
      </c>
      <c r="O26" s="42">
        <f t="shared" si="9"/>
      </c>
      <c r="P26" s="30">
        <f t="shared" si="3"/>
        <v>4.445541401273885</v>
      </c>
      <c r="Q26" s="30">
        <f t="shared" si="4"/>
        <v>6.368789808917197</v>
      </c>
      <c r="R26" s="30">
        <f t="shared" si="5"/>
        <v>7.377707006369427</v>
      </c>
    </row>
    <row r="27" spans="2:18" ht="15" thickBot="1" thickTop="1">
      <c r="B27" s="128">
        <v>7</v>
      </c>
      <c r="C27" s="192">
        <v>0.06</v>
      </c>
      <c r="D27" s="209"/>
      <c r="E27" s="210"/>
      <c r="F27" s="180">
        <f>C27</f>
        <v>0.06</v>
      </c>
      <c r="G27" s="55">
        <f t="shared" si="6"/>
        <v>0.06</v>
      </c>
      <c r="H27" s="51">
        <f t="shared" si="0"/>
        <v>2.6999999999999993</v>
      </c>
      <c r="I27" s="52">
        <f t="shared" si="1"/>
        <v>0.13757961783439487</v>
      </c>
      <c r="J27" s="50"/>
      <c r="K27" s="50"/>
      <c r="L27" s="52">
        <f t="shared" si="2"/>
        <v>2.837579617834394</v>
      </c>
      <c r="M27" s="42">
        <f t="shared" si="7"/>
      </c>
      <c r="N27" s="42">
        <f t="shared" si="8"/>
      </c>
      <c r="O27" s="42">
        <f t="shared" si="9"/>
      </c>
      <c r="P27" s="30">
        <f t="shared" si="3"/>
        <v>4.760828025477706</v>
      </c>
      <c r="Q27" s="30">
        <f t="shared" si="4"/>
        <v>5.769745222929936</v>
      </c>
      <c r="R27" s="30">
        <f t="shared" si="5"/>
        <v>5.864331210191082</v>
      </c>
    </row>
    <row r="28" spans="2:18" ht="14.25" thickTop="1">
      <c r="B28" s="6">
        <v>8</v>
      </c>
      <c r="C28" s="219"/>
      <c r="D28" s="195"/>
      <c r="E28" s="217"/>
      <c r="F28" s="54">
        <f>IF(C28&lt;&gt;"",C28,IF(C29&lt;&gt;"",F27-(F27-C29)/2,IF(C30&lt;&gt;"",F27-(F27-C30)/3,IF(C31&lt;&gt;"",F27-(F27-C31)/4,IF(C32&lt;&gt;"",F27-(F27-C32)/5,IF(C33&lt;&gt;"",F27-(F27-C33)/6,F27-(F27-C34)/7))))))</f>
        <v>0.04066666666666667</v>
      </c>
      <c r="G28" s="55">
        <f t="shared" si="6"/>
        <v>0.04066666666666667</v>
      </c>
      <c r="H28" s="51">
        <f t="shared" si="0"/>
        <v>1.83</v>
      </c>
      <c r="I28" s="52">
        <f t="shared" si="1"/>
        <v>0.09324840764331212</v>
      </c>
      <c r="J28" s="50"/>
      <c r="K28" s="50"/>
      <c r="L28" s="52">
        <f t="shared" si="2"/>
        <v>1.9232484076433123</v>
      </c>
      <c r="M28" s="42">
        <f t="shared" si="7"/>
      </c>
      <c r="N28" s="42">
        <f t="shared" si="8"/>
      </c>
      <c r="O28" s="42">
        <f t="shared" si="9"/>
      </c>
      <c r="P28" s="30">
        <f t="shared" si="3"/>
        <v>2.932165605095542</v>
      </c>
      <c r="Q28" s="30">
        <f t="shared" si="4"/>
        <v>3.0267515923566886</v>
      </c>
      <c r="R28" s="30">
        <f t="shared" si="5"/>
        <v>3.1095143312101916</v>
      </c>
    </row>
    <row r="29" spans="2:18" ht="13.5">
      <c r="B29" s="6">
        <v>9</v>
      </c>
      <c r="C29" s="185"/>
      <c r="D29" s="182"/>
      <c r="E29" s="186"/>
      <c r="F29" s="54">
        <f>IF(C29&lt;&gt;"",C29,IF(C30&lt;&gt;"",F28-(F28-C30)/2,IF(C31&lt;&gt;"",F28-(F28-C31)/3,IF(C32&lt;&gt;"",F28-(F28-C32)/4,IF(C33&lt;&gt;"",F28-(F28-C33)/5,F28-(F28-C34)/6)))))</f>
        <v>0.021333333333333336</v>
      </c>
      <c r="G29" s="55">
        <f t="shared" si="6"/>
        <v>0.021333333333333336</v>
      </c>
      <c r="H29" s="51">
        <f t="shared" si="0"/>
        <v>0.9600000000000002</v>
      </c>
      <c r="I29" s="52">
        <f t="shared" si="1"/>
        <v>0.0489171974522293</v>
      </c>
      <c r="J29" s="50"/>
      <c r="K29" s="50"/>
      <c r="L29" s="52">
        <f t="shared" si="2"/>
        <v>1.0089171974522295</v>
      </c>
      <c r="M29" s="42">
        <f t="shared" si="7"/>
      </c>
      <c r="N29" s="42">
        <f t="shared" si="8"/>
      </c>
      <c r="O29" s="42">
        <f t="shared" si="9"/>
      </c>
      <c r="P29" s="30">
        <f t="shared" si="3"/>
        <v>1.103503184713376</v>
      </c>
      <c r="Q29" s="30">
        <f t="shared" si="4"/>
        <v>1.1862659235668793</v>
      </c>
      <c r="R29" s="30">
        <f t="shared" si="5"/>
        <v>1.257205414012739</v>
      </c>
    </row>
    <row r="30" spans="2:18" ht="13.5">
      <c r="B30" s="6">
        <v>10</v>
      </c>
      <c r="C30" s="185">
        <v>0.002</v>
      </c>
      <c r="D30" s="182"/>
      <c r="E30" s="186"/>
      <c r="F30" s="54">
        <f>IF(C30&lt;&gt;"",C30,IF(C31&lt;&gt;"",F29-(F29-C31)/2,IF(C32&lt;&gt;"",F29-(F29-C32)/3,IF(C33&lt;&gt;"",F29-(F29-C33)/4,F29-(F29-C34)/5))))</f>
        <v>0.002</v>
      </c>
      <c r="G30" s="55">
        <f t="shared" si="6"/>
        <v>0.002</v>
      </c>
      <c r="H30" s="51">
        <f t="shared" si="0"/>
        <v>0.09</v>
      </c>
      <c r="I30" s="52">
        <f t="shared" si="1"/>
        <v>0.0045859872611464965</v>
      </c>
      <c r="J30" s="50"/>
      <c r="K30" s="50"/>
      <c r="L30" s="52">
        <f t="shared" si="2"/>
        <v>0.09458598726114649</v>
      </c>
      <c r="M30" s="42">
        <f t="shared" si="7"/>
      </c>
      <c r="N30" s="42">
        <f t="shared" si="8"/>
      </c>
      <c r="O30" s="42">
        <f t="shared" si="9"/>
      </c>
      <c r="P30" s="30">
        <f t="shared" si="3"/>
        <v>0.1773487261146497</v>
      </c>
      <c r="Q30" s="30">
        <f t="shared" si="4"/>
        <v>0.24828821656050956</v>
      </c>
      <c r="R30" s="30">
        <f t="shared" si="5"/>
        <v>0.3074044585987261</v>
      </c>
    </row>
    <row r="31" spans="2:18" ht="13.5">
      <c r="B31" s="6">
        <v>11</v>
      </c>
      <c r="C31" s="185"/>
      <c r="D31" s="182"/>
      <c r="E31" s="186"/>
      <c r="F31" s="54">
        <f>IF(C31&lt;&gt;"",C31,IF(C32&lt;&gt;"",F30-(F30-C32)/2,IF(C33&lt;&gt;"",F30-(F30-C33)/3,F30-(F30-C34)/4)))</f>
        <v>0.00175</v>
      </c>
      <c r="G31" s="55">
        <f t="shared" si="6"/>
        <v>0.00175</v>
      </c>
      <c r="H31" s="51">
        <f t="shared" si="0"/>
        <v>0.07875</v>
      </c>
      <c r="I31" s="52">
        <f t="shared" si="1"/>
        <v>0.004012738853503185</v>
      </c>
      <c r="J31" s="50"/>
      <c r="K31" s="50"/>
      <c r="L31" s="52">
        <f t="shared" si="2"/>
        <v>0.08276273885350319</v>
      </c>
      <c r="M31" s="42">
        <f t="shared" si="7"/>
      </c>
      <c r="N31" s="42">
        <f t="shared" si="8"/>
      </c>
      <c r="O31" s="42">
        <f t="shared" si="9"/>
      </c>
      <c r="P31" s="30">
        <f t="shared" si="3"/>
        <v>0.15370222929936306</v>
      </c>
      <c r="Q31" s="30">
        <f t="shared" si="4"/>
        <v>0.2128184713375796</v>
      </c>
      <c r="R31" s="30">
        <f t="shared" si="5"/>
        <v>0.26011146496815285</v>
      </c>
    </row>
    <row r="32" spans="2:18" ht="13.5">
      <c r="B32" s="6">
        <v>12</v>
      </c>
      <c r="C32" s="185"/>
      <c r="D32" s="182"/>
      <c r="E32" s="186"/>
      <c r="F32" s="54">
        <f>IF(C32&lt;&gt;"",C32,IF(C33&lt;&gt;"",F31-(F31-C33)/2,F31-(F31-C34)/3))</f>
        <v>0.0015</v>
      </c>
      <c r="G32" s="55">
        <f t="shared" si="6"/>
        <v>0.0015</v>
      </c>
      <c r="H32" s="51">
        <f t="shared" si="0"/>
        <v>0.0675</v>
      </c>
      <c r="I32" s="52">
        <f t="shared" si="1"/>
        <v>0.0034394904458598724</v>
      </c>
      <c r="J32" s="50"/>
      <c r="K32" s="50"/>
      <c r="L32" s="52">
        <f t="shared" si="2"/>
        <v>0.07093949044585987</v>
      </c>
      <c r="M32" s="42">
        <f t="shared" si="7"/>
      </c>
      <c r="N32" s="42">
        <f t="shared" si="8"/>
      </c>
      <c r="O32" s="42">
        <f t="shared" si="9"/>
      </c>
      <c r="P32" s="30">
        <f t="shared" si="3"/>
        <v>0.13005573248407643</v>
      </c>
      <c r="Q32" s="30">
        <f t="shared" si="4"/>
        <v>0.17734872611464966</v>
      </c>
      <c r="R32" s="30"/>
    </row>
    <row r="33" spans="2:18" ht="14.25" thickBot="1">
      <c r="B33" s="6">
        <v>13</v>
      </c>
      <c r="C33" s="218"/>
      <c r="D33" s="214"/>
      <c r="E33" s="215"/>
      <c r="F33" s="54">
        <f>IF(C33&lt;&gt;"",C33,F32-(F32-C34)/2)</f>
        <v>0.00125</v>
      </c>
      <c r="G33" s="55">
        <f t="shared" si="6"/>
        <v>0.00125</v>
      </c>
      <c r="H33" s="51">
        <f t="shared" si="0"/>
        <v>0.056249999999999994</v>
      </c>
      <c r="I33" s="52">
        <f t="shared" si="1"/>
        <v>0.0028662420382165603</v>
      </c>
      <c r="J33" s="50"/>
      <c r="K33" s="50"/>
      <c r="L33" s="52">
        <f t="shared" si="2"/>
        <v>0.059116242038216554</v>
      </c>
      <c r="M33" s="42">
        <f t="shared" si="7"/>
      </c>
      <c r="N33" s="42">
        <f t="shared" si="8"/>
      </c>
      <c r="O33" s="42">
        <f t="shared" si="9"/>
      </c>
      <c r="P33" s="30">
        <f t="shared" si="3"/>
        <v>0.10640923566878979</v>
      </c>
      <c r="Q33" s="30"/>
      <c r="R33" s="30"/>
    </row>
    <row r="34" spans="2:15" ht="15" thickBot="1" thickTop="1">
      <c r="B34" s="128">
        <v>14</v>
      </c>
      <c r="C34" s="192">
        <v>0.001</v>
      </c>
      <c r="D34" s="209"/>
      <c r="E34" s="210"/>
      <c r="F34" s="180">
        <f>C34</f>
        <v>0.001</v>
      </c>
      <c r="G34" s="55">
        <f t="shared" si="6"/>
        <v>0.001</v>
      </c>
      <c r="H34" s="51">
        <f t="shared" si="0"/>
        <v>0.045</v>
      </c>
      <c r="I34" s="52">
        <f t="shared" si="1"/>
        <v>0.0022929936305732482</v>
      </c>
      <c r="J34" s="50"/>
      <c r="K34" s="50"/>
      <c r="L34" s="52">
        <f t="shared" si="2"/>
        <v>0.047292993630573245</v>
      </c>
      <c r="M34" s="42">
        <f t="shared" si="7"/>
      </c>
      <c r="N34" s="42">
        <f t="shared" si="8"/>
      </c>
      <c r="O34" s="42">
        <f t="shared" si="9"/>
      </c>
    </row>
    <row r="35" spans="12:15" ht="14.25" thickTop="1">
      <c r="L35" s="56" t="s">
        <v>170</v>
      </c>
      <c r="M35" s="28">
        <f>SUM(M20:M34)</f>
        <v>56.94076433121019</v>
      </c>
      <c r="N35" s="28">
        <f>SUM(N20:N34)</f>
        <v>57.319108280254774</v>
      </c>
      <c r="O35" s="28">
        <f>SUM(O20:O34)</f>
        <v>74.16585987261146</v>
      </c>
    </row>
    <row r="36" spans="2:15" ht="14.25" thickBot="1">
      <c r="B36" s="199" t="s">
        <v>165</v>
      </c>
      <c r="C36" s="199"/>
      <c r="D36" s="199"/>
      <c r="E36" s="199"/>
      <c r="F36" s="199"/>
      <c r="L36" s="3" t="s">
        <v>128</v>
      </c>
      <c r="M36" s="26">
        <f>M35*(Koc*(Ocse/100)*Pse*Vse)/(Koc*(Ocse/100)*Pse*Vse+1*86400*2)</f>
        <v>6.943995650147584</v>
      </c>
      <c r="N36" s="26">
        <f>N35*(Koc*(Ocse/100)*Pse*Vse)/(Koc*(Ocse/100)*Pse*Vse+1*86400*3)</f>
        <v>4.857551549174133</v>
      </c>
      <c r="O36" s="26">
        <f>O35*(Koc*(Ocse/100)*Pse*Vse)/(Koc*(Ocse/100)*Pse*Vse+1*86400*4)</f>
        <v>4.815964926792952</v>
      </c>
    </row>
    <row r="37" spans="2:15" ht="15" thickBot="1" thickTop="1">
      <c r="B37" s="199"/>
      <c r="C37" s="199"/>
      <c r="D37" s="199"/>
      <c r="E37" s="199"/>
      <c r="F37" s="199"/>
      <c r="L37" s="169" t="s">
        <v>152</v>
      </c>
      <c r="M37" s="32">
        <f>(M35-M36)/(3*86400*2)*1000</f>
        <v>0.09644438402982755</v>
      </c>
      <c r="N37" s="33">
        <f>(N35-N36)/(3*86400*3)*1000</f>
        <v>0.06746599373852963</v>
      </c>
      <c r="O37" s="33">
        <f>(O35-O36)/(3*86400*4)*1000</f>
        <v>0.06688840176101322</v>
      </c>
    </row>
    <row r="38" spans="2:15" ht="15" thickBot="1" thickTop="1">
      <c r="B38" s="199"/>
      <c r="C38" s="199"/>
      <c r="D38" s="199"/>
      <c r="E38" s="199"/>
      <c r="F38" s="199"/>
      <c r="L38" s="170" t="s">
        <v>129</v>
      </c>
      <c r="M38" s="168">
        <f>IF(kk=0,"分解せず",M37*EXP(-0.17*kk))</f>
        <v>0.09272964075180783</v>
      </c>
      <c r="N38" s="34">
        <f>IF(kk=0,"分解せず",N37*EXP(-0.17*kk))</f>
        <v>0.06486740959849703</v>
      </c>
      <c r="O38" s="34">
        <f>IF(kk=0,"分解せず",O37*EXP(-0.17*kk))</f>
        <v>0.06431206470086506</v>
      </c>
    </row>
    <row r="39" spans="2:19" ht="14.25" thickTop="1">
      <c r="B39" s="199"/>
      <c r="C39" s="199"/>
      <c r="D39" s="199"/>
      <c r="E39" s="199"/>
      <c r="F39" s="199"/>
      <c r="L39" s="166" t="s">
        <v>193</v>
      </c>
      <c r="M39" s="167"/>
      <c r="N39" s="167"/>
      <c r="O39" s="167"/>
      <c r="P39" s="167"/>
      <c r="Q39" s="167"/>
      <c r="R39" s="167"/>
      <c r="S39" s="167"/>
    </row>
    <row r="40" spans="2:6" ht="13.5">
      <c r="B40" s="31"/>
      <c r="C40" s="31"/>
      <c r="D40" s="31"/>
      <c r="E40" s="31"/>
      <c r="F40" s="31"/>
    </row>
    <row r="43" ht="13.5">
      <c r="B43" t="s">
        <v>194</v>
      </c>
    </row>
  </sheetData>
  <sheetProtection/>
  <mergeCells count="21">
    <mergeCell ref="C21:E21"/>
    <mergeCell ref="C27:E27"/>
    <mergeCell ref="C23:E23"/>
    <mergeCell ref="C33:E33"/>
    <mergeCell ref="M18:O18"/>
    <mergeCell ref="L18:L19"/>
    <mergeCell ref="B36:F39"/>
    <mergeCell ref="C18:F18"/>
    <mergeCell ref="B18:B19"/>
    <mergeCell ref="C19:E19"/>
    <mergeCell ref="C20:E20"/>
    <mergeCell ref="C32:E32"/>
    <mergeCell ref="C22:E22"/>
    <mergeCell ref="C34:E34"/>
    <mergeCell ref="C28:E28"/>
    <mergeCell ref="C29:E29"/>
    <mergeCell ref="C30:E30"/>
    <mergeCell ref="C31:E31"/>
    <mergeCell ref="C24:E24"/>
    <mergeCell ref="C25:E25"/>
    <mergeCell ref="C26:E26"/>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sasaki</cp:lastModifiedBy>
  <cp:lastPrinted>2005-10-06T09:32:03Z</cp:lastPrinted>
  <dcterms:created xsi:type="dcterms:W3CDTF">1997-01-08T22:48:59Z</dcterms:created>
  <dcterms:modified xsi:type="dcterms:W3CDTF">2010-05-24T03:47:49Z</dcterms:modified>
  <cp:category/>
  <cp:version/>
  <cp:contentType/>
  <cp:contentStatus/>
</cp:coreProperties>
</file>