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56" windowWidth="20730" windowHeight="5940" activeTab="0"/>
  </bookViews>
  <sheets>
    <sheet name="水質測定結果" sheetId="1" r:id="rId1"/>
    <sheet name="底質測定結果" sheetId="2" r:id="rId2"/>
    <sheet name="水生生物測定結果" sheetId="3" r:id="rId3"/>
  </sheets>
  <definedNames>
    <definedName name="_xlnm.Print_Area" localSheetId="0">'水質測定結果'!$A$1:$P$59</definedName>
    <definedName name="_xlnm.Print_Area" localSheetId="2">'水生生物測定結果'!$A$1:$S$257</definedName>
    <definedName name="_xlnm.Print_Area" localSheetId="1">'底質測定結果'!$A$1:$U$56</definedName>
    <definedName name="_xlnm.Print_Titles" localSheetId="0">'水質測定結果'!$1:$4</definedName>
  </definedNames>
  <calcPr fullCalcOnLoad="1"/>
</workbook>
</file>

<file path=xl/sharedStrings.xml><?xml version="1.0" encoding="utf-8"?>
<sst xmlns="http://schemas.openxmlformats.org/spreadsheetml/2006/main" count="2430" uniqueCount="776">
  <si>
    <t>IL</t>
  </si>
  <si>
    <t>地点</t>
  </si>
  <si>
    <t>緯度</t>
  </si>
  <si>
    <t>経度</t>
  </si>
  <si>
    <t>粒度組成</t>
  </si>
  <si>
    <t>pH</t>
  </si>
  <si>
    <t>酸化還元電位</t>
  </si>
  <si>
    <t>含水率</t>
  </si>
  <si>
    <t>TOC</t>
  </si>
  <si>
    <t>土粒子の密度</t>
  </si>
  <si>
    <t>礫</t>
  </si>
  <si>
    <t>粗砂</t>
  </si>
  <si>
    <t>中砂</t>
  </si>
  <si>
    <t>細砂</t>
  </si>
  <si>
    <t>シルト</t>
  </si>
  <si>
    <t>粘土</t>
  </si>
  <si>
    <t>中央粒径</t>
  </si>
  <si>
    <t>最大粒径</t>
  </si>
  <si>
    <t>Cs-134</t>
  </si>
  <si>
    <t>Cs-137</t>
  </si>
  <si>
    <t>Sr-90</t>
  </si>
  <si>
    <r>
      <t>E</t>
    </r>
    <r>
      <rPr>
        <vertAlign val="subscript"/>
        <sz val="10"/>
        <rFont val="ＭＳ 明朝"/>
        <family val="1"/>
      </rPr>
      <t>N.H.E</t>
    </r>
  </si>
  <si>
    <t>(2～75mm)</t>
  </si>
  <si>
    <t>(0.85～2mm)</t>
  </si>
  <si>
    <t>(0.25～0.85mm)</t>
  </si>
  <si>
    <t>(0.075～0.25mm)</t>
  </si>
  <si>
    <t>(0.005～0.075mm)</t>
  </si>
  <si>
    <t>(0.005mm未満)</t>
  </si>
  <si>
    <t>（mV）</t>
  </si>
  <si>
    <t>（％）</t>
  </si>
  <si>
    <r>
      <t>（g/cm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</si>
  <si>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（mm）</t>
  </si>
  <si>
    <t>A-1</t>
  </si>
  <si>
    <t>新田川</t>
  </si>
  <si>
    <t>B-1</t>
  </si>
  <si>
    <t>B-3</t>
  </si>
  <si>
    <t>真野川</t>
  </si>
  <si>
    <t>太田川</t>
  </si>
  <si>
    <t>宇多川</t>
  </si>
  <si>
    <t>秋元湖</t>
  </si>
  <si>
    <t>猪苗代湖</t>
  </si>
  <si>
    <t>pH</t>
  </si>
  <si>
    <t>BOD</t>
  </si>
  <si>
    <t>COD</t>
  </si>
  <si>
    <t>DO</t>
  </si>
  <si>
    <t>TOC</t>
  </si>
  <si>
    <t>SS</t>
  </si>
  <si>
    <t>電気伝導率</t>
  </si>
  <si>
    <t>塩分</t>
  </si>
  <si>
    <t>濁度</t>
  </si>
  <si>
    <t>Sr-90</t>
  </si>
  <si>
    <t>（mg/L）</t>
  </si>
  <si>
    <t>（mS/m）</t>
  </si>
  <si>
    <t>（度）</t>
  </si>
  <si>
    <t>Cs-134</t>
  </si>
  <si>
    <t>Cs-137</t>
  </si>
  <si>
    <t>A-1(表層)</t>
  </si>
  <si>
    <t>D-2</t>
  </si>
  <si>
    <t>阿武隈川水系</t>
  </si>
  <si>
    <t>○ 水質測定結果</t>
  </si>
  <si>
    <t>○ 底質測定結果</t>
  </si>
  <si>
    <t>A-2</t>
  </si>
  <si>
    <t>B-1</t>
  </si>
  <si>
    <t>B-2</t>
  </si>
  <si>
    <t>B-3</t>
  </si>
  <si>
    <t>C-1</t>
  </si>
  <si>
    <t>C-2</t>
  </si>
  <si>
    <t>D-1</t>
  </si>
  <si>
    <t>D-2</t>
  </si>
  <si>
    <t>D-3</t>
  </si>
  <si>
    <t>D-4 a</t>
  </si>
  <si>
    <t>D-5</t>
  </si>
  <si>
    <t>G-1</t>
  </si>
  <si>
    <t>G-2</t>
  </si>
  <si>
    <t>G-3</t>
  </si>
  <si>
    <t>G-4</t>
  </si>
  <si>
    <t>G-5</t>
  </si>
  <si>
    <t>E-1</t>
  </si>
  <si>
    <t>E-2 a</t>
  </si>
  <si>
    <t>E-3</t>
  </si>
  <si>
    <t>E-4</t>
  </si>
  <si>
    <t>E-5</t>
  </si>
  <si>
    <t>F-1</t>
  </si>
  <si>
    <t>F-2</t>
  </si>
  <si>
    <t>F-3</t>
  </si>
  <si>
    <t>F-4</t>
  </si>
  <si>
    <t>F-5</t>
  </si>
  <si>
    <t>H-1</t>
  </si>
  <si>
    <t>H-2</t>
  </si>
  <si>
    <t>H-3</t>
  </si>
  <si>
    <t>H-5</t>
  </si>
  <si>
    <t>I-1</t>
  </si>
  <si>
    <t>I-2</t>
  </si>
  <si>
    <t>J-1</t>
  </si>
  <si>
    <t>L-1</t>
  </si>
  <si>
    <t>L-2</t>
  </si>
  <si>
    <t>L-3</t>
  </si>
  <si>
    <t>H-4</t>
  </si>
  <si>
    <t>I-3</t>
  </si>
  <si>
    <t>I-4</t>
  </si>
  <si>
    <t>A-2</t>
  </si>
  <si>
    <t>B-2</t>
  </si>
  <si>
    <t>C-1</t>
  </si>
  <si>
    <t>C-2</t>
  </si>
  <si>
    <t>C-3</t>
  </si>
  <si>
    <t>C-4</t>
  </si>
  <si>
    <t>C-5</t>
  </si>
  <si>
    <t>C-6</t>
  </si>
  <si>
    <t>D-1</t>
  </si>
  <si>
    <t>D-3</t>
  </si>
  <si>
    <t>D-4 a</t>
  </si>
  <si>
    <t>D-4 b</t>
  </si>
  <si>
    <t>D-5</t>
  </si>
  <si>
    <t>L-2</t>
  </si>
  <si>
    <t>L-3</t>
  </si>
  <si>
    <t>E-1</t>
  </si>
  <si>
    <t>E-2 a</t>
  </si>
  <si>
    <t>E-2 b</t>
  </si>
  <si>
    <t>E-3</t>
  </si>
  <si>
    <t>E-4</t>
  </si>
  <si>
    <t>E-5</t>
  </si>
  <si>
    <t>F-1</t>
  </si>
  <si>
    <t>F-2</t>
  </si>
  <si>
    <t>F-3</t>
  </si>
  <si>
    <t>F-4</t>
  </si>
  <si>
    <t>F-5</t>
  </si>
  <si>
    <t>F-6</t>
  </si>
  <si>
    <t>H-1(表層)</t>
  </si>
  <si>
    <t>H-1(下層)</t>
  </si>
  <si>
    <t>H-3(表層)</t>
  </si>
  <si>
    <t>H-5(表層)</t>
  </si>
  <si>
    <t>H-5(下層)</t>
  </si>
  <si>
    <t>I-1(表層)</t>
  </si>
  <si>
    <t>I-1(下層)</t>
  </si>
  <si>
    <t>J-1(表層)</t>
  </si>
  <si>
    <t>J-1(下層)</t>
  </si>
  <si>
    <t>I-3(表層)</t>
  </si>
  <si>
    <t>I-3(下層)</t>
  </si>
  <si>
    <t>G-1(表層)</t>
  </si>
  <si>
    <t>G-1(下層)</t>
  </si>
  <si>
    <t>G-3(下層)</t>
  </si>
  <si>
    <t>G-3(表層)</t>
  </si>
  <si>
    <t>G-5(表層)</t>
  </si>
  <si>
    <t>G-5(下層)</t>
  </si>
  <si>
    <t>H-3(下層)</t>
  </si>
  <si>
    <t>A-1(下層)</t>
  </si>
  <si>
    <t>C-5</t>
  </si>
  <si>
    <t>C-6</t>
  </si>
  <si>
    <t>はやま湖
（真野ダム）</t>
  </si>
  <si>
    <t>いわき市沖
（久之浜）</t>
  </si>
  <si>
    <t>相馬市沖
（松川浦）</t>
  </si>
  <si>
    <t>阿武隈川河口沖
（亘理町沖）</t>
  </si>
  <si>
    <t>相馬市沖
（松川浦）</t>
  </si>
  <si>
    <t>M-2(表層)</t>
  </si>
  <si>
    <t>M-2(下層)</t>
  </si>
  <si>
    <t>K-1</t>
  </si>
  <si>
    <t>K-2</t>
  </si>
  <si>
    <t>K-3</t>
  </si>
  <si>
    <t>M-1</t>
  </si>
  <si>
    <t>M-2</t>
  </si>
  <si>
    <t>M-3</t>
  </si>
  <si>
    <t>採取日</t>
  </si>
  <si>
    <t>個体数</t>
  </si>
  <si>
    <t>採取重量
(kg-wet)</t>
  </si>
  <si>
    <t>成長段階</t>
  </si>
  <si>
    <t>放射性セシウム(Bq/kg-wet)</t>
  </si>
  <si>
    <t>胃内容物</t>
  </si>
  <si>
    <t>計</t>
  </si>
  <si>
    <t>新田川</t>
  </si>
  <si>
    <t>真野川</t>
  </si>
  <si>
    <t>太田川</t>
  </si>
  <si>
    <t>宇多川</t>
  </si>
  <si>
    <t>秋元湖</t>
  </si>
  <si>
    <t>はやま湖</t>
  </si>
  <si>
    <t>相馬市沖</t>
  </si>
  <si>
    <t>門</t>
  </si>
  <si>
    <t>綱</t>
  </si>
  <si>
    <t>目</t>
  </si>
  <si>
    <t>科</t>
  </si>
  <si>
    <t>種名</t>
  </si>
  <si>
    <t>和名</t>
  </si>
  <si>
    <t>特記事項</t>
  </si>
  <si>
    <t>Sr-90
(Bq/kg-wet)</t>
  </si>
  <si>
    <t>(Bq/L)</t>
  </si>
  <si>
    <t>(Bq/kg-dry)</t>
  </si>
  <si>
    <t>(mg/g-dry)</t>
  </si>
  <si>
    <t>N.D.</t>
  </si>
  <si>
    <t>－</t>
  </si>
  <si>
    <t>－</t>
  </si>
  <si>
    <t>オイカワ</t>
  </si>
  <si>
    <t>ウグイ</t>
  </si>
  <si>
    <t>ニゴイ</t>
  </si>
  <si>
    <t>ギンブナ</t>
  </si>
  <si>
    <t>コクチバス</t>
  </si>
  <si>
    <t>ヒゲナガカワトビケラ</t>
  </si>
  <si>
    <t>ツチガエル</t>
  </si>
  <si>
    <t>アブラハヤ</t>
  </si>
  <si>
    <t>ドジョウ</t>
  </si>
  <si>
    <t>カワニナ</t>
  </si>
  <si>
    <t>アカハライモリ</t>
  </si>
  <si>
    <t>アメリカザリガニ</t>
  </si>
  <si>
    <t>イワナ</t>
  </si>
  <si>
    <t>ウシガエル</t>
  </si>
  <si>
    <t>カワムツ</t>
  </si>
  <si>
    <t>ヘビトンボ</t>
  </si>
  <si>
    <t>オオヨシノボリ</t>
  </si>
  <si>
    <t>シマヨシノボリ</t>
  </si>
  <si>
    <t>モクズガニ</t>
  </si>
  <si>
    <t>プランクトン（浮遊藻類）</t>
  </si>
  <si>
    <t>オニヤンマ</t>
  </si>
  <si>
    <t>ウチダザリガニ</t>
  </si>
  <si>
    <t>コウホネ</t>
  </si>
  <si>
    <t>オオタニシ</t>
  </si>
  <si>
    <t>マゴチ</t>
  </si>
  <si>
    <t>ヒラメ</t>
  </si>
  <si>
    <t>マハゼ</t>
  </si>
  <si>
    <t>マガキ</t>
  </si>
  <si>
    <t>ボラ</t>
  </si>
  <si>
    <t>タケギンポ</t>
  </si>
  <si>
    <t>アマモ</t>
  </si>
  <si>
    <t>チダイ</t>
  </si>
  <si>
    <t>ホシザメ</t>
  </si>
  <si>
    <t>キタムラサキウニ</t>
  </si>
  <si>
    <t>コモンカスベ</t>
  </si>
  <si>
    <t>K-2(表層)</t>
  </si>
  <si>
    <t>K-2(下層)</t>
  </si>
  <si>
    <t>脊椎動物</t>
  </si>
  <si>
    <t>硬骨魚</t>
  </si>
  <si>
    <t>ｺｲ</t>
  </si>
  <si>
    <t xml:space="preserve">Zacco platypus </t>
  </si>
  <si>
    <t>硬骨魚</t>
  </si>
  <si>
    <t>ｺｲ</t>
  </si>
  <si>
    <t>Phoxinus lagowskii steindachneri</t>
  </si>
  <si>
    <t>ｻｹ</t>
  </si>
  <si>
    <t xml:space="preserve">Oncorhynchus masou </t>
  </si>
  <si>
    <t xml:space="preserve">Tribolodon hakonensis </t>
  </si>
  <si>
    <t xml:space="preserve">Carassius auratus </t>
  </si>
  <si>
    <t>Hemibarbus barbus</t>
  </si>
  <si>
    <t>Nipponocypris temminckii</t>
  </si>
  <si>
    <t>ｽｽﾞｷ</t>
  </si>
  <si>
    <t>ｻﾝﾌｨｯｼｭ</t>
  </si>
  <si>
    <t xml:space="preserve">Micropterus dolomieu </t>
  </si>
  <si>
    <t>ﾊｾﾞ</t>
  </si>
  <si>
    <t>節足動物</t>
  </si>
  <si>
    <t>軟甲</t>
  </si>
  <si>
    <t>十脚</t>
  </si>
  <si>
    <t>ｱﾒﾘｶｻﾞﾘｶﾞﾆ</t>
  </si>
  <si>
    <t>Procambarus clarkii</t>
  </si>
  <si>
    <t>ﾄﾞｼﾞｮｳ</t>
  </si>
  <si>
    <t>Misgurnus anguillicaudatus</t>
  </si>
  <si>
    <t>ﾓｸｽﾞｶﾞﾆ</t>
  </si>
  <si>
    <t>Eriocheir japonica</t>
  </si>
  <si>
    <t>軟体動物</t>
  </si>
  <si>
    <t>腹足</t>
  </si>
  <si>
    <t>吸腔</t>
  </si>
  <si>
    <t>ｶﾜﾆﾅ</t>
  </si>
  <si>
    <t>Semisulcospira libertina</t>
  </si>
  <si>
    <t>ｶｻｺﾞ</t>
  </si>
  <si>
    <t>Salvelinus leucomaenis</t>
  </si>
  <si>
    <t>昆虫</t>
  </si>
  <si>
    <t>ﾄﾋﾞｹﾗ</t>
  </si>
  <si>
    <t>ﾋｹﾞﾅｶﾞｶﾜﾄﾋﾞｹﾗ</t>
  </si>
  <si>
    <t>Stenopsyche marmorata</t>
  </si>
  <si>
    <t>ﾄﾋﾞｹﾗ</t>
  </si>
  <si>
    <t>ﾋｹﾞﾅｶﾞｶﾜﾄﾋﾞｹﾗ</t>
  </si>
  <si>
    <t>ﾄﾋﾞｹﾗ</t>
  </si>
  <si>
    <t>ﾋｹﾞﾅｶﾞｶﾜﾄﾋﾞｹﾗ</t>
  </si>
  <si>
    <t>ﾄﾋﾞｹﾗ</t>
  </si>
  <si>
    <t>ﾋｹﾞﾅｶﾞｶﾜﾄﾋﾞｹﾗ</t>
  </si>
  <si>
    <t>ﾄﾋﾞｹﾗ</t>
  </si>
  <si>
    <t>ﾋｹﾞﾅｶﾞｶﾜﾄﾋﾞｹﾗ</t>
  </si>
  <si>
    <t>節足動物</t>
  </si>
  <si>
    <t>ｻﾞﾘｶﾞﾆ</t>
  </si>
  <si>
    <t>Pacifastacus leniusculus trowbridgii</t>
  </si>
  <si>
    <t>ﾄﾝﾎﾞ</t>
  </si>
  <si>
    <t>ｵﾆﾔﾝﾏ</t>
  </si>
  <si>
    <t>Anotogaster sieboldii</t>
  </si>
  <si>
    <t>ﾍﾋﾞﾄﾝﾎﾞ</t>
  </si>
  <si>
    <t>Protohermes grandis</t>
  </si>
  <si>
    <t>ﾍﾋﾞﾄﾝﾎﾞ</t>
  </si>
  <si>
    <t>Protohermes grandis</t>
  </si>
  <si>
    <t>両生</t>
  </si>
  <si>
    <t>有尾</t>
  </si>
  <si>
    <t>ｲﾓﾘ</t>
  </si>
  <si>
    <t>Cynops pyrrhogaster</t>
  </si>
  <si>
    <t>無尾</t>
  </si>
  <si>
    <t>ｱｶｶﾞｴﾙ</t>
  </si>
  <si>
    <t>Rana rugosa</t>
  </si>
  <si>
    <t>被子植物</t>
  </si>
  <si>
    <t>双子葉植物</t>
  </si>
  <si>
    <t>ｽｲﾚﾝ</t>
  </si>
  <si>
    <t>Nuphar japonicum</t>
  </si>
  <si>
    <t>軟体動物</t>
  </si>
  <si>
    <t>原始紐舌</t>
  </si>
  <si>
    <t>ﾀﾆｼ</t>
  </si>
  <si>
    <t xml:space="preserve">Bellamya japonica </t>
  </si>
  <si>
    <t>単子葉植物</t>
  </si>
  <si>
    <t>粗粒状有機物</t>
  </si>
  <si>
    <t>－</t>
  </si>
  <si>
    <t>藻類・植物</t>
  </si>
  <si>
    <t>－</t>
  </si>
  <si>
    <t>－</t>
  </si>
  <si>
    <t>Rana catesbeiana</t>
  </si>
  <si>
    <t>腹足</t>
  </si>
  <si>
    <t>原始腹足</t>
  </si>
  <si>
    <t>ﾐﾐｶﾞｲ</t>
  </si>
  <si>
    <t>Haliotis discus</t>
  </si>
  <si>
    <t>棘皮動物</t>
  </si>
  <si>
    <t>ｳﾆ</t>
  </si>
  <si>
    <t>ﾎﾝｳﾆ</t>
  </si>
  <si>
    <t>ｵｵﾊﾞﾌﾝｳﾆ</t>
  </si>
  <si>
    <t xml:space="preserve">Strongylocentrotus nudus  </t>
  </si>
  <si>
    <t>軟骨魚</t>
  </si>
  <si>
    <t>ｶﾞﾝｷﾞｴｲ</t>
  </si>
  <si>
    <t xml:space="preserve">Okamejei kenojei </t>
  </si>
  <si>
    <t>ｶﾚｲ</t>
  </si>
  <si>
    <t>ﾋﾗﾒ</t>
  </si>
  <si>
    <t>Paralichthys olivaceus</t>
  </si>
  <si>
    <t>被子植物</t>
  </si>
  <si>
    <t>緑藻植物</t>
  </si>
  <si>
    <t>ｱｵｻ藻</t>
  </si>
  <si>
    <t>二枚貝</t>
  </si>
  <si>
    <t>環形動物</t>
  </si>
  <si>
    <t>多毛</t>
  </si>
  <si>
    <t>ﾒｼﾞﾛｻﾞﾒ</t>
  </si>
  <si>
    <t>ﾄﾞﾁｻﾞﾒ</t>
  </si>
  <si>
    <t xml:space="preserve">Mustelus manazo </t>
  </si>
  <si>
    <t>Palaemonidae</t>
  </si>
  <si>
    <t>ｶｹﾞﾛｳ</t>
  </si>
  <si>
    <t>成魚</t>
  </si>
  <si>
    <t>河床付着物（藻類を含む）</t>
  </si>
  <si>
    <t>相当数</t>
  </si>
  <si>
    <t>幼虫</t>
  </si>
  <si>
    <t>カエル類</t>
  </si>
  <si>
    <t>幼生(ｵﾀﾏｼﾞｬｸｼ)</t>
  </si>
  <si>
    <t>成体</t>
  </si>
  <si>
    <t>未成魚</t>
  </si>
  <si>
    <t>魚類</t>
  </si>
  <si>
    <t>藻類</t>
  </si>
  <si>
    <t>空胃</t>
  </si>
  <si>
    <t>測定部位</t>
  </si>
  <si>
    <t>採取場所</t>
  </si>
  <si>
    <t>A-2</t>
  </si>
  <si>
    <t>原瀬川</t>
  </si>
  <si>
    <t>B-3</t>
  </si>
  <si>
    <t>摺上川</t>
  </si>
  <si>
    <t>軟体部</t>
  </si>
  <si>
    <t>－</t>
  </si>
  <si>
    <t>E-2a
E-2b</t>
  </si>
  <si>
    <t>－</t>
  </si>
  <si>
    <t>－</t>
  </si>
  <si>
    <t>G-4</t>
  </si>
  <si>
    <t>湖内</t>
  </si>
  <si>
    <t>流入河川</t>
  </si>
  <si>
    <t>空胃</t>
  </si>
  <si>
    <t>D-4a
D-4b</t>
  </si>
  <si>
    <t>モンカゲロウ</t>
  </si>
  <si>
    <t xml:space="preserve">Isonychia japonica </t>
  </si>
  <si>
    <t>Ephemera strigata</t>
  </si>
  <si>
    <t>ﾓﾝｶｹﾞﾛｳ</t>
  </si>
  <si>
    <t>幼虫（ヤゴ）</t>
  </si>
  <si>
    <t>カエル類</t>
  </si>
  <si>
    <t>－</t>
  </si>
  <si>
    <t>水生昆虫</t>
  </si>
  <si>
    <t>魚類、甲殻類</t>
  </si>
  <si>
    <t>－</t>
  </si>
  <si>
    <t>－</t>
  </si>
  <si>
    <t>ｲﾊﾞﾗﾓ</t>
  </si>
  <si>
    <t>ｱﾏﾓ</t>
  </si>
  <si>
    <t>Zostera marina</t>
  </si>
  <si>
    <t>ｱｵｻ</t>
  </si>
  <si>
    <t>Ulva pertusa</t>
  </si>
  <si>
    <t>ｱﾐ</t>
  </si>
  <si>
    <t>ﾃﾅｶﾞｴﾋﾞ</t>
  </si>
  <si>
    <t>イソガニ属</t>
  </si>
  <si>
    <t>ｽｽﾞｷ</t>
  </si>
  <si>
    <t>ﾊｾﾞ</t>
  </si>
  <si>
    <t>Acanthogobius flavimanus</t>
  </si>
  <si>
    <t xml:space="preserve">Pholis crassispina </t>
  </si>
  <si>
    <t>ﾎﾞﾗ</t>
  </si>
  <si>
    <t>Mugil cephalus</t>
  </si>
  <si>
    <t>アサリ</t>
  </si>
  <si>
    <t>松川浦</t>
  </si>
  <si>
    <t>阿武隈川河口
周辺海域</t>
  </si>
  <si>
    <t>アワビ</t>
  </si>
  <si>
    <t>甲殻類</t>
  </si>
  <si>
    <t>L-1
L-2
L-3</t>
  </si>
  <si>
    <t>M-1　
M-2
M-3
M-4</t>
  </si>
  <si>
    <t>ｺﾁ</t>
  </si>
  <si>
    <t>阿武隈川河口沖</t>
  </si>
  <si>
    <t>※１：生物は、当該調査水域またはその周辺で採取したものである。</t>
  </si>
  <si>
    <t>※２：水生生物を複数採取できた場合は、これらを混合して試料とした。</t>
  </si>
  <si>
    <t>※４：生物試料は、全個体を測定することを原則とするが、消化器系に残留した未消化の餌料や底泥等は測定しないよう、 内臓（胃、腸）の除去が可能な試料については、 除去して測定した。</t>
  </si>
  <si>
    <t>※５：成長段階の赤字記載は、鱗または耳石による年齢査定の結果を示す。</t>
  </si>
  <si>
    <t>※６：プランクトン（浮遊藻類）とは、湖沼水または海水を40μｍのプランクトンネットで漉した残留物を指す。</t>
  </si>
  <si>
    <t>※７：河床付着物（藻類を含む）とは、石に付着した藻類をブラシ等で掻き落としたものであるが、無機態のシルト・粘土等の微細粒子が含まれることがある。</t>
  </si>
  <si>
    <t>※８：N.D.は、not detected(検出下限値未満)を示し、括弧内の数字は検出下限値を示す。</t>
  </si>
  <si>
    <t>※９：放射性物質濃度の数値には計数誤差等が含まれているが、本報においては記載していない。</t>
  </si>
  <si>
    <t>※９：放射性物質濃度の数値には計数誤差等が含まれているが、本報においては記載していない。</t>
  </si>
  <si>
    <t>アナアオサ</t>
  </si>
  <si>
    <t>久之浜沿岸</t>
  </si>
  <si>
    <t>水底落葉等</t>
  </si>
  <si>
    <t>※３：複数種の混合試料においては、最も多く採取できた優占種を、和名に下線で示した。</t>
  </si>
  <si>
    <t>ﾇﾏｴﾋﾞ</t>
  </si>
  <si>
    <t>ヤマメ</t>
  </si>
  <si>
    <t>－</t>
  </si>
  <si>
    <t>－</t>
  </si>
  <si>
    <t>ﾓｸｽﾞｶﾞﾆ</t>
  </si>
  <si>
    <t>久之浜沖合</t>
  </si>
  <si>
    <t>ﾆｼｷｷﾞﾝﾎﾟ</t>
  </si>
  <si>
    <t xml:space="preserve">H-1
H-2
H-3(中津川
 周辺を含む)
H-4付近
</t>
  </si>
  <si>
    <t>注）N.D.は、not detected(検出下限値未満)を示し、括弧内の数字は検出下限値を示す。</t>
  </si>
  <si>
    <t>N.D.(2.9)</t>
  </si>
  <si>
    <t>平成26年度12月調査</t>
  </si>
  <si>
    <t xml:space="preserve">&lt;0.5 </t>
  </si>
  <si>
    <t xml:space="preserve">&lt;1 </t>
  </si>
  <si>
    <t xml:space="preserve">&lt;0.2 </t>
  </si>
  <si>
    <t>37.6207°</t>
  </si>
  <si>
    <t>140.5220°</t>
  </si>
  <si>
    <t>37.5655°</t>
  </si>
  <si>
    <t>140.3944°</t>
  </si>
  <si>
    <t>37.7847°</t>
  </si>
  <si>
    <t>140.4920°</t>
  </si>
  <si>
    <t>37.8120°</t>
  </si>
  <si>
    <t>140.5058°</t>
  </si>
  <si>
    <t>37.8162°</t>
  </si>
  <si>
    <t>140.4719°</t>
  </si>
  <si>
    <t>37.7956°</t>
  </si>
  <si>
    <t>140.7456°</t>
  </si>
  <si>
    <t>37.7708°</t>
  </si>
  <si>
    <t>140.7273°</t>
  </si>
  <si>
    <t>37.7693°</t>
  </si>
  <si>
    <t>140.8442°</t>
  </si>
  <si>
    <t>37.7645°</t>
  </si>
  <si>
    <t>140.8603°</t>
  </si>
  <si>
    <t>37.7764°</t>
  </si>
  <si>
    <t>140.8875°</t>
  </si>
  <si>
    <t>37.7331°</t>
  </si>
  <si>
    <t>140.9254°</t>
  </si>
  <si>
    <t>37.7095°</t>
  </si>
  <si>
    <t>140.9565°</t>
  </si>
  <si>
    <t>37.7051°</t>
  </si>
  <si>
    <t>140.9623°</t>
  </si>
  <si>
    <t>37.7309°</t>
  </si>
  <si>
    <t>140.9081°</t>
  </si>
  <si>
    <t>37.7216°</t>
  </si>
  <si>
    <t>140.8895°</t>
  </si>
  <si>
    <t>37.6615°</t>
  </si>
  <si>
    <t>140.9114°</t>
  </si>
  <si>
    <t>37.6643°</t>
  </si>
  <si>
    <t>140.9454°</t>
  </si>
  <si>
    <t>37.6447°</t>
  </si>
  <si>
    <t>141.0018°</t>
  </si>
  <si>
    <t>37.6463°</t>
  </si>
  <si>
    <t>140.9658°</t>
  </si>
  <si>
    <t>37.6652°</t>
  </si>
  <si>
    <t>140.9174°</t>
  </si>
  <si>
    <t>37.5974°</t>
  </si>
  <si>
    <t>140.9248°</t>
  </si>
  <si>
    <t>37.6015°</t>
  </si>
  <si>
    <t>140.9436°</t>
  </si>
  <si>
    <t>37.6045°</t>
  </si>
  <si>
    <t>140.9641°</t>
  </si>
  <si>
    <t>37.6070°</t>
  </si>
  <si>
    <t>140.9721°</t>
  </si>
  <si>
    <t>37.6023°</t>
  </si>
  <si>
    <t>140.9874°</t>
  </si>
  <si>
    <t>37.7342°</t>
  </si>
  <si>
    <t>140.8101°</t>
  </si>
  <si>
    <t>37.7292°</t>
  </si>
  <si>
    <t>140.8315°</t>
  </si>
  <si>
    <t>140.8088°</t>
  </si>
  <si>
    <t>37.6540°</t>
  </si>
  <si>
    <t>140.1530°</t>
  </si>
  <si>
    <t>37.5054°</t>
  </si>
  <si>
    <t>140.1140°</t>
  </si>
  <si>
    <t>37.6584°</t>
  </si>
  <si>
    <t>140.1275°</t>
  </si>
  <si>
    <t>37.6648°</t>
  </si>
  <si>
    <t>140.1306°</t>
  </si>
  <si>
    <t>37.5086°</t>
  </si>
  <si>
    <t>140.0270°</t>
  </si>
  <si>
    <t>37.4206°</t>
  </si>
  <si>
    <t>140.1008°</t>
  </si>
  <si>
    <t>38.0456°</t>
  </si>
  <si>
    <t>140.9403°</t>
  </si>
  <si>
    <t>37.8155°</t>
  </si>
  <si>
    <t>140.9764°</t>
  </si>
  <si>
    <t>37.8217°</t>
  </si>
  <si>
    <t>140.9765°</t>
  </si>
  <si>
    <t>37.1993°</t>
  </si>
  <si>
    <t>141.0842°</t>
  </si>
  <si>
    <t>37.6207°</t>
  </si>
  <si>
    <t>140.5220°</t>
  </si>
  <si>
    <t>37.5655°</t>
  </si>
  <si>
    <t>37.8162°</t>
  </si>
  <si>
    <t>140.4719°</t>
  </si>
  <si>
    <t>37.7708°</t>
  </si>
  <si>
    <t>140.7273°</t>
  </si>
  <si>
    <t>37.7693°</t>
  </si>
  <si>
    <t>140.8442°</t>
  </si>
  <si>
    <t>37.7645°</t>
  </si>
  <si>
    <t>140.8603°</t>
  </si>
  <si>
    <t>37.7764°</t>
  </si>
  <si>
    <t>140.8875°</t>
  </si>
  <si>
    <t>37.6643°</t>
  </si>
  <si>
    <t>140.9454°</t>
  </si>
  <si>
    <t>37.6447°</t>
  </si>
  <si>
    <t>141.0018°</t>
  </si>
  <si>
    <t>37.6463°</t>
  </si>
  <si>
    <t>140.9658°</t>
  </si>
  <si>
    <t>37.6652°</t>
  </si>
  <si>
    <t>140.9174°</t>
  </si>
  <si>
    <t>37.7342°</t>
  </si>
  <si>
    <t>140.8101°</t>
  </si>
  <si>
    <t>37.7253°</t>
  </si>
  <si>
    <t>140.8205°</t>
  </si>
  <si>
    <t>37.7292°</t>
  </si>
  <si>
    <t>140.8315°</t>
  </si>
  <si>
    <t>37.7382°</t>
  </si>
  <si>
    <t>140.8041°</t>
  </si>
  <si>
    <t>140.8088°</t>
  </si>
  <si>
    <t>37.6584°</t>
  </si>
  <si>
    <t>140.1275°</t>
  </si>
  <si>
    <t>37.6624°</t>
  </si>
  <si>
    <t>140.1234°</t>
  </si>
  <si>
    <t>37.6648°</t>
  </si>
  <si>
    <t>140.1306°</t>
  </si>
  <si>
    <t>37.6540°</t>
  </si>
  <si>
    <t>140.1182°</t>
  </si>
  <si>
    <t>140.1530°</t>
  </si>
  <si>
    <t>37.5054°</t>
  </si>
  <si>
    <t>140.1140°</t>
  </si>
  <si>
    <t>37.5005°</t>
  </si>
  <si>
    <t>140.1411°</t>
  </si>
  <si>
    <t>37.5086°</t>
  </si>
  <si>
    <t>140.0270°</t>
  </si>
  <si>
    <t>37.5152°</t>
  </si>
  <si>
    <t>140.1018°</t>
  </si>
  <si>
    <t>37.4206°</t>
  </si>
  <si>
    <t>140.1008°</t>
  </si>
  <si>
    <t>140.9285°</t>
  </si>
  <si>
    <t>38.0459°</t>
  </si>
  <si>
    <t>140.9520°</t>
  </si>
  <si>
    <t>37.8211°</t>
  </si>
  <si>
    <t>140.9608°</t>
  </si>
  <si>
    <t>37.8155°</t>
  </si>
  <si>
    <t>140.9764°</t>
  </si>
  <si>
    <t>37.8217°</t>
  </si>
  <si>
    <t>140.9765°</t>
  </si>
  <si>
    <t>37.1740°</t>
  </si>
  <si>
    <t>141.0797°</t>
  </si>
  <si>
    <t>37.1993°</t>
  </si>
  <si>
    <t>141.0842°</t>
  </si>
  <si>
    <t>37.2321°</t>
  </si>
  <si>
    <t>141.0932°</t>
  </si>
  <si>
    <t>－</t>
  </si>
  <si>
    <t>－</t>
  </si>
  <si>
    <r>
      <t xml:space="preserve">Platycephalus </t>
    </r>
    <r>
      <rPr>
        <sz val="10"/>
        <rFont val="ＭＳ 明朝"/>
        <family val="1"/>
      </rPr>
      <t>sp.</t>
    </r>
  </si>
  <si>
    <t>N.D.(1.8)</t>
  </si>
  <si>
    <t>37.5954°</t>
  </si>
  <si>
    <t>141.0126°</t>
  </si>
  <si>
    <t>37.6640°</t>
  </si>
  <si>
    <t>140.9458°</t>
  </si>
  <si>
    <t>37.7312°</t>
  </si>
  <si>
    <t>140.9095°</t>
  </si>
  <si>
    <t>37.7791°</t>
  </si>
  <si>
    <t>N.D.(0.0012)</t>
  </si>
  <si>
    <t>N.D.(0.20)</t>
  </si>
  <si>
    <t>N.D.(0.33)</t>
  </si>
  <si>
    <t>N.D.(0.19)</t>
  </si>
  <si>
    <t>N.D.(0.16)</t>
  </si>
  <si>
    <t>ﾄﾝﾎﾞ</t>
  </si>
  <si>
    <t>カワリヌマエビ属</t>
  </si>
  <si>
    <t>未成魚/成魚</t>
  </si>
  <si>
    <t>H26.12.2
H26.12.11</t>
  </si>
  <si>
    <t>昆虫、水生昆虫</t>
  </si>
  <si>
    <t>内容物多いが不明</t>
  </si>
  <si>
    <t>節足動物</t>
  </si>
  <si>
    <t>昆虫</t>
  </si>
  <si>
    <t>ｶﾜｹﾞﾗ</t>
  </si>
  <si>
    <t>ｶｹﾞﾛｳ</t>
  </si>
  <si>
    <t>ﾓﾝｶｹﾞﾛｳ</t>
  </si>
  <si>
    <t>Ephemera strigata</t>
  </si>
  <si>
    <t>モンカゲロウ</t>
  </si>
  <si>
    <t>Paratya improvisa</t>
  </si>
  <si>
    <t>ﾇﾏｴﾋﾞ</t>
  </si>
  <si>
    <t>ヌカエビ</t>
  </si>
  <si>
    <r>
      <t>Rhinogobius</t>
    </r>
    <r>
      <rPr>
        <sz val="10"/>
        <rFont val="ＭＳ 明朝"/>
        <family val="1"/>
      </rPr>
      <t xml:space="preserve"> sp.</t>
    </r>
  </si>
  <si>
    <t>H26.12.2
H26.12.9</t>
  </si>
  <si>
    <t>ﾁﾗｶｹﾞﾛｳ</t>
  </si>
  <si>
    <t>チラカゲロウ</t>
  </si>
  <si>
    <t>ワカサギ</t>
  </si>
  <si>
    <t>ｷｭｳﾘｳｵ</t>
  </si>
  <si>
    <t>Hypomesus nipponensis</t>
  </si>
  <si>
    <t>ワカサギ</t>
  </si>
  <si>
    <t>内容物少ないが不明</t>
  </si>
  <si>
    <t>ﾋﾗﾀｶｹﾞﾛｳ</t>
  </si>
  <si>
    <t>Heptageniidae</t>
  </si>
  <si>
    <t>ｽｽﾞｷ</t>
  </si>
  <si>
    <t>ﾊｾﾞ</t>
  </si>
  <si>
    <r>
      <t>Rhinogobius</t>
    </r>
    <r>
      <rPr>
        <sz val="10"/>
        <rFont val="ＭＳ 明朝"/>
        <family val="1"/>
      </rPr>
      <t xml:space="preserve"> sp.</t>
    </r>
  </si>
  <si>
    <t>Rhinogobius fluviatilis</t>
  </si>
  <si>
    <t>ニジマス</t>
  </si>
  <si>
    <t>H26.12.3
H26.12.4</t>
  </si>
  <si>
    <t>フナ属</t>
  </si>
  <si>
    <t>ヤマアカガエル</t>
  </si>
  <si>
    <t>－</t>
  </si>
  <si>
    <t>Acanthogobius flavimanus</t>
  </si>
  <si>
    <t>ヨコエビ</t>
  </si>
  <si>
    <r>
      <t xml:space="preserve">Hemigrapsus </t>
    </r>
    <r>
      <rPr>
        <sz val="10"/>
        <rFont val="ＭＳ 明朝"/>
        <family val="1"/>
      </rPr>
      <t>sp.</t>
    </r>
  </si>
  <si>
    <t>テナガエビ属</t>
  </si>
  <si>
    <t>ﾃｯﾎﾟｳｴﾋﾞ</t>
  </si>
  <si>
    <t xml:space="preserve">Alpheus brevicristatus </t>
  </si>
  <si>
    <t>テッポウエビ科</t>
  </si>
  <si>
    <t>イサザアミ</t>
  </si>
  <si>
    <t>カワゴカイ属</t>
  </si>
  <si>
    <t>ｳｸﾞｲｽｶﾞｲ</t>
  </si>
  <si>
    <t>ｲﾀﾎﾞｶﾞｷ</t>
  </si>
  <si>
    <t>Crassostrea gigas</t>
  </si>
  <si>
    <t>ﾏﾙｽﾀﾞﾚｶﾞｲ</t>
  </si>
  <si>
    <t>Ruditapes philippinarum</t>
  </si>
  <si>
    <t>ｶﾚｲ</t>
  </si>
  <si>
    <t>ﾋﾗﾒ</t>
  </si>
  <si>
    <t>Paralichthys olivaceus</t>
  </si>
  <si>
    <t>ﾀｲ</t>
  </si>
  <si>
    <t xml:space="preserve">Evynnis japonica </t>
  </si>
  <si>
    <t>Pseudopleuronectes herzensteini</t>
  </si>
  <si>
    <t>マガレイ</t>
  </si>
  <si>
    <t>Pleuronectes yokohamae</t>
  </si>
  <si>
    <t>マコガレイ</t>
  </si>
  <si>
    <t>環形動物</t>
  </si>
  <si>
    <t>甲殻類、二枚貝</t>
  </si>
  <si>
    <t>ヒロメ</t>
  </si>
  <si>
    <r>
      <t>成魚(</t>
    </r>
    <r>
      <rPr>
        <sz val="10"/>
        <color indexed="10"/>
        <rFont val="ＭＳ 明朝"/>
        <family val="1"/>
      </rPr>
      <t>2歳</t>
    </r>
    <r>
      <rPr>
        <sz val="10"/>
        <rFont val="ＭＳ 明朝"/>
        <family val="1"/>
      </rPr>
      <t>)</t>
    </r>
  </si>
  <si>
    <t>阿武隈川</t>
  </si>
  <si>
    <r>
      <t>成魚(</t>
    </r>
    <r>
      <rPr>
        <sz val="10"/>
        <color indexed="10"/>
        <rFont val="ＭＳ 明朝"/>
        <family val="1"/>
      </rPr>
      <t>3歳</t>
    </r>
    <r>
      <rPr>
        <sz val="10"/>
        <rFont val="ＭＳ 明朝"/>
        <family val="1"/>
      </rPr>
      <t>)</t>
    </r>
  </si>
  <si>
    <t>J-1
(南岸)</t>
  </si>
  <si>
    <r>
      <t>成魚(</t>
    </r>
    <r>
      <rPr>
        <sz val="10"/>
        <color indexed="10"/>
        <rFont val="ＭＳ 明朝"/>
        <family val="1"/>
      </rPr>
      <t>6歳</t>
    </r>
    <r>
      <rPr>
        <sz val="10"/>
        <rFont val="ＭＳ 明朝"/>
        <family val="1"/>
      </rPr>
      <t>)</t>
    </r>
  </si>
  <si>
    <r>
      <t>成魚(</t>
    </r>
    <r>
      <rPr>
        <sz val="10"/>
        <color indexed="10"/>
        <rFont val="ＭＳ 明朝"/>
        <family val="1"/>
      </rPr>
      <t>1歳</t>
    </r>
    <r>
      <rPr>
        <sz val="10"/>
        <rFont val="ＭＳ 明朝"/>
        <family val="1"/>
      </rPr>
      <t>)</t>
    </r>
  </si>
  <si>
    <r>
      <t>成魚(</t>
    </r>
    <r>
      <rPr>
        <sz val="10"/>
        <color indexed="10"/>
        <rFont val="ＭＳ 明朝"/>
        <family val="1"/>
      </rPr>
      <t>4歳</t>
    </r>
    <r>
      <rPr>
        <sz val="10"/>
        <rFont val="ＭＳ 明朝"/>
        <family val="1"/>
      </rPr>
      <t>)</t>
    </r>
  </si>
  <si>
    <r>
      <t>成魚(</t>
    </r>
    <r>
      <rPr>
        <sz val="10"/>
        <color indexed="10"/>
        <rFont val="ＭＳ 明朝"/>
        <family val="1"/>
      </rPr>
      <t>5歳</t>
    </r>
    <r>
      <rPr>
        <sz val="10"/>
        <rFont val="ＭＳ 明朝"/>
        <family val="1"/>
      </rPr>
      <t>)</t>
    </r>
  </si>
  <si>
    <t>Lateolabrax japonicus</t>
  </si>
  <si>
    <t>スズキ</t>
  </si>
  <si>
    <t>いわき市沖</t>
  </si>
  <si>
    <t>N.D.(5.2)</t>
  </si>
  <si>
    <t>N.D.(2.6)</t>
  </si>
  <si>
    <t>N.D.</t>
  </si>
  <si>
    <t>N.D.(0.32)</t>
  </si>
  <si>
    <t>N.D.(0.30)</t>
  </si>
  <si>
    <t>N.D.(1.1)</t>
  </si>
  <si>
    <t>N.D.(0.61)</t>
  </si>
  <si>
    <t>N.D.(2.1)</t>
  </si>
  <si>
    <t>N.D.(0.49)</t>
  </si>
  <si>
    <t>N.D.(0.36)</t>
  </si>
  <si>
    <t>N.D.(0.32)</t>
  </si>
  <si>
    <t>ｺｲ</t>
  </si>
  <si>
    <r>
      <t xml:space="preserve">Carassius </t>
    </r>
    <r>
      <rPr>
        <sz val="10"/>
        <rFont val="ＭＳ 明朝"/>
        <family val="1"/>
      </rPr>
      <t>sp.</t>
    </r>
  </si>
  <si>
    <t>ﾇﾏｴﾋﾞ</t>
  </si>
  <si>
    <r>
      <t xml:space="preserve">Neocaridina </t>
    </r>
    <r>
      <rPr>
        <sz val="10"/>
        <rFont val="ＭＳ 明朝"/>
        <family val="1"/>
      </rPr>
      <t>sp.</t>
    </r>
  </si>
  <si>
    <t>ｱｶｶﾞｴﾙ</t>
  </si>
  <si>
    <t>Rana ornativentris</t>
  </si>
  <si>
    <t>N.D.(1.7)</t>
  </si>
  <si>
    <t>N.D.(0.85)</t>
  </si>
  <si>
    <t>N.D.(2.9)</t>
  </si>
  <si>
    <t>N.D.(0.68)</t>
  </si>
  <si>
    <t>G-1,G-2,G-3</t>
  </si>
  <si>
    <t>I-1,I-2(北岸)</t>
  </si>
  <si>
    <t>ﾄﾝﾎﾞ</t>
  </si>
  <si>
    <t>ｴｿﾞﾄﾝﾎﾞ</t>
  </si>
  <si>
    <t>Macromia amphigena amphigena</t>
  </si>
  <si>
    <t>ｻﾅｴﾄﾝﾎﾞ</t>
  </si>
  <si>
    <t>ｻﾅｴﾄﾝﾎﾞ</t>
  </si>
  <si>
    <t>Onychogomphus viridicostus</t>
  </si>
  <si>
    <t>Asiagomphus melaenops</t>
  </si>
  <si>
    <t>Sieboldius albardae</t>
  </si>
  <si>
    <t>コヤマトンボ</t>
  </si>
  <si>
    <t>オナガサナエ</t>
  </si>
  <si>
    <t>ヤマサナエ</t>
  </si>
  <si>
    <t>コオニヤンマ</t>
  </si>
  <si>
    <t>オニヤンマ</t>
  </si>
  <si>
    <t>幼虫(ヤゴ)</t>
  </si>
  <si>
    <t>Stylogomphus suzukii</t>
  </si>
  <si>
    <t>ﾄﾝﾎﾞ</t>
  </si>
  <si>
    <t>ｻﾅｴﾄﾝﾎﾞ</t>
  </si>
  <si>
    <t>Davidius nanus</t>
  </si>
  <si>
    <t>ダビドサナエ</t>
  </si>
  <si>
    <t>ダビドサナエ</t>
  </si>
  <si>
    <r>
      <t xml:space="preserve">Davidius </t>
    </r>
    <r>
      <rPr>
        <sz val="10"/>
        <rFont val="ＭＳ 明朝"/>
        <family val="1"/>
      </rPr>
      <t>sp.</t>
    </r>
  </si>
  <si>
    <t>ｻﾅｴﾄﾝﾎﾞ</t>
  </si>
  <si>
    <t>ﾄﾝﾎﾞ</t>
  </si>
  <si>
    <t>Sinogomphus flavolimbatus</t>
  </si>
  <si>
    <t>ヒメサナエ</t>
  </si>
  <si>
    <t>ダビドサナエ属</t>
  </si>
  <si>
    <t>オジロサナエ</t>
  </si>
  <si>
    <t>ﾔﾝﾏ</t>
  </si>
  <si>
    <t>Boyeria maclachlani</t>
  </si>
  <si>
    <t>コシボソヤンマ</t>
  </si>
  <si>
    <t>ﾄﾝﾎﾞ</t>
  </si>
  <si>
    <t>ｻﾅｴﾄﾝﾎﾞ</t>
  </si>
  <si>
    <t>ヤマサナエ</t>
  </si>
  <si>
    <t>ナミヒラタカゲロウ</t>
  </si>
  <si>
    <t>ヒメヒラタカゲロウ属</t>
  </si>
  <si>
    <t>ヒラタカゲロウ属</t>
  </si>
  <si>
    <t xml:space="preserve">Kamimuria tibialis </t>
  </si>
  <si>
    <t>カミムラカワゲラ</t>
  </si>
  <si>
    <t xml:space="preserve">Epeorus curvatulus </t>
  </si>
  <si>
    <t>ウエノヒラタカゲロウ</t>
  </si>
  <si>
    <t xml:space="preserve">Kamimuria tibialis </t>
  </si>
  <si>
    <t>カミムラカワゲラ</t>
  </si>
  <si>
    <t>ヤマサナエ</t>
  </si>
  <si>
    <t>ﾄﾝﾎﾞ</t>
  </si>
  <si>
    <t>ｴｿﾞﾄﾝﾎﾞ</t>
  </si>
  <si>
    <t>コヤマトンボ</t>
  </si>
  <si>
    <t>Anisogomphus maacki</t>
  </si>
  <si>
    <t>ﾄﾝﾎﾞ</t>
  </si>
  <si>
    <t>ｻﾅｴﾄﾝﾎﾞ</t>
  </si>
  <si>
    <t>ダビドサナエ</t>
  </si>
  <si>
    <r>
      <t xml:space="preserve">Davidius </t>
    </r>
    <r>
      <rPr>
        <sz val="10"/>
        <rFont val="ＭＳ 明朝"/>
        <family val="1"/>
      </rPr>
      <t>sp.</t>
    </r>
  </si>
  <si>
    <t>ﾄﾝﾎﾞ</t>
  </si>
  <si>
    <t>ﾔﾝﾏ</t>
  </si>
  <si>
    <t>コシボソヤンマ</t>
  </si>
  <si>
    <t>ミヤマサナエ</t>
  </si>
  <si>
    <t>コオニヤンマ</t>
  </si>
  <si>
    <t>コシボソヤンマ</t>
  </si>
  <si>
    <t>クロサナエ</t>
  </si>
  <si>
    <t>ﾄﾝﾎﾞ</t>
  </si>
  <si>
    <t>ｴｿﾞﾄﾝﾎﾞ</t>
  </si>
  <si>
    <t>コヤマトンボ</t>
  </si>
  <si>
    <t>ﾔﾝﾏ</t>
  </si>
  <si>
    <t>ﾄﾝﾎﾞ</t>
  </si>
  <si>
    <t>ｵﾆﾔﾝﾏ</t>
  </si>
  <si>
    <t>Davidius fujiama</t>
  </si>
  <si>
    <t>ﾄﾝﾎﾞ</t>
  </si>
  <si>
    <t>ｻﾅｴﾄﾝﾎﾞ</t>
  </si>
  <si>
    <t>ダビドサナエ</t>
  </si>
  <si>
    <r>
      <t xml:space="preserve">Davidius </t>
    </r>
    <r>
      <rPr>
        <sz val="10"/>
        <rFont val="ＭＳ 明朝"/>
        <family val="1"/>
      </rPr>
      <t>sp.</t>
    </r>
  </si>
  <si>
    <t>N.D.(0.019)</t>
  </si>
  <si>
    <t>N.D.(0.017)</t>
  </si>
  <si>
    <t>N.D.(0.016)</t>
  </si>
  <si>
    <t>褐藻植物</t>
  </si>
  <si>
    <t>褐藻</t>
  </si>
  <si>
    <t>ｺﾝﾌﾞ</t>
  </si>
  <si>
    <t>ﾁｶﾞｲｿ</t>
  </si>
  <si>
    <t xml:space="preserve">Undaria undariodes </t>
  </si>
  <si>
    <r>
      <rPr>
        <i/>
        <sz val="10"/>
        <rFont val="ＭＳ 明朝"/>
        <family val="1"/>
      </rPr>
      <t>Hediste</t>
    </r>
    <r>
      <rPr>
        <sz val="10"/>
        <rFont val="ＭＳ 明朝"/>
        <family val="1"/>
      </rPr>
      <t xml:space="preserve"> sp.</t>
    </r>
  </si>
  <si>
    <t>ｻｼﾊﾞｺﾞｶｲ</t>
  </si>
  <si>
    <t>ｺﾞｶｲ</t>
  </si>
  <si>
    <t>Neomysis intermedia</t>
  </si>
  <si>
    <t>ﾄﾝﾎﾞ</t>
  </si>
  <si>
    <t>ｻﾅｴﾄﾝﾎﾞ</t>
  </si>
  <si>
    <t>ﾄﾝﾎﾞ</t>
  </si>
  <si>
    <t>ｵﾆﾔﾝﾏ</t>
  </si>
  <si>
    <t>ﾄﾝﾎﾞ</t>
  </si>
  <si>
    <t>ｴｿﾞﾄﾝﾎﾞ</t>
  </si>
  <si>
    <t>コヤマトンボ</t>
  </si>
  <si>
    <t>オナガサナエ</t>
  </si>
  <si>
    <t>ﾄﾝﾎﾞ</t>
  </si>
  <si>
    <t>ｻﾅｴﾄﾝﾎﾞ</t>
  </si>
  <si>
    <t>ダビドサナエ</t>
  </si>
  <si>
    <t>ｻﾅｴﾄﾝﾎﾞ</t>
  </si>
  <si>
    <r>
      <t xml:space="preserve">Davidius </t>
    </r>
    <r>
      <rPr>
        <sz val="10"/>
        <rFont val="ＭＳ 明朝"/>
        <family val="1"/>
      </rPr>
      <t>sp.</t>
    </r>
  </si>
  <si>
    <t>コシボソヤンマ</t>
  </si>
  <si>
    <t>ﾔﾝﾏ</t>
  </si>
  <si>
    <t>Anax parthenope julius</t>
  </si>
  <si>
    <t>ギンヤンマ</t>
  </si>
  <si>
    <t>ダビドサナエ</t>
  </si>
  <si>
    <t>C-6</t>
  </si>
  <si>
    <t>Oncorhynchus mykiss</t>
  </si>
  <si>
    <t>Epeorus ikanonis</t>
  </si>
  <si>
    <r>
      <t>Rhithrogena</t>
    </r>
    <r>
      <rPr>
        <sz val="10"/>
        <rFont val="ＭＳ 明朝"/>
        <family val="1"/>
      </rPr>
      <t xml:space="preserve"> sp.</t>
    </r>
  </si>
  <si>
    <t>オオヤマカワゲラ</t>
  </si>
  <si>
    <t xml:space="preserve">Oyamia seminigra </t>
  </si>
  <si>
    <r>
      <t>未成魚(</t>
    </r>
    <r>
      <rPr>
        <sz val="10"/>
        <color indexed="10"/>
        <rFont val="ＭＳ 明朝"/>
        <family val="1"/>
      </rPr>
      <t>0歳</t>
    </r>
    <r>
      <rPr>
        <sz val="10"/>
        <rFont val="ＭＳ 明朝"/>
        <family val="1"/>
      </rPr>
      <t>)</t>
    </r>
  </si>
  <si>
    <t>内臓除去</t>
  </si>
  <si>
    <t>内臓除去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</si>
</sst>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#,##0.00_ "/>
    <numFmt numFmtId="179" formatCode="#,##0.0_ "/>
    <numFmt numFmtId="180" formatCode="#,##0.000_ "/>
    <numFmt numFmtId="181" formatCode="0.00_ "/>
    <numFmt numFmtId="182" formatCode="0.0_ "/>
    <numFmt numFmtId="183" formatCode="0_ "/>
    <numFmt numFmtId="184" formatCode="0.000_ "/>
    <numFmt numFmtId="185" formatCode="0.00_);[Red]\(0.00\)"/>
    <numFmt numFmtId="186" formatCode="0.0_);[Red]\(0.0\)"/>
    <numFmt numFmtId="187" formatCode="#,##0_);[Red]\(#,##0\)"/>
    <numFmt numFmtId="188" formatCode="#,##0.00_);[Red]\(#,##0.00\)"/>
    <numFmt numFmtId="189" formatCode="0.000_);[Red]\(0.000\)"/>
    <numFmt numFmtId="190" formatCode="0.0000_);[Red]\(0.0000\)"/>
    <numFmt numFmtId="191" formatCode="0_);[Red]\(0\)"/>
    <numFmt numFmtId="192" formatCode="#,##0.0000_ "/>
    <numFmt numFmtId="193" formatCode="#,##0.0_);[Red]\(#,##0.0\)"/>
    <numFmt numFmtId="194" formatCode="#,##0.000_);[Red]\(#,##0.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_ "/>
    <numFmt numFmtId="200" formatCode="m/d"/>
    <numFmt numFmtId="201" formatCode="m/d;@"/>
    <numFmt numFmtId="202" formatCode="0;_耄"/>
    <numFmt numFmtId="203" formatCode="0;_怄"/>
    <numFmt numFmtId="204" formatCode="0.0;_怄"/>
    <numFmt numFmtId="205" formatCode="0.00;_怄"/>
    <numFmt numFmtId="206" formatCode="0.0;_䐀"/>
    <numFmt numFmtId="207" formatCode="0.0;_ࠀ"/>
    <numFmt numFmtId="208" formatCode="0.0"/>
    <numFmt numFmtId="209" formatCode="0.000"/>
    <numFmt numFmtId="210" formatCode="hh:mm\ AM/PM"/>
    <numFmt numFmtId="211" formatCode="0.0%"/>
    <numFmt numFmtId="212" formatCode="m&quot;月&quot;d&quot;日&quot;;@"/>
    <numFmt numFmtId="213" formatCode="0.000000"/>
    <numFmt numFmtId="214" formatCode="\&lt;0.0"/>
    <numFmt numFmtId="215" formatCode="\&lt;0"/>
    <numFmt numFmtId="216" formatCode="yyyy&quot;年&quot;m&quot;月&quot;d&quot;日&quot;;@"/>
    <numFmt numFmtId="217" formatCode="[$-F800]dddd\,\ mmmm\ dd\,\ yyyy"/>
    <numFmt numFmtId="218" formatCode="mmm\-yyyy"/>
    <numFmt numFmtId="219" formatCode="0.00000_ "/>
    <numFmt numFmtId="220" formatCode="[&lt;=999]0.000;[&lt;=9999]000\-00;000\-0000"/>
    <numFmt numFmtId="221" formatCode="[&lt;=999]0.0;[&lt;=9999]000\-00;000\-0000"/>
    <numFmt numFmtId="222" formatCode="[&lt;=999]00.0;[&lt;=9999]000\-00;000\-0000"/>
    <numFmt numFmtId="223" formatCode="0.0000"/>
    <numFmt numFmtId="224" formatCode="m/d\ h:mm"/>
    <numFmt numFmtId="225" formatCode="#,##0.0000_);[Red]\(#,##0.0000\)"/>
    <numFmt numFmtId="226" formatCode="#,##0.00000_ "/>
    <numFmt numFmtId="227" formatCode="0.00000_);[Red]\(0.00000\)"/>
    <numFmt numFmtId="228" formatCode="0.000000_ "/>
    <numFmt numFmtId="229" formatCode="0_ ;[Red]\-0\ "/>
    <numFmt numFmtId="230" formatCode="0.0_ ;[Red]\-0.0\ "/>
    <numFmt numFmtId="231" formatCode="#,##0_ ;[Red]\-#,##0\ "/>
    <numFmt numFmtId="232" formatCode="0.00_ ;[Red]\-0.00\ "/>
    <numFmt numFmtId="233" formatCode="0.00000_ ;[Red]\-0.00000\ 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9.9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vertAlign val="subscript"/>
      <sz val="10"/>
      <name val="ＭＳ 明朝"/>
      <family val="1"/>
    </font>
    <font>
      <vertAlign val="superscript"/>
      <sz val="10"/>
      <name val="ＭＳ 明朝"/>
      <family val="1"/>
    </font>
    <font>
      <sz val="11"/>
      <name val="ＭＳ 明朝"/>
      <family val="1"/>
    </font>
    <font>
      <i/>
      <sz val="10"/>
      <name val="ＭＳ 明朝"/>
      <family val="1"/>
    </font>
    <font>
      <i/>
      <sz val="11"/>
      <name val="ＭＳ Ｐゴシック"/>
      <family val="3"/>
    </font>
    <font>
      <sz val="16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i/>
      <sz val="9.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u val="single"/>
      <sz val="10"/>
      <name val="ＭＳ 明朝"/>
      <family val="1"/>
    </font>
    <font>
      <i/>
      <sz val="12"/>
      <color indexed="10"/>
      <name val="ＭＳ 明朝"/>
      <family val="1"/>
    </font>
    <font>
      <i/>
      <sz val="12"/>
      <color indexed="10"/>
      <name val="ＭＳ Ｐゴシック"/>
      <family val="3"/>
    </font>
    <font>
      <sz val="12"/>
      <color indexed="10"/>
      <name val="ＭＳ 明朝"/>
      <family val="1"/>
    </font>
    <font>
      <u val="single"/>
      <sz val="12"/>
      <color indexed="10"/>
      <name val="ＭＳ 明朝"/>
      <family val="1"/>
    </font>
    <font>
      <u val="single"/>
      <sz val="11"/>
      <color indexed="1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Ｐゴシック"/>
      <family val="3"/>
    </font>
    <font>
      <i/>
      <sz val="10"/>
      <color indexed="10"/>
      <name val="ＭＳ 明朝"/>
      <family val="1"/>
    </font>
    <font>
      <sz val="11"/>
      <color indexed="8"/>
      <name val="ＭＳ 明朝"/>
      <family val="1"/>
    </font>
    <font>
      <sz val="11"/>
      <color rgb="FFFF0000"/>
      <name val="ＭＳ Ｐゴシック"/>
      <family val="3"/>
    </font>
    <font>
      <i/>
      <sz val="12"/>
      <color rgb="FFFF0000"/>
      <name val="ＭＳ 明朝"/>
      <family val="1"/>
    </font>
    <font>
      <i/>
      <sz val="12"/>
      <color rgb="FFFF0000"/>
      <name val="ＭＳ Ｐゴシック"/>
      <family val="3"/>
    </font>
    <font>
      <sz val="12"/>
      <color rgb="FFFF0000"/>
      <name val="ＭＳ 明朝"/>
      <family val="1"/>
    </font>
    <font>
      <u val="single"/>
      <sz val="12"/>
      <color rgb="FFFF0000"/>
      <name val="ＭＳ 明朝"/>
      <family val="1"/>
    </font>
    <font>
      <u val="single"/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Ｐゴシック"/>
      <family val="3"/>
    </font>
    <font>
      <i/>
      <sz val="10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85">
    <xf numFmtId="0" fontId="0" fillId="0" borderId="0" xfId="0" applyAlignment="1">
      <alignment vertical="center"/>
    </xf>
    <xf numFmtId="185" fontId="22" fillId="0" borderId="0" xfId="0" applyNumberFormat="1" applyFont="1" applyFill="1" applyAlignment="1">
      <alignment vertical="center"/>
    </xf>
    <xf numFmtId="0" fontId="22" fillId="0" borderId="0" xfId="65" applyFont="1">
      <alignment/>
      <protection/>
    </xf>
    <xf numFmtId="0" fontId="22" fillId="0" borderId="10" xfId="65" applyFont="1" applyFill="1" applyBorder="1" applyAlignment="1">
      <alignment horizontal="center" vertical="center"/>
      <protection/>
    </xf>
    <xf numFmtId="0" fontId="22" fillId="0" borderId="10" xfId="62" applyFont="1" applyFill="1" applyBorder="1" applyAlignment="1">
      <alignment horizontal="center" vertical="center" shrinkToFit="1"/>
      <protection/>
    </xf>
    <xf numFmtId="0" fontId="22" fillId="0" borderId="11" xfId="62" applyFont="1" applyFill="1" applyBorder="1" applyAlignment="1">
      <alignment horizontal="center" vertical="center"/>
      <protection/>
    </xf>
    <xf numFmtId="0" fontId="22" fillId="0" borderId="10" xfId="62" applyFont="1" applyFill="1" applyBorder="1" applyAlignment="1">
      <alignment horizontal="center" vertical="center"/>
      <protection/>
    </xf>
    <xf numFmtId="185" fontId="22" fillId="0" borderId="10" xfId="64" applyNumberFormat="1" applyFont="1" applyFill="1" applyBorder="1" applyAlignment="1">
      <alignment horizontal="center" vertical="center"/>
      <protection/>
    </xf>
    <xf numFmtId="185" fontId="22" fillId="0" borderId="12" xfId="64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64" applyFont="1">
      <alignment/>
      <protection/>
    </xf>
    <xf numFmtId="0" fontId="22" fillId="0" borderId="0" xfId="65" applyFont="1" applyFill="1">
      <alignment/>
      <protection/>
    </xf>
    <xf numFmtId="177" fontId="22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2" fillId="0" borderId="11" xfId="64" applyFont="1" applyFill="1" applyBorder="1" applyAlignment="1">
      <alignment horizontal="center" vertical="center"/>
      <protection/>
    </xf>
    <xf numFmtId="0" fontId="22" fillId="0" borderId="11" xfId="64" applyFont="1" applyFill="1" applyBorder="1" applyAlignment="1">
      <alignment horizontal="center" vertical="center" shrinkToFit="1"/>
      <protection/>
    </xf>
    <xf numFmtId="190" fontId="22" fillId="0" borderId="11" xfId="64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22" fillId="0" borderId="12" xfId="64" applyFont="1" applyFill="1" applyBorder="1" applyAlignment="1">
      <alignment horizontal="center" vertical="center"/>
      <protection/>
    </xf>
    <xf numFmtId="190" fontId="22" fillId="0" borderId="12" xfId="64" applyNumberFormat="1" applyFont="1" applyFill="1" applyBorder="1" applyAlignment="1">
      <alignment horizontal="center" vertical="center"/>
      <protection/>
    </xf>
    <xf numFmtId="0" fontId="22" fillId="0" borderId="0" xfId="64" applyFont="1" applyFill="1" applyAlignment="1">
      <alignment/>
      <protection/>
    </xf>
    <xf numFmtId="190" fontId="22" fillId="0" borderId="0" xfId="64" applyNumberFormat="1" applyFont="1">
      <alignment/>
      <protection/>
    </xf>
    <xf numFmtId="0" fontId="22" fillId="0" borderId="0" xfId="64" applyFont="1" applyAlignment="1">
      <alignment/>
      <protection/>
    </xf>
    <xf numFmtId="0" fontId="22" fillId="0" borderId="0" xfId="0" applyFont="1" applyFill="1" applyBorder="1" applyAlignment="1">
      <alignment vertical="center"/>
    </xf>
    <xf numFmtId="191" fontId="22" fillId="0" borderId="0" xfId="0" applyNumberFormat="1" applyFont="1" applyFill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Border="1" applyAlignment="1">
      <alignment horizontal="center" vertical="center"/>
    </xf>
    <xf numFmtId="187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191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185" fontId="22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6" fillId="0" borderId="0" xfId="64" applyFont="1">
      <alignment/>
      <protection/>
    </xf>
    <xf numFmtId="0" fontId="22" fillId="0" borderId="16" xfId="64" applyFont="1" applyFill="1" applyBorder="1" applyAlignment="1">
      <alignment horizontal="center" vertical="center"/>
      <protection/>
    </xf>
    <xf numFmtId="190" fontId="22" fillId="0" borderId="17" xfId="64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left" vertical="center"/>
    </xf>
    <xf numFmtId="186" fontId="22" fillId="0" borderId="15" xfId="0" applyNumberFormat="1" applyFont="1" applyFill="1" applyBorder="1" applyAlignment="1">
      <alignment vertical="center"/>
    </xf>
    <xf numFmtId="186" fontId="22" fillId="0" borderId="15" xfId="0" applyNumberFormat="1" applyFont="1" applyFill="1" applyBorder="1" applyAlignment="1">
      <alignment vertical="center"/>
    </xf>
    <xf numFmtId="0" fontId="22" fillId="0" borderId="15" xfId="65" applyFont="1" applyFill="1" applyBorder="1">
      <alignment/>
      <protection/>
    </xf>
    <xf numFmtId="0" fontId="0" fillId="0" borderId="15" xfId="0" applyFill="1" applyBorder="1" applyAlignment="1">
      <alignment vertical="center"/>
    </xf>
    <xf numFmtId="0" fontId="22" fillId="0" borderId="12" xfId="62" applyFont="1" applyFill="1" applyBorder="1" applyAlignment="1">
      <alignment horizontal="center" vertical="center"/>
      <protection/>
    </xf>
    <xf numFmtId="0" fontId="22" fillId="0" borderId="0" xfId="64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93" fontId="22" fillId="0" borderId="0" xfId="65" applyNumberFormat="1" applyFont="1" applyFill="1">
      <alignment/>
      <protection/>
    </xf>
    <xf numFmtId="186" fontId="22" fillId="0" borderId="0" xfId="65" applyNumberFormat="1" applyFont="1" applyFill="1" applyAlignment="1">
      <alignment/>
      <protection/>
    </xf>
    <xf numFmtId="186" fontId="22" fillId="0" borderId="0" xfId="65" applyNumberFormat="1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22" fillId="0" borderId="0" xfId="65" applyFont="1" applyAlignment="1">
      <alignment horizontal="left"/>
      <protection/>
    </xf>
    <xf numFmtId="0" fontId="27" fillId="0" borderId="0" xfId="0" applyFont="1" applyFill="1" applyBorder="1" applyAlignment="1">
      <alignment vertical="center"/>
    </xf>
    <xf numFmtId="188" fontId="22" fillId="0" borderId="0" xfId="0" applyNumberFormat="1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64" applyFont="1" applyAlignment="1">
      <alignment horizontal="center"/>
      <protection/>
    </xf>
    <xf numFmtId="0" fontId="18" fillId="0" borderId="0" xfId="64" applyFont="1" applyAlignment="1">
      <alignment horizontal="left"/>
      <protection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/>
    </xf>
    <xf numFmtId="187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91" fontId="22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3" fontId="22" fillId="0" borderId="0" xfId="0" applyNumberFormat="1" applyFont="1" applyFill="1" applyBorder="1" applyAlignment="1">
      <alignment vertical="center"/>
    </xf>
    <xf numFmtId="194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81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182" fontId="22" fillId="0" borderId="0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87" fontId="22" fillId="0" borderId="19" xfId="64" applyNumberFormat="1" applyFont="1" applyFill="1" applyBorder="1" applyAlignment="1">
      <alignment vertical="center"/>
      <protection/>
    </xf>
    <xf numFmtId="191" fontId="22" fillId="0" borderId="19" xfId="0" applyNumberFormat="1" applyFont="1" applyFill="1" applyBorder="1" applyAlignment="1">
      <alignment vertical="center"/>
    </xf>
    <xf numFmtId="181" fontId="22" fillId="0" borderId="19" xfId="0" applyNumberFormat="1" applyFont="1" applyFill="1" applyBorder="1" applyAlignment="1">
      <alignment vertical="center"/>
    </xf>
    <xf numFmtId="185" fontId="22" fillId="0" borderId="19" xfId="0" applyNumberFormat="1" applyFont="1" applyFill="1" applyBorder="1" applyAlignment="1">
      <alignment vertical="center"/>
    </xf>
    <xf numFmtId="185" fontId="22" fillId="0" borderId="19" xfId="64" applyNumberFormat="1" applyFont="1" applyFill="1" applyBorder="1" applyAlignment="1">
      <alignment vertical="center"/>
      <protection/>
    </xf>
    <xf numFmtId="193" fontId="22" fillId="0" borderId="19" xfId="64" applyNumberFormat="1" applyFont="1" applyFill="1" applyBorder="1" applyAlignment="1">
      <alignment vertical="center"/>
      <protection/>
    </xf>
    <xf numFmtId="193" fontId="22" fillId="0" borderId="19" xfId="0" applyNumberFormat="1" applyFont="1" applyFill="1" applyBorder="1" applyAlignment="1">
      <alignment vertical="center"/>
    </xf>
    <xf numFmtId="185" fontId="22" fillId="0" borderId="19" xfId="64" applyNumberFormat="1" applyFont="1" applyFill="1" applyBorder="1" applyAlignment="1">
      <alignment horizontal="center"/>
      <protection/>
    </xf>
    <xf numFmtId="183" fontId="22" fillId="0" borderId="19" xfId="0" applyNumberFormat="1" applyFont="1" applyFill="1" applyBorder="1" applyAlignment="1">
      <alignment vertical="center"/>
    </xf>
    <xf numFmtId="186" fontId="22" fillId="0" borderId="19" xfId="0" applyNumberFormat="1" applyFont="1" applyFill="1" applyBorder="1" applyAlignment="1">
      <alignment vertical="center"/>
    </xf>
    <xf numFmtId="194" fontId="22" fillId="0" borderId="19" xfId="0" applyNumberFormat="1" applyFont="1" applyFill="1" applyBorder="1" applyAlignment="1">
      <alignment vertical="center"/>
    </xf>
    <xf numFmtId="182" fontId="22" fillId="0" borderId="19" xfId="0" applyNumberFormat="1" applyFont="1" applyFill="1" applyBorder="1" applyAlignment="1">
      <alignment vertical="center"/>
    </xf>
    <xf numFmtId="186" fontId="22" fillId="0" borderId="19" xfId="64" applyNumberFormat="1" applyFont="1" applyFill="1" applyBorder="1" applyAlignment="1">
      <alignment vertical="center"/>
      <protection/>
    </xf>
    <xf numFmtId="178" fontId="22" fillId="0" borderId="19" xfId="64" applyNumberFormat="1" applyFont="1" applyFill="1" applyBorder="1" applyAlignment="1">
      <alignment horizontal="right" vertical="center"/>
      <protection/>
    </xf>
    <xf numFmtId="190" fontId="22" fillId="0" borderId="19" xfId="0" applyNumberFormat="1" applyFont="1" applyFill="1" applyBorder="1" applyAlignment="1">
      <alignment horizontal="right" vertical="center"/>
    </xf>
    <xf numFmtId="179" fontId="22" fillId="0" borderId="19" xfId="64" applyNumberFormat="1" applyFont="1" applyFill="1" applyBorder="1" applyAlignment="1">
      <alignment vertical="center"/>
      <protection/>
    </xf>
    <xf numFmtId="190" fontId="22" fillId="0" borderId="19" xfId="0" applyNumberFormat="1" applyFont="1" applyFill="1" applyBorder="1" applyAlignment="1">
      <alignment vertical="center"/>
    </xf>
    <xf numFmtId="189" fontId="22" fillId="0" borderId="19" xfId="0" applyNumberFormat="1" applyFont="1" applyFill="1" applyBorder="1" applyAlignment="1">
      <alignment vertical="center"/>
    </xf>
    <xf numFmtId="56" fontId="22" fillId="0" borderId="19" xfId="0" applyNumberFormat="1" applyFont="1" applyFill="1" applyBorder="1" applyAlignment="1">
      <alignment horizontal="center" vertical="center"/>
    </xf>
    <xf numFmtId="193" fontId="22" fillId="0" borderId="19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2" fillId="0" borderId="0" xfId="64" applyFont="1" applyBorder="1">
      <alignment/>
      <protection/>
    </xf>
    <xf numFmtId="0" fontId="22" fillId="0" borderId="0" xfId="64" applyFont="1" applyFill="1" applyBorder="1">
      <alignment/>
      <protection/>
    </xf>
    <xf numFmtId="0" fontId="22" fillId="0" borderId="12" xfId="65" applyFont="1" applyFill="1" applyBorder="1" applyAlignment="1">
      <alignment horizontal="center" vertical="center"/>
      <protection/>
    </xf>
    <xf numFmtId="0" fontId="22" fillId="0" borderId="11" xfId="62" applyFont="1" applyFill="1" applyBorder="1" applyAlignment="1">
      <alignment horizontal="center" vertical="center" shrinkToFit="1"/>
      <protection/>
    </xf>
    <xf numFmtId="189" fontId="22" fillId="0" borderId="19" xfId="64" applyNumberFormat="1" applyFont="1" applyFill="1" applyBorder="1" applyAlignment="1">
      <alignment vertical="center"/>
      <protection/>
    </xf>
    <xf numFmtId="190" fontId="22" fillId="0" borderId="19" xfId="64" applyNumberFormat="1" applyFont="1" applyFill="1" applyBorder="1" applyAlignment="1">
      <alignment vertical="center"/>
      <protection/>
    </xf>
    <xf numFmtId="227" fontId="22" fillId="0" borderId="19" xfId="64" applyNumberFormat="1" applyFont="1" applyFill="1" applyBorder="1" applyAlignment="1">
      <alignment vertical="center"/>
      <protection/>
    </xf>
    <xf numFmtId="190" fontId="22" fillId="0" borderId="19" xfId="64" applyNumberFormat="1" applyFont="1" applyFill="1" applyBorder="1" applyAlignment="1">
      <alignment horizontal="right" vertical="center"/>
      <protection/>
    </xf>
    <xf numFmtId="190" fontId="22" fillId="0" borderId="19" xfId="64" applyNumberFormat="1" applyFont="1" applyFill="1" applyBorder="1" applyAlignment="1">
      <alignment horizontal="center" vertical="center"/>
      <protection/>
    </xf>
    <xf numFmtId="189" fontId="22" fillId="0" borderId="19" xfId="64" applyNumberFormat="1" applyFont="1" applyFill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186" fontId="22" fillId="0" borderId="16" xfId="65" applyNumberFormat="1" applyFont="1" applyFill="1" applyBorder="1" applyAlignment="1">
      <alignment vertical="center"/>
      <protection/>
    </xf>
    <xf numFmtId="186" fontId="22" fillId="0" borderId="18" xfId="65" applyNumberFormat="1" applyFont="1" applyFill="1" applyBorder="1" applyAlignment="1">
      <alignment horizontal="center" vertical="center"/>
      <protection/>
    </xf>
    <xf numFmtId="186" fontId="22" fillId="0" borderId="18" xfId="65" applyNumberFormat="1" applyFont="1" applyFill="1" applyBorder="1" applyAlignment="1">
      <alignment vertical="center"/>
      <protection/>
    </xf>
    <xf numFmtId="186" fontId="22" fillId="0" borderId="17" xfId="65" applyNumberFormat="1" applyFont="1" applyFill="1" applyBorder="1" applyAlignment="1">
      <alignment vertical="center"/>
      <protection/>
    </xf>
    <xf numFmtId="0" fontId="22" fillId="0" borderId="14" xfId="65" applyFont="1" applyFill="1" applyBorder="1" applyAlignment="1">
      <alignment horizontal="center" vertical="center"/>
      <protection/>
    </xf>
    <xf numFmtId="186" fontId="22" fillId="0" borderId="16" xfId="65" applyNumberFormat="1" applyFont="1" applyFill="1" applyBorder="1" applyAlignment="1">
      <alignment horizontal="center" vertical="center"/>
      <protection/>
    </xf>
    <xf numFmtId="186" fontId="22" fillId="0" borderId="18" xfId="65" applyNumberFormat="1" applyFont="1" applyFill="1" applyBorder="1" applyAlignment="1">
      <alignment horizontal="center" vertical="center" shrinkToFit="1"/>
      <protection/>
    </xf>
    <xf numFmtId="186" fontId="22" fillId="0" borderId="17" xfId="65" applyNumberFormat="1" applyFont="1" applyFill="1" applyBorder="1" applyAlignment="1">
      <alignment horizontal="center" vertical="center"/>
      <protection/>
    </xf>
    <xf numFmtId="0" fontId="22" fillId="0" borderId="16" xfId="65" applyFont="1" applyFill="1" applyBorder="1" applyAlignment="1">
      <alignment horizontal="center" vertical="center"/>
      <protection/>
    </xf>
    <xf numFmtId="0" fontId="22" fillId="0" borderId="18" xfId="65" applyFont="1" applyFill="1" applyBorder="1" applyAlignment="1">
      <alignment horizontal="center" vertical="center"/>
      <protection/>
    </xf>
    <xf numFmtId="0" fontId="22" fillId="0" borderId="17" xfId="65" applyFont="1" applyFill="1" applyBorder="1" applyAlignment="1">
      <alignment horizontal="center" vertical="center"/>
      <protection/>
    </xf>
    <xf numFmtId="0" fontId="22" fillId="0" borderId="20" xfId="62" applyFont="1" applyFill="1" applyBorder="1" applyAlignment="1">
      <alignment horizontal="center" vertical="center"/>
      <protection/>
    </xf>
    <xf numFmtId="0" fontId="22" fillId="0" borderId="13" xfId="62" applyFont="1" applyFill="1" applyBorder="1" applyAlignment="1">
      <alignment horizontal="center" vertical="center" shrinkToFit="1"/>
      <protection/>
    </xf>
    <xf numFmtId="0" fontId="22" fillId="0" borderId="16" xfId="62" applyFont="1" applyFill="1" applyBorder="1" applyAlignment="1">
      <alignment horizontal="center" vertical="center"/>
      <protection/>
    </xf>
    <xf numFmtId="0" fontId="22" fillId="0" borderId="18" xfId="62" applyFont="1" applyFill="1" applyBorder="1" applyAlignment="1">
      <alignment horizontal="center" vertical="center"/>
      <protection/>
    </xf>
    <xf numFmtId="0" fontId="22" fillId="0" borderId="17" xfId="62" applyFont="1" applyFill="1" applyBorder="1" applyAlignment="1">
      <alignment horizontal="center" vertical="center"/>
      <protection/>
    </xf>
    <xf numFmtId="187" fontId="22" fillId="0" borderId="16" xfId="64" applyNumberFormat="1" applyFont="1" applyFill="1" applyBorder="1" applyAlignment="1">
      <alignment horizontal="center" vertical="center"/>
      <protection/>
    </xf>
    <xf numFmtId="187" fontId="22" fillId="0" borderId="18" xfId="64" applyNumberFormat="1" applyFont="1" applyFill="1" applyBorder="1" applyAlignment="1">
      <alignment horizontal="center" vertical="center"/>
      <protection/>
    </xf>
    <xf numFmtId="187" fontId="0" fillId="0" borderId="18" xfId="0" applyNumberFormat="1" applyFill="1" applyBorder="1" applyAlignment="1">
      <alignment horizontal="center" vertical="center"/>
    </xf>
    <xf numFmtId="185" fontId="22" fillId="0" borderId="17" xfId="64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191" fontId="50" fillId="0" borderId="0" xfId="0" applyNumberFormat="1" applyFont="1" applyFill="1" applyBorder="1" applyAlignment="1">
      <alignment vertical="center"/>
    </xf>
    <xf numFmtId="184" fontId="50" fillId="0" borderId="0" xfId="0" applyNumberFormat="1" applyFont="1" applyFill="1" applyBorder="1" applyAlignment="1">
      <alignment vertical="center"/>
    </xf>
    <xf numFmtId="193" fontId="50" fillId="0" borderId="0" xfId="0" applyNumberFormat="1" applyFont="1" applyFill="1" applyBorder="1" applyAlignment="1">
      <alignment vertical="center"/>
    </xf>
    <xf numFmtId="187" fontId="50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182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horizontal="center" vertical="center" shrinkToFit="1"/>
    </xf>
    <xf numFmtId="187" fontId="53" fillId="0" borderId="0" xfId="0" applyNumberFormat="1" applyFont="1" applyBorder="1" applyAlignment="1">
      <alignment vertical="center"/>
    </xf>
    <xf numFmtId="186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181" fontId="53" fillId="0" borderId="0" xfId="0" applyNumberFormat="1" applyFont="1" applyBorder="1" applyAlignment="1">
      <alignment vertical="center"/>
    </xf>
    <xf numFmtId="184" fontId="53" fillId="0" borderId="0" xfId="0" applyNumberFormat="1" applyFont="1" applyBorder="1" applyAlignment="1">
      <alignment vertical="center"/>
    </xf>
    <xf numFmtId="0" fontId="53" fillId="0" borderId="0" xfId="0" applyFont="1" applyFill="1" applyBorder="1" applyAlignment="1">
      <alignment vertical="center" shrinkToFit="1"/>
    </xf>
    <xf numFmtId="191" fontId="53" fillId="0" borderId="0" xfId="0" applyNumberFormat="1" applyFont="1" applyBorder="1" applyAlignment="1">
      <alignment vertical="center"/>
    </xf>
    <xf numFmtId="187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182" fontId="53" fillId="0" borderId="0" xfId="0" applyNumberFormat="1" applyFont="1" applyBorder="1" applyAlignment="1">
      <alignment vertical="center"/>
    </xf>
    <xf numFmtId="191" fontId="53" fillId="0" borderId="0" xfId="0" applyNumberFormat="1" applyFont="1" applyFill="1" applyBorder="1" applyAlignment="1">
      <alignment vertical="center"/>
    </xf>
    <xf numFmtId="186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187" fontId="53" fillId="0" borderId="0" xfId="0" applyNumberFormat="1" applyFont="1" applyFill="1" applyBorder="1" applyAlignment="1">
      <alignment vertical="center"/>
    </xf>
    <xf numFmtId="189" fontId="53" fillId="0" borderId="0" xfId="0" applyNumberFormat="1" applyFont="1" applyFill="1" applyBorder="1" applyAlignment="1">
      <alignment vertical="center"/>
    </xf>
    <xf numFmtId="189" fontId="53" fillId="0" borderId="0" xfId="0" applyNumberFormat="1" applyFont="1" applyFill="1" applyBorder="1" applyAlignment="1">
      <alignment horizontal="center" vertical="center"/>
    </xf>
    <xf numFmtId="186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177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191" fontId="53" fillId="0" borderId="0" xfId="0" applyNumberFormat="1" applyFont="1" applyAlignment="1">
      <alignment vertical="center"/>
    </xf>
    <xf numFmtId="178" fontId="53" fillId="0" borderId="0" xfId="0" applyNumberFormat="1" applyFont="1" applyAlignment="1">
      <alignment vertical="center"/>
    </xf>
    <xf numFmtId="178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3" fillId="0" borderId="0" xfId="0" applyFont="1" applyBorder="1" applyAlignment="1">
      <alignment vertical="center" textRotation="255"/>
    </xf>
    <xf numFmtId="0" fontId="53" fillId="0" borderId="0" xfId="0" applyFont="1" applyFill="1" applyBorder="1" applyAlignment="1">
      <alignment horizontal="center" vertical="center" textRotation="255"/>
    </xf>
    <xf numFmtId="0" fontId="4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176" fontId="53" fillId="0" borderId="0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 shrinkToFit="1"/>
    </xf>
    <xf numFmtId="0" fontId="53" fillId="0" borderId="0" xfId="0" applyFont="1" applyBorder="1" applyAlignment="1">
      <alignment vertical="center"/>
    </xf>
    <xf numFmtId="176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 shrinkToFit="1"/>
    </xf>
    <xf numFmtId="0" fontId="54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182" fontId="22" fillId="0" borderId="19" xfId="0" applyNumberFormat="1" applyFont="1" applyFill="1" applyBorder="1" applyAlignment="1">
      <alignment horizontal="right" vertical="center"/>
    </xf>
    <xf numFmtId="191" fontId="22" fillId="0" borderId="19" xfId="0" applyNumberFormat="1" applyFont="1" applyFill="1" applyBorder="1" applyAlignment="1" quotePrefix="1">
      <alignment vertical="center"/>
    </xf>
    <xf numFmtId="178" fontId="22" fillId="0" borderId="19" xfId="64" applyNumberFormat="1" applyFont="1" applyFill="1" applyBorder="1" applyAlignment="1">
      <alignment vertical="center"/>
      <protection/>
    </xf>
    <xf numFmtId="177" fontId="22" fillId="0" borderId="19" xfId="64" applyNumberFormat="1" applyFont="1" applyFill="1" applyBorder="1" applyAlignment="1">
      <alignment horizontal="center" vertical="center"/>
      <protection/>
    </xf>
    <xf numFmtId="179" fontId="22" fillId="0" borderId="19" xfId="64" applyNumberFormat="1" applyFont="1" applyFill="1" applyBorder="1" applyAlignment="1">
      <alignment horizontal="right" vertical="center"/>
      <protection/>
    </xf>
    <xf numFmtId="185" fontId="22" fillId="0" borderId="19" xfId="64" applyNumberFormat="1" applyFont="1" applyFill="1" applyBorder="1" applyAlignment="1">
      <alignment horizontal="center" vertical="center"/>
      <protection/>
    </xf>
    <xf numFmtId="193" fontId="22" fillId="0" borderId="11" xfId="64" applyNumberFormat="1" applyFont="1" applyFill="1" applyBorder="1" applyAlignment="1">
      <alignment horizontal="right" vertical="center"/>
      <protection/>
    </xf>
    <xf numFmtId="186" fontId="22" fillId="0" borderId="11" xfId="64" applyNumberFormat="1" applyFont="1" applyFill="1" applyBorder="1" applyAlignment="1">
      <alignment vertical="center"/>
      <protection/>
    </xf>
    <xf numFmtId="181" fontId="22" fillId="0" borderId="11" xfId="64" applyNumberFormat="1" applyFont="1" applyFill="1" applyBorder="1" applyAlignment="1">
      <alignment horizontal="right" vertical="center"/>
      <protection/>
    </xf>
    <xf numFmtId="186" fontId="22" fillId="0" borderId="11" xfId="64" applyNumberFormat="1" applyFont="1" applyFill="1" applyBorder="1" applyAlignment="1">
      <alignment horizontal="right" vertical="center"/>
      <protection/>
    </xf>
    <xf numFmtId="183" fontId="22" fillId="0" borderId="11" xfId="64" applyNumberFormat="1" applyFont="1" applyFill="1" applyBorder="1" applyAlignment="1">
      <alignment horizontal="right" vertical="center"/>
      <protection/>
    </xf>
    <xf numFmtId="193" fontId="22" fillId="0" borderId="19" xfId="64" applyNumberFormat="1" applyFont="1" applyFill="1" applyBorder="1" applyAlignment="1">
      <alignment horizontal="right" vertical="center"/>
      <protection/>
    </xf>
    <xf numFmtId="181" fontId="22" fillId="0" borderId="19" xfId="64" applyNumberFormat="1" applyFont="1" applyFill="1" applyBorder="1" applyAlignment="1">
      <alignment horizontal="right" vertical="center"/>
      <protection/>
    </xf>
    <xf numFmtId="186" fontId="22" fillId="0" borderId="19" xfId="64" applyNumberFormat="1" applyFont="1" applyFill="1" applyBorder="1" applyAlignment="1">
      <alignment horizontal="right" vertical="center"/>
      <protection/>
    </xf>
    <xf numFmtId="183" fontId="22" fillId="0" borderId="19" xfId="64" applyNumberFormat="1" applyFont="1" applyFill="1" applyBorder="1" applyAlignment="1">
      <alignment horizontal="right" vertical="center"/>
      <protection/>
    </xf>
    <xf numFmtId="187" fontId="22" fillId="0" borderId="19" xfId="64" applyNumberFormat="1" applyFont="1" applyFill="1" applyBorder="1" applyAlignment="1">
      <alignment horizontal="right" vertical="center"/>
      <protection/>
    </xf>
    <xf numFmtId="181" fontId="22" fillId="0" borderId="19" xfId="64" applyNumberFormat="1" applyFont="1" applyFill="1" applyBorder="1" applyAlignment="1">
      <alignment vertical="center"/>
      <protection/>
    </xf>
    <xf numFmtId="183" fontId="22" fillId="0" borderId="19" xfId="64" applyNumberFormat="1" applyFont="1" applyFill="1" applyBorder="1" applyAlignment="1">
      <alignment vertical="center"/>
      <protection/>
    </xf>
    <xf numFmtId="227" fontId="22" fillId="0" borderId="19" xfId="64" applyNumberFormat="1" applyFont="1" applyFill="1" applyBorder="1" applyAlignment="1">
      <alignment horizontal="right" vertical="center"/>
      <protection/>
    </xf>
    <xf numFmtId="231" fontId="22" fillId="0" borderId="19" xfId="49" applyNumberFormat="1" applyFont="1" applyFill="1" applyBorder="1" applyAlignment="1">
      <alignment vertical="center"/>
    </xf>
    <xf numFmtId="191" fontId="22" fillId="0" borderId="19" xfId="64" applyNumberFormat="1" applyFont="1" applyFill="1" applyBorder="1" applyAlignment="1">
      <alignment vertical="center"/>
      <protection/>
    </xf>
    <xf numFmtId="176" fontId="22" fillId="5" borderId="19" xfId="0" applyNumberFormat="1" applyFont="1" applyFill="1" applyBorder="1" applyAlignment="1">
      <alignment vertical="center" shrinkToFit="1"/>
    </xf>
    <xf numFmtId="0" fontId="22" fillId="5" borderId="19" xfId="0" applyFont="1" applyFill="1" applyBorder="1" applyAlignment="1">
      <alignment horizontal="center" vertical="center" shrinkToFit="1"/>
    </xf>
    <xf numFmtId="0" fontId="22" fillId="5" borderId="19" xfId="0" applyFont="1" applyFill="1" applyBorder="1" applyAlignment="1">
      <alignment horizontal="left" vertical="center" shrinkToFit="1"/>
    </xf>
    <xf numFmtId="187" fontId="22" fillId="5" borderId="19" xfId="64" applyNumberFormat="1" applyFont="1" applyFill="1" applyBorder="1" applyAlignment="1">
      <alignment vertical="center"/>
      <protection/>
    </xf>
    <xf numFmtId="191" fontId="22" fillId="5" borderId="19" xfId="0" applyNumberFormat="1" applyFont="1" applyFill="1" applyBorder="1" applyAlignment="1">
      <alignment vertical="center"/>
    </xf>
    <xf numFmtId="187" fontId="22" fillId="5" borderId="19" xfId="0" applyNumberFormat="1" applyFont="1" applyFill="1" applyBorder="1" applyAlignment="1">
      <alignment vertical="center"/>
    </xf>
    <xf numFmtId="176" fontId="22" fillId="0" borderId="19" xfId="0" applyNumberFormat="1" applyFont="1" applyBorder="1" applyAlignment="1">
      <alignment vertical="center" shrinkToFit="1"/>
    </xf>
    <xf numFmtId="0" fontId="22" fillId="0" borderId="19" xfId="0" applyFont="1" applyBorder="1" applyAlignment="1">
      <alignment vertical="center"/>
    </xf>
    <xf numFmtId="0" fontId="27" fillId="0" borderId="19" xfId="0" applyFont="1" applyBorder="1" applyAlignment="1">
      <alignment vertical="center" shrinkToFit="1"/>
    </xf>
    <xf numFmtId="0" fontId="22" fillId="0" borderId="19" xfId="0" applyFont="1" applyBorder="1" applyAlignment="1">
      <alignment vertical="center" shrinkToFit="1"/>
    </xf>
    <xf numFmtId="187" fontId="22" fillId="0" borderId="19" xfId="0" applyNumberFormat="1" applyFont="1" applyBorder="1" applyAlignment="1">
      <alignment vertical="center"/>
    </xf>
    <xf numFmtId="191" fontId="22" fillId="0" borderId="19" xfId="0" applyNumberFormat="1" applyFont="1" applyBorder="1" applyAlignment="1">
      <alignment horizontal="right" vertical="center"/>
    </xf>
    <xf numFmtId="187" fontId="22" fillId="0" borderId="19" xfId="0" applyNumberFormat="1" applyFont="1" applyBorder="1" applyAlignment="1">
      <alignment vertical="center"/>
    </xf>
    <xf numFmtId="187" fontId="22" fillId="5" borderId="19" xfId="0" applyNumberFormat="1" applyFont="1" applyFill="1" applyBorder="1" applyAlignment="1">
      <alignment vertical="center"/>
    </xf>
    <xf numFmtId="191" fontId="22" fillId="5" borderId="19" xfId="0" applyNumberFormat="1" applyFont="1" applyFill="1" applyBorder="1" applyAlignment="1">
      <alignment horizontal="right" vertical="center"/>
    </xf>
    <xf numFmtId="187" fontId="22" fillId="5" borderId="19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vertical="center" shrinkToFit="1"/>
    </xf>
    <xf numFmtId="191" fontId="22" fillId="0" borderId="19" xfId="0" applyNumberFormat="1" applyFont="1" applyFill="1" applyBorder="1" applyAlignment="1">
      <alignment horizontal="right" vertical="center"/>
    </xf>
    <xf numFmtId="187" fontId="22" fillId="0" borderId="19" xfId="0" applyNumberFormat="1" applyFont="1" applyFill="1" applyBorder="1" applyAlignment="1">
      <alignment vertical="center"/>
    </xf>
    <xf numFmtId="232" fontId="57" fillId="24" borderId="19" xfId="63" applyNumberFormat="1" applyFont="1" applyFill="1" applyBorder="1">
      <alignment vertical="center"/>
      <protection/>
    </xf>
    <xf numFmtId="182" fontId="57" fillId="24" borderId="19" xfId="63" applyNumberFormat="1" applyFont="1" applyFill="1" applyBorder="1">
      <alignment vertical="center"/>
      <protection/>
    </xf>
    <xf numFmtId="183" fontId="57" fillId="24" borderId="19" xfId="63" applyNumberFormat="1" applyFont="1" applyFill="1" applyBorder="1">
      <alignment vertical="center"/>
      <protection/>
    </xf>
    <xf numFmtId="181" fontId="57" fillId="24" borderId="19" xfId="63" applyNumberFormat="1" applyFont="1" applyFill="1" applyBorder="1">
      <alignment vertical="center"/>
      <protection/>
    </xf>
    <xf numFmtId="193" fontId="22" fillId="0" borderId="19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181" fontId="57" fillId="24" borderId="19" xfId="63" applyNumberFormat="1" applyFont="1" applyFill="1" applyBorder="1" applyAlignment="1">
      <alignment horizontal="right" vertical="center"/>
      <protection/>
    </xf>
    <xf numFmtId="0" fontId="22" fillId="0" borderId="19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 wrapText="1" shrinkToFit="1"/>
    </xf>
    <xf numFmtId="176" fontId="22" fillId="0" borderId="19" xfId="0" applyNumberFormat="1" applyFont="1" applyBorder="1" applyAlignment="1">
      <alignment horizontal="left" vertical="center"/>
    </xf>
    <xf numFmtId="186" fontId="22" fillId="0" borderId="19" xfId="0" applyNumberFormat="1" applyFont="1" applyBorder="1" applyAlignment="1">
      <alignment vertical="center"/>
    </xf>
    <xf numFmtId="185" fontId="22" fillId="0" borderId="19" xfId="0" applyNumberFormat="1" applyFont="1" applyBorder="1" applyAlignment="1">
      <alignment horizontal="right" vertical="center"/>
    </xf>
    <xf numFmtId="193" fontId="22" fillId="0" borderId="19" xfId="0" applyNumberFormat="1" applyFont="1" applyBorder="1" applyAlignment="1">
      <alignment vertical="center"/>
    </xf>
    <xf numFmtId="185" fontId="22" fillId="0" borderId="19" xfId="0" applyNumberFormat="1" applyFont="1" applyBorder="1" applyAlignment="1">
      <alignment vertical="center"/>
    </xf>
    <xf numFmtId="191" fontId="22" fillId="5" borderId="19" xfId="64" applyNumberFormat="1" applyFont="1" applyFill="1" applyBorder="1" applyAlignment="1">
      <alignment vertical="center"/>
      <protection/>
    </xf>
    <xf numFmtId="190" fontId="22" fillId="0" borderId="21" xfId="0" applyNumberFormat="1" applyFont="1" applyFill="1" applyBorder="1" applyAlignment="1">
      <alignment horizontal="right" vertical="center"/>
    </xf>
    <xf numFmtId="178" fontId="22" fillId="0" borderId="19" xfId="64" applyNumberFormat="1" applyFont="1" applyFill="1" applyBorder="1" applyAlignment="1">
      <alignment horizontal="center" vertical="center"/>
      <protection/>
    </xf>
    <xf numFmtId="189" fontId="22" fillId="0" borderId="21" xfId="0" applyNumberFormat="1" applyFont="1" applyFill="1" applyBorder="1" applyAlignment="1">
      <alignment horizontal="right" vertical="center"/>
    </xf>
    <xf numFmtId="185" fontId="22" fillId="0" borderId="21" xfId="0" applyNumberFormat="1" applyFont="1" applyFill="1" applyBorder="1" applyAlignment="1">
      <alignment horizontal="right" vertical="center"/>
    </xf>
    <xf numFmtId="190" fontId="22" fillId="0" borderId="21" xfId="0" applyNumberFormat="1" applyFont="1" applyBorder="1" applyAlignment="1">
      <alignment horizontal="right" vertical="center"/>
    </xf>
    <xf numFmtId="189" fontId="22" fillId="0" borderId="21" xfId="0" applyNumberFormat="1" applyFont="1" applyBorder="1" applyAlignment="1">
      <alignment horizontal="right" vertical="center"/>
    </xf>
    <xf numFmtId="0" fontId="22" fillId="4" borderId="19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178" fontId="22" fillId="0" borderId="19" xfId="0" applyNumberFormat="1" applyFont="1" applyBorder="1" applyAlignment="1">
      <alignment horizontal="center" vertical="center"/>
    </xf>
    <xf numFmtId="187" fontId="22" fillId="0" borderId="19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4" borderId="19" xfId="0" applyFont="1" applyFill="1" applyBorder="1" applyAlignment="1">
      <alignment vertical="center" shrinkToFit="1"/>
    </xf>
    <xf numFmtId="0" fontId="22" fillId="4" borderId="19" xfId="0" applyFont="1" applyFill="1" applyBorder="1" applyAlignment="1">
      <alignment horizontal="center" vertical="center" shrinkToFit="1"/>
    </xf>
    <xf numFmtId="191" fontId="22" fillId="4" borderId="19" xfId="0" applyNumberFormat="1" applyFont="1" applyFill="1" applyBorder="1" applyAlignment="1">
      <alignment horizontal="center" vertical="center"/>
    </xf>
    <xf numFmtId="191" fontId="22" fillId="5" borderId="19" xfId="0" applyNumberFormat="1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vertical="center" shrinkToFit="1"/>
    </xf>
    <xf numFmtId="0" fontId="27" fillId="25" borderId="19" xfId="0" applyFont="1" applyFill="1" applyBorder="1" applyAlignment="1">
      <alignment vertical="center" shrinkToFit="1"/>
    </xf>
    <xf numFmtId="191" fontId="22" fillId="25" borderId="19" xfId="0" applyNumberFormat="1" applyFont="1" applyFill="1" applyBorder="1" applyAlignment="1">
      <alignment vertical="center"/>
    </xf>
    <xf numFmtId="184" fontId="22" fillId="25" borderId="19" xfId="0" applyNumberFormat="1" applyFont="1" applyFill="1" applyBorder="1" applyAlignment="1">
      <alignment vertical="center"/>
    </xf>
    <xf numFmtId="0" fontId="22" fillId="25" borderId="19" xfId="0" applyFont="1" applyFill="1" applyBorder="1" applyAlignment="1">
      <alignment horizontal="left" vertical="center" shrinkToFit="1"/>
    </xf>
    <xf numFmtId="0" fontId="22" fillId="25" borderId="19" xfId="61" applyFont="1" applyFill="1" applyBorder="1" applyAlignment="1">
      <alignment vertical="center" shrinkToFit="1"/>
      <protection/>
    </xf>
    <xf numFmtId="0" fontId="22" fillId="25" borderId="19" xfId="61" applyFont="1" applyFill="1" applyBorder="1" applyAlignment="1">
      <alignment horizontal="left" vertical="center"/>
      <protection/>
    </xf>
    <xf numFmtId="176" fontId="22" fillId="0" borderId="19" xfId="0" applyNumberFormat="1" applyFont="1" applyBorder="1" applyAlignment="1">
      <alignment horizontal="center" vertical="center"/>
    </xf>
    <xf numFmtId="0" fontId="27" fillId="0" borderId="19" xfId="0" applyFont="1" applyFill="1" applyBorder="1" applyAlignment="1">
      <alignment vertical="center" shrinkToFit="1"/>
    </xf>
    <xf numFmtId="191" fontId="22" fillId="0" borderId="19" xfId="0" applyNumberFormat="1" applyFont="1" applyFill="1" applyBorder="1" applyAlignment="1">
      <alignment vertical="center"/>
    </xf>
    <xf numFmtId="184" fontId="22" fillId="0" borderId="19" xfId="0" applyNumberFormat="1" applyFont="1" applyFill="1" applyBorder="1" applyAlignment="1">
      <alignment vertical="center"/>
    </xf>
    <xf numFmtId="184" fontId="22" fillId="0" borderId="19" xfId="0" applyNumberFormat="1" applyFont="1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185" fontId="22" fillId="0" borderId="19" xfId="0" applyNumberFormat="1" applyFont="1" applyFill="1" applyBorder="1" applyAlignment="1">
      <alignment vertical="center" shrinkToFit="1"/>
    </xf>
    <xf numFmtId="194" fontId="22" fillId="0" borderId="19" xfId="0" applyNumberFormat="1" applyFont="1" applyFill="1" applyBorder="1" applyAlignment="1">
      <alignment vertical="center"/>
    </xf>
    <xf numFmtId="185" fontId="22" fillId="25" borderId="19" xfId="0" applyNumberFormat="1" applyFont="1" applyFill="1" applyBorder="1" applyAlignment="1">
      <alignment vertical="center" shrinkToFit="1"/>
    </xf>
    <xf numFmtId="231" fontId="22" fillId="25" borderId="19" xfId="49" applyNumberFormat="1" applyFont="1" applyFill="1" applyBorder="1" applyAlignment="1">
      <alignment vertical="center"/>
    </xf>
    <xf numFmtId="187" fontId="22" fillId="25" borderId="19" xfId="64" applyNumberFormat="1" applyFont="1" applyFill="1" applyBorder="1" applyAlignment="1">
      <alignment horizontal="left" vertical="center"/>
      <protection/>
    </xf>
    <xf numFmtId="194" fontId="22" fillId="25" borderId="19" xfId="64" applyNumberFormat="1" applyFont="1" applyFill="1" applyBorder="1" applyAlignment="1">
      <alignment vertical="center"/>
      <protection/>
    </xf>
    <xf numFmtId="188" fontId="22" fillId="0" borderId="19" xfId="64" applyNumberFormat="1" applyFont="1" applyFill="1" applyBorder="1" applyAlignment="1">
      <alignment vertical="center"/>
      <protection/>
    </xf>
    <xf numFmtId="194" fontId="22" fillId="0" borderId="19" xfId="64" applyNumberFormat="1" applyFont="1" applyFill="1" applyBorder="1" applyAlignment="1">
      <alignment vertical="center"/>
      <protection/>
    </xf>
    <xf numFmtId="0" fontId="22" fillId="25" borderId="11" xfId="0" applyFont="1" applyFill="1" applyBorder="1" applyAlignment="1">
      <alignment vertical="center" shrinkToFit="1"/>
    </xf>
    <xf numFmtId="231" fontId="22" fillId="25" borderId="11" xfId="49" applyNumberFormat="1" applyFont="1" applyFill="1" applyBorder="1" applyAlignment="1">
      <alignment vertical="center"/>
    </xf>
    <xf numFmtId="194" fontId="22" fillId="25" borderId="11" xfId="64" applyNumberFormat="1" applyFont="1" applyFill="1" applyBorder="1" applyAlignment="1">
      <alignment vertical="center"/>
      <protection/>
    </xf>
    <xf numFmtId="176" fontId="22" fillId="25" borderId="19" xfId="61" applyNumberFormat="1" applyFont="1" applyFill="1" applyBorder="1" applyAlignment="1">
      <alignment vertical="center" shrinkToFit="1"/>
      <protection/>
    </xf>
    <xf numFmtId="0" fontId="22" fillId="25" borderId="19" xfId="61" applyFont="1" applyFill="1" applyBorder="1" applyAlignment="1">
      <alignment vertical="center"/>
      <protection/>
    </xf>
    <xf numFmtId="0" fontId="27" fillId="25" borderId="19" xfId="61" applyFont="1" applyFill="1" applyBorder="1" applyAlignment="1">
      <alignment vertical="center" shrinkToFit="1"/>
      <protection/>
    </xf>
    <xf numFmtId="0" fontId="22" fillId="0" borderId="19" xfId="61" applyFont="1" applyFill="1" applyBorder="1" applyAlignment="1">
      <alignment vertical="center" shrinkToFit="1"/>
      <protection/>
    </xf>
    <xf numFmtId="0" fontId="22" fillId="0" borderId="19" xfId="61" applyFont="1" applyBorder="1" applyAlignment="1">
      <alignment vertical="center"/>
      <protection/>
    </xf>
    <xf numFmtId="0" fontId="33" fillId="0" borderId="0" xfId="43" applyFont="1" applyAlignment="1" applyProtection="1">
      <alignment vertical="center"/>
      <protection/>
    </xf>
    <xf numFmtId="183" fontId="22" fillId="0" borderId="19" xfId="0" applyNumberFormat="1" applyFont="1" applyFill="1" applyBorder="1" applyAlignment="1">
      <alignment horizontal="right" vertical="center"/>
    </xf>
    <xf numFmtId="189" fontId="22" fillId="0" borderId="19" xfId="0" applyNumberFormat="1" applyFont="1" applyFill="1" applyBorder="1" applyAlignment="1">
      <alignment vertical="center"/>
    </xf>
    <xf numFmtId="191" fontId="22" fillId="25" borderId="19" xfId="0" applyNumberFormat="1" applyFont="1" applyFill="1" applyBorder="1" applyAlignment="1">
      <alignment vertical="center"/>
    </xf>
    <xf numFmtId="184" fontId="22" fillId="25" borderId="19" xfId="0" applyNumberFormat="1" applyFont="1" applyFill="1" applyBorder="1" applyAlignment="1">
      <alignment vertical="center"/>
    </xf>
    <xf numFmtId="0" fontId="22" fillId="25" borderId="19" xfId="0" applyFont="1" applyFill="1" applyBorder="1" applyAlignment="1">
      <alignment horizontal="left" vertical="center"/>
    </xf>
    <xf numFmtId="0" fontId="34" fillId="25" borderId="19" xfId="61" applyFont="1" applyFill="1" applyBorder="1">
      <alignment vertical="center"/>
      <protection/>
    </xf>
    <xf numFmtId="191" fontId="22" fillId="0" borderId="19" xfId="0" applyNumberFormat="1" applyFont="1" applyBorder="1" applyAlignment="1">
      <alignment vertical="center"/>
    </xf>
    <xf numFmtId="182" fontId="22" fillId="0" borderId="19" xfId="0" applyNumberFormat="1" applyFont="1" applyBorder="1" applyAlignment="1">
      <alignment vertical="center"/>
    </xf>
    <xf numFmtId="0" fontId="22" fillId="0" borderId="19" xfId="0" applyFont="1" applyBorder="1" applyAlignment="1">
      <alignment horizontal="left" vertical="center" shrinkToFit="1"/>
    </xf>
    <xf numFmtId="0" fontId="22" fillId="0" borderId="19" xfId="61" applyFont="1" applyBorder="1" applyAlignment="1">
      <alignment vertical="center" shrinkToFit="1"/>
      <protection/>
    </xf>
    <xf numFmtId="0" fontId="22" fillId="0" borderId="19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2" fillId="0" borderId="19" xfId="63" applyFont="1" applyFill="1" applyBorder="1">
      <alignment vertical="center"/>
      <protection/>
    </xf>
    <xf numFmtId="184" fontId="22" fillId="0" borderId="19" xfId="0" applyNumberFormat="1" applyFont="1" applyBorder="1" applyAlignment="1">
      <alignment vertical="center"/>
    </xf>
    <xf numFmtId="181" fontId="22" fillId="0" borderId="19" xfId="0" applyNumberFormat="1" applyFont="1" applyBorder="1" applyAlignment="1">
      <alignment vertical="center"/>
    </xf>
    <xf numFmtId="181" fontId="22" fillId="5" borderId="19" xfId="0" applyNumberFormat="1" applyFont="1" applyFill="1" applyBorder="1" applyAlignment="1">
      <alignment vertical="center"/>
    </xf>
    <xf numFmtId="191" fontId="22" fillId="25" borderId="11" xfId="0" applyNumberFormat="1" applyFont="1" applyFill="1" applyBorder="1" applyAlignment="1">
      <alignment vertical="center"/>
    </xf>
    <xf numFmtId="184" fontId="22" fillId="25" borderId="11" xfId="0" applyNumberFormat="1" applyFont="1" applyFill="1" applyBorder="1" applyAlignment="1">
      <alignment vertical="center"/>
    </xf>
    <xf numFmtId="0" fontId="22" fillId="25" borderId="19" xfId="61" applyFont="1" applyFill="1" applyBorder="1" applyAlignment="1">
      <alignment horizontal="left" vertical="center" shrinkToFit="1"/>
      <protection/>
    </xf>
    <xf numFmtId="185" fontId="22" fillId="25" borderId="19" xfId="61" applyNumberFormat="1" applyFont="1" applyFill="1" applyBorder="1" applyAlignment="1">
      <alignment vertical="center" shrinkToFit="1"/>
      <protection/>
    </xf>
    <xf numFmtId="176" fontId="22" fillId="0" borderId="19" xfId="61" applyNumberFormat="1" applyFont="1" applyBorder="1" applyAlignment="1">
      <alignment vertical="center" shrinkToFit="1"/>
      <protection/>
    </xf>
    <xf numFmtId="0" fontId="27" fillId="0" borderId="19" xfId="61" applyFont="1" applyBorder="1" applyAlignment="1">
      <alignment vertical="center" shrinkToFit="1"/>
      <protection/>
    </xf>
    <xf numFmtId="176" fontId="22" fillId="0" borderId="11" xfId="61" applyNumberFormat="1" applyFont="1" applyBorder="1" applyAlignment="1">
      <alignment vertical="center" shrinkToFit="1"/>
      <protection/>
    </xf>
    <xf numFmtId="0" fontId="22" fillId="0" borderId="11" xfId="61" applyFont="1" applyBorder="1" applyAlignment="1">
      <alignment vertical="center"/>
      <protection/>
    </xf>
    <xf numFmtId="0" fontId="22" fillId="26" borderId="19" xfId="0" applyFont="1" applyFill="1" applyBorder="1" applyAlignment="1">
      <alignment horizontal="center" vertical="center"/>
    </xf>
    <xf numFmtId="199" fontId="22" fillId="0" borderId="19" xfId="0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/>
    </xf>
    <xf numFmtId="191" fontId="22" fillId="0" borderId="22" xfId="0" applyNumberFormat="1" applyFont="1" applyFill="1" applyBorder="1" applyAlignment="1">
      <alignment horizontal="center" vertical="center"/>
    </xf>
    <xf numFmtId="184" fontId="53" fillId="0" borderId="22" xfId="0" applyNumberFormat="1" applyFont="1" applyFill="1" applyBorder="1" applyAlignment="1">
      <alignment vertical="center"/>
    </xf>
    <xf numFmtId="187" fontId="53" fillId="0" borderId="22" xfId="0" applyNumberFormat="1" applyFont="1" applyFill="1" applyBorder="1" applyAlignment="1">
      <alignment vertical="center"/>
    </xf>
    <xf numFmtId="187" fontId="53" fillId="0" borderId="22" xfId="0" applyNumberFormat="1" applyFont="1" applyFill="1" applyBorder="1" applyAlignment="1">
      <alignment vertical="center"/>
    </xf>
    <xf numFmtId="0" fontId="53" fillId="0" borderId="22" xfId="0" applyFont="1" applyFill="1" applyBorder="1" applyAlignment="1">
      <alignment horizontal="center" vertical="center"/>
    </xf>
    <xf numFmtId="183" fontId="22" fillId="4" borderId="19" xfId="0" applyNumberFormat="1" applyFont="1" applyFill="1" applyBorder="1" applyAlignment="1">
      <alignment horizontal="center" vertical="center"/>
    </xf>
    <xf numFmtId="57" fontId="22" fillId="0" borderId="19" xfId="0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shrinkToFit="1"/>
    </xf>
    <xf numFmtId="0" fontId="22" fillId="27" borderId="11" xfId="0" applyFont="1" applyFill="1" applyBorder="1" applyAlignment="1">
      <alignment horizontal="left" vertical="center" shrinkToFit="1"/>
    </xf>
    <xf numFmtId="182" fontId="22" fillId="0" borderId="19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181" fontId="22" fillId="0" borderId="19" xfId="0" applyNumberFormat="1" applyFont="1" applyFill="1" applyBorder="1" applyAlignment="1">
      <alignment vertical="center"/>
    </xf>
    <xf numFmtId="185" fontId="22" fillId="5" borderId="19" xfId="0" applyNumberFormat="1" applyFont="1" applyFill="1" applyBorder="1" applyAlignment="1">
      <alignment vertical="center"/>
    </xf>
    <xf numFmtId="0" fontId="22" fillId="4" borderId="19" xfId="0" applyFont="1" applyFill="1" applyBorder="1" applyAlignment="1">
      <alignment vertical="center"/>
    </xf>
    <xf numFmtId="0" fontId="27" fillId="4" borderId="19" xfId="0" applyFont="1" applyFill="1" applyBorder="1" applyAlignment="1">
      <alignment vertical="center" shrinkToFit="1"/>
    </xf>
    <xf numFmtId="0" fontId="22" fillId="0" borderId="19" xfId="61" applyFont="1" applyFill="1" applyBorder="1" applyAlignment="1">
      <alignment horizontal="left" vertical="center"/>
      <protection/>
    </xf>
    <xf numFmtId="0" fontId="27" fillId="0" borderId="19" xfId="61" applyFont="1" applyFill="1" applyBorder="1" applyAlignment="1">
      <alignment horizontal="left" vertical="center" wrapText="1" shrinkToFit="1"/>
      <protection/>
    </xf>
    <xf numFmtId="0" fontId="22" fillId="0" borderId="19" xfId="0" applyFont="1" applyBorder="1" applyAlignment="1">
      <alignment horizontal="left" vertical="center"/>
    </xf>
    <xf numFmtId="183" fontId="22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2" fillId="0" borderId="19" xfId="0" applyFont="1" applyFill="1" applyBorder="1" applyAlignment="1">
      <alignment horizontal="center" vertical="center" shrinkToFit="1"/>
    </xf>
    <xf numFmtId="191" fontId="22" fillId="0" borderId="19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7" fillId="0" borderId="19" xfId="0" applyFont="1" applyFill="1" applyBorder="1" applyAlignment="1">
      <alignment vertical="center"/>
    </xf>
    <xf numFmtId="183" fontId="22" fillId="0" borderId="19" xfId="0" applyNumberFormat="1" applyFont="1" applyBorder="1" applyAlignment="1">
      <alignment vertical="center"/>
    </xf>
    <xf numFmtId="0" fontId="22" fillId="0" borderId="0" xfId="61" applyFont="1" applyBorder="1" applyAlignment="1">
      <alignment vertical="center"/>
      <protection/>
    </xf>
    <xf numFmtId="0" fontId="22" fillId="0" borderId="11" xfId="0" applyFont="1" applyBorder="1" applyAlignment="1">
      <alignment horizontal="center" vertical="center" wrapText="1"/>
    </xf>
    <xf numFmtId="233" fontId="22" fillId="0" borderId="19" xfId="64" applyNumberFormat="1" applyFont="1" applyFill="1" applyBorder="1" applyAlignment="1">
      <alignment horizontal="right" vertical="center"/>
      <protection/>
    </xf>
    <xf numFmtId="0" fontId="57" fillId="24" borderId="19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7" fillId="24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/>
    </xf>
    <xf numFmtId="0" fontId="57" fillId="0" borderId="14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9" xfId="0" applyFont="1" applyFill="1" applyBorder="1" applyAlignment="1">
      <alignment vertical="center"/>
    </xf>
    <xf numFmtId="0" fontId="57" fillId="0" borderId="19" xfId="0" applyFont="1" applyBorder="1" applyAlignment="1">
      <alignment horizontal="left" vertical="center"/>
    </xf>
    <xf numFmtId="187" fontId="57" fillId="25" borderId="19" xfId="64" applyNumberFormat="1" applyFont="1" applyFill="1" applyBorder="1" applyAlignment="1">
      <alignment vertical="center"/>
      <protection/>
    </xf>
    <xf numFmtId="186" fontId="57" fillId="25" borderId="19" xfId="0" applyNumberFormat="1" applyFont="1" applyFill="1" applyBorder="1" applyAlignment="1">
      <alignment vertical="center"/>
    </xf>
    <xf numFmtId="187" fontId="57" fillId="25" borderId="19" xfId="0" applyNumberFormat="1" applyFont="1" applyFill="1" applyBorder="1" applyAlignment="1">
      <alignment vertical="center"/>
    </xf>
    <xf numFmtId="187" fontId="57" fillId="0" borderId="19" xfId="64" applyNumberFormat="1" applyFont="1" applyFill="1" applyBorder="1" applyAlignment="1">
      <alignment vertical="center"/>
      <protection/>
    </xf>
    <xf numFmtId="186" fontId="57" fillId="0" borderId="19" xfId="0" applyNumberFormat="1" applyFont="1" applyFill="1" applyBorder="1" applyAlignment="1">
      <alignment vertical="center"/>
    </xf>
    <xf numFmtId="191" fontId="57" fillId="0" borderId="19" xfId="0" applyNumberFormat="1" applyFont="1" applyFill="1" applyBorder="1" applyAlignment="1">
      <alignment vertical="center"/>
    </xf>
    <xf numFmtId="187" fontId="57" fillId="0" borderId="19" xfId="0" applyNumberFormat="1" applyFont="1" applyFill="1" applyBorder="1" applyAlignment="1">
      <alignment vertical="center"/>
    </xf>
    <xf numFmtId="186" fontId="57" fillId="0" borderId="19" xfId="0" applyNumberFormat="1" applyFont="1" applyFill="1" applyBorder="1" applyAlignment="1">
      <alignment horizontal="center" vertical="center"/>
    </xf>
    <xf numFmtId="186" fontId="57" fillId="0" borderId="19" xfId="64" applyNumberFormat="1" applyFont="1" applyFill="1" applyBorder="1" applyAlignment="1">
      <alignment vertical="center"/>
      <protection/>
    </xf>
    <xf numFmtId="187" fontId="57" fillId="4" borderId="19" xfId="64" applyNumberFormat="1" applyFont="1" applyFill="1" applyBorder="1" applyAlignment="1">
      <alignment vertical="center"/>
      <protection/>
    </xf>
    <xf numFmtId="191" fontId="57" fillId="25" borderId="19" xfId="64" applyNumberFormat="1" applyFont="1" applyFill="1" applyBorder="1" applyAlignment="1">
      <alignment vertical="center"/>
      <protection/>
    </xf>
    <xf numFmtId="186" fontId="57" fillId="25" borderId="11" xfId="64" applyNumberFormat="1" applyFont="1" applyFill="1" applyBorder="1" applyAlignment="1">
      <alignment vertical="center"/>
      <protection/>
    </xf>
    <xf numFmtId="187" fontId="57" fillId="25" borderId="11" xfId="64" applyNumberFormat="1" applyFont="1" applyFill="1" applyBorder="1" applyAlignment="1">
      <alignment vertical="center"/>
      <protection/>
    </xf>
    <xf numFmtId="187" fontId="57" fillId="25" borderId="19" xfId="64" applyNumberFormat="1" applyFont="1" applyFill="1" applyBorder="1" applyAlignment="1">
      <alignment horizontal="center" vertical="center"/>
      <protection/>
    </xf>
    <xf numFmtId="191" fontId="57" fillId="25" borderId="19" xfId="0" applyNumberFormat="1" applyFont="1" applyFill="1" applyBorder="1" applyAlignment="1">
      <alignment horizontal="center" vertical="center"/>
    </xf>
    <xf numFmtId="187" fontId="57" fillId="25" borderId="19" xfId="0" applyNumberFormat="1" applyFont="1" applyFill="1" applyBorder="1" applyAlignment="1">
      <alignment horizontal="center" vertical="center"/>
    </xf>
    <xf numFmtId="193" fontId="57" fillId="0" borderId="19" xfId="64" applyNumberFormat="1" applyFont="1" applyFill="1" applyBorder="1" applyAlignment="1">
      <alignment vertical="center"/>
      <protection/>
    </xf>
    <xf numFmtId="187" fontId="57" fillId="5" borderId="19" xfId="64" applyNumberFormat="1" applyFont="1" applyFill="1" applyBorder="1" applyAlignment="1">
      <alignment vertical="center"/>
      <protection/>
    </xf>
    <xf numFmtId="186" fontId="57" fillId="5" borderId="19" xfId="64" applyNumberFormat="1" applyFont="1" applyFill="1" applyBorder="1" applyAlignment="1">
      <alignment vertical="center"/>
      <protection/>
    </xf>
    <xf numFmtId="187" fontId="57" fillId="25" borderId="11" xfId="0" applyNumberFormat="1" applyFont="1" applyFill="1" applyBorder="1" applyAlignment="1">
      <alignment vertical="center"/>
    </xf>
    <xf numFmtId="187" fontId="57" fillId="0" borderId="19" xfId="0" applyNumberFormat="1" applyFont="1" applyBorder="1" applyAlignment="1">
      <alignment vertical="center"/>
    </xf>
    <xf numFmtId="191" fontId="57" fillId="0" borderId="19" xfId="64" applyNumberFormat="1" applyFont="1" applyFill="1" applyBorder="1" applyAlignment="1">
      <alignment horizontal="right" vertical="center"/>
      <protection/>
    </xf>
    <xf numFmtId="191" fontId="57" fillId="0" borderId="19" xfId="0" applyNumberFormat="1" applyFont="1" applyFill="1" applyBorder="1" applyAlignment="1">
      <alignment horizontal="right" vertical="center"/>
    </xf>
    <xf numFmtId="186" fontId="57" fillId="0" borderId="19" xfId="0" applyNumberFormat="1" applyFont="1" applyFill="1" applyBorder="1" applyAlignment="1">
      <alignment horizontal="right" vertical="center"/>
    </xf>
    <xf numFmtId="193" fontId="57" fillId="0" borderId="19" xfId="0" applyNumberFormat="1" applyFont="1" applyBorder="1" applyAlignment="1">
      <alignment vertical="center"/>
    </xf>
    <xf numFmtId="188" fontId="57" fillId="0" borderId="19" xfId="0" applyNumberFormat="1" applyFont="1" applyBorder="1" applyAlignment="1">
      <alignment vertical="center"/>
    </xf>
    <xf numFmtId="193" fontId="57" fillId="0" borderId="19" xfId="0" applyNumberFormat="1" applyFont="1" applyBorder="1" applyAlignment="1">
      <alignment vertical="center"/>
    </xf>
    <xf numFmtId="186" fontId="57" fillId="0" borderId="19" xfId="0" applyNumberFormat="1" applyFont="1" applyBorder="1" applyAlignment="1">
      <alignment horizontal="center" vertical="center"/>
    </xf>
    <xf numFmtId="185" fontId="57" fillId="0" borderId="19" xfId="0" applyNumberFormat="1" applyFont="1" applyBorder="1" applyAlignment="1">
      <alignment horizontal="center" vertical="center"/>
    </xf>
    <xf numFmtId="193" fontId="57" fillId="4" borderId="19" xfId="0" applyNumberFormat="1" applyFont="1" applyFill="1" applyBorder="1" applyAlignment="1">
      <alignment vertical="center"/>
    </xf>
    <xf numFmtId="185" fontId="57" fillId="4" borderId="19" xfId="0" applyNumberFormat="1" applyFont="1" applyFill="1" applyBorder="1" applyAlignment="1">
      <alignment vertical="center"/>
    </xf>
    <xf numFmtId="186" fontId="57" fillId="4" borderId="19" xfId="0" applyNumberFormat="1" applyFont="1" applyFill="1" applyBorder="1" applyAlignment="1">
      <alignment vertical="center"/>
    </xf>
    <xf numFmtId="187" fontId="57" fillId="25" borderId="19" xfId="0" applyNumberFormat="1" applyFont="1" applyFill="1" applyBorder="1" applyAlignment="1">
      <alignment vertical="center"/>
    </xf>
    <xf numFmtId="191" fontId="57" fillId="25" borderId="19" xfId="0" applyNumberFormat="1" applyFont="1" applyFill="1" applyBorder="1" applyAlignment="1">
      <alignment horizontal="right" vertical="center"/>
    </xf>
    <xf numFmtId="186" fontId="57" fillId="25" borderId="19" xfId="0" applyNumberFormat="1" applyFont="1" applyFill="1" applyBorder="1" applyAlignment="1">
      <alignment horizontal="right" vertical="center"/>
    </xf>
    <xf numFmtId="187" fontId="57" fillId="4" borderId="19" xfId="0" applyNumberFormat="1" applyFont="1" applyFill="1" applyBorder="1" applyAlignment="1">
      <alignment vertical="center"/>
    </xf>
    <xf numFmtId="191" fontId="57" fillId="4" borderId="19" xfId="0" applyNumberFormat="1" applyFont="1" applyFill="1" applyBorder="1" applyAlignment="1">
      <alignment horizontal="right" vertical="center"/>
    </xf>
    <xf numFmtId="187" fontId="57" fillId="4" borderId="19" xfId="0" applyNumberFormat="1" applyFont="1" applyFill="1" applyBorder="1" applyAlignment="1">
      <alignment vertical="center"/>
    </xf>
    <xf numFmtId="187" fontId="57" fillId="0" borderId="19" xfId="0" applyNumberFormat="1" applyFont="1" applyFill="1" applyBorder="1" applyAlignment="1">
      <alignment vertical="center"/>
    </xf>
    <xf numFmtId="187" fontId="57" fillId="27" borderId="19" xfId="0" applyNumberFormat="1" applyFont="1" applyFill="1" applyBorder="1" applyAlignment="1">
      <alignment vertical="center"/>
    </xf>
    <xf numFmtId="191" fontId="57" fillId="27" borderId="19" xfId="0" applyNumberFormat="1" applyFont="1" applyFill="1" applyBorder="1" applyAlignment="1">
      <alignment horizontal="right" vertical="center"/>
    </xf>
    <xf numFmtId="187" fontId="57" fillId="27" borderId="19" xfId="0" applyNumberFormat="1" applyFont="1" applyFill="1" applyBorder="1" applyAlignment="1">
      <alignment vertical="center"/>
    </xf>
    <xf numFmtId="187" fontId="57" fillId="5" borderId="19" xfId="0" applyNumberFormat="1" applyFont="1" applyFill="1" applyBorder="1" applyAlignment="1">
      <alignment vertical="center"/>
    </xf>
    <xf numFmtId="191" fontId="57" fillId="5" borderId="19" xfId="0" applyNumberFormat="1" applyFont="1" applyFill="1" applyBorder="1" applyAlignment="1">
      <alignment horizontal="right" vertical="center"/>
    </xf>
    <xf numFmtId="187" fontId="57" fillId="5" borderId="19" xfId="0" applyNumberFormat="1" applyFont="1" applyFill="1" applyBorder="1" applyAlignment="1">
      <alignment vertical="center"/>
    </xf>
    <xf numFmtId="186" fontId="57" fillId="5" borderId="19" xfId="0" applyNumberFormat="1" applyFont="1" applyFill="1" applyBorder="1" applyAlignment="1">
      <alignment vertical="center"/>
    </xf>
    <xf numFmtId="191" fontId="57" fillId="5" borderId="19" xfId="0" applyNumberFormat="1" applyFont="1" applyFill="1" applyBorder="1" applyAlignment="1">
      <alignment vertical="center"/>
    </xf>
    <xf numFmtId="188" fontId="57" fillId="0" borderId="19" xfId="0" applyNumberFormat="1" applyFont="1" applyBorder="1" applyAlignment="1">
      <alignment vertical="center"/>
    </xf>
    <xf numFmtId="185" fontId="57" fillId="0" borderId="19" xfId="0" applyNumberFormat="1" applyFont="1" applyFill="1" applyBorder="1" applyAlignment="1">
      <alignment vertical="center"/>
    </xf>
    <xf numFmtId="193" fontId="57" fillId="0" borderId="19" xfId="0" applyNumberFormat="1" applyFont="1" applyFill="1" applyBorder="1" applyAlignment="1">
      <alignment vertical="center"/>
    </xf>
    <xf numFmtId="187" fontId="57" fillId="27" borderId="11" xfId="0" applyNumberFormat="1" applyFont="1" applyFill="1" applyBorder="1" applyAlignment="1">
      <alignment vertical="center"/>
    </xf>
    <xf numFmtId="191" fontId="57" fillId="4" borderId="19" xfId="0" applyNumberFormat="1" applyFont="1" applyFill="1" applyBorder="1" applyAlignment="1">
      <alignment vertical="center"/>
    </xf>
    <xf numFmtId="191" fontId="57" fillId="4" borderId="19" xfId="64" applyNumberFormat="1" applyFont="1" applyFill="1" applyBorder="1" applyAlignment="1">
      <alignment vertical="center"/>
      <protection/>
    </xf>
    <xf numFmtId="187" fontId="57" fillId="4" borderId="19" xfId="0" applyNumberFormat="1" applyFont="1" applyFill="1" applyBorder="1" applyAlignment="1">
      <alignment horizontal="center" vertical="center"/>
    </xf>
    <xf numFmtId="193" fontId="57" fillId="4" borderId="19" xfId="0" applyNumberFormat="1" applyFont="1" applyFill="1" applyBorder="1" applyAlignment="1">
      <alignment vertical="center"/>
    </xf>
    <xf numFmtId="0" fontId="57" fillId="0" borderId="19" xfId="0" applyNumberFormat="1" applyFont="1" applyBorder="1" applyAlignment="1">
      <alignment horizontal="center" vertical="center"/>
    </xf>
    <xf numFmtId="188" fontId="57" fillId="4" borderId="19" xfId="0" applyNumberFormat="1" applyFont="1" applyFill="1" applyBorder="1" applyAlignment="1">
      <alignment vertical="center"/>
    </xf>
    <xf numFmtId="185" fontId="57" fillId="4" borderId="19" xfId="0" applyNumberFormat="1" applyFont="1" applyFill="1" applyBorder="1" applyAlignment="1">
      <alignment horizontal="center" vertical="center"/>
    </xf>
    <xf numFmtId="188" fontId="57" fillId="4" borderId="19" xfId="0" applyNumberFormat="1" applyFont="1" applyFill="1" applyBorder="1" applyAlignment="1">
      <alignment vertical="center"/>
    </xf>
    <xf numFmtId="193" fontId="57" fillId="4" borderId="19" xfId="0" applyNumberFormat="1" applyFont="1" applyFill="1" applyBorder="1" applyAlignment="1">
      <alignment horizontal="center" vertical="center"/>
    </xf>
    <xf numFmtId="186" fontId="57" fillId="4" borderId="19" xfId="0" applyNumberFormat="1" applyFont="1" applyFill="1" applyBorder="1" applyAlignment="1">
      <alignment horizontal="center" vertical="center"/>
    </xf>
    <xf numFmtId="188" fontId="57" fillId="5" borderId="19" xfId="64" applyNumberFormat="1" applyFont="1" applyFill="1" applyBorder="1" applyAlignment="1">
      <alignment vertical="center"/>
      <protection/>
    </xf>
    <xf numFmtId="184" fontId="57" fillId="4" borderId="19" xfId="0" applyNumberFormat="1" applyFont="1" applyFill="1" applyBorder="1" applyAlignment="1">
      <alignment vertical="center"/>
    </xf>
    <xf numFmtId="194" fontId="57" fillId="4" borderId="19" xfId="64" applyNumberFormat="1" applyFont="1" applyFill="1" applyBorder="1" applyAlignment="1">
      <alignment vertical="center"/>
      <protection/>
    </xf>
    <xf numFmtId="184" fontId="57" fillId="4" borderId="19" xfId="0" applyNumberFormat="1" applyFont="1" applyFill="1" applyBorder="1" applyAlignment="1">
      <alignment vertical="center"/>
    </xf>
    <xf numFmtId="185" fontId="57" fillId="4" borderId="19" xfId="0" applyNumberFormat="1" applyFont="1" applyFill="1" applyBorder="1" applyAlignment="1">
      <alignment vertical="center"/>
    </xf>
    <xf numFmtId="181" fontId="57" fillId="4" borderId="19" xfId="0" applyNumberFormat="1" applyFont="1" applyFill="1" applyBorder="1" applyAlignment="1">
      <alignment vertical="center"/>
    </xf>
    <xf numFmtId="0" fontId="27" fillId="0" borderId="19" xfId="0" applyFont="1" applyBorder="1" applyAlignment="1">
      <alignment vertical="center" wrapText="1"/>
    </xf>
    <xf numFmtId="0" fontId="57" fillId="0" borderId="19" xfId="0" applyFont="1" applyFill="1" applyBorder="1" applyAlignment="1">
      <alignment vertical="center"/>
    </xf>
    <xf numFmtId="191" fontId="57" fillId="25" borderId="19" xfId="0" applyNumberFormat="1" applyFont="1" applyFill="1" applyBorder="1" applyAlignment="1">
      <alignment vertical="center"/>
    </xf>
    <xf numFmtId="191" fontId="57" fillId="0" borderId="19" xfId="64" applyNumberFormat="1" applyFont="1" applyFill="1" applyBorder="1" applyAlignment="1">
      <alignment vertical="center"/>
      <protection/>
    </xf>
    <xf numFmtId="193" fontId="57" fillId="25" borderId="19" xfId="0" applyNumberFormat="1" applyFont="1" applyFill="1" applyBorder="1" applyAlignment="1">
      <alignment vertical="center"/>
    </xf>
    <xf numFmtId="186" fontId="57" fillId="0" borderId="19" xfId="0" applyNumberFormat="1" applyFont="1" applyBorder="1" applyAlignment="1">
      <alignment horizontal="right" vertical="center"/>
    </xf>
    <xf numFmtId="186" fontId="57" fillId="0" borderId="19" xfId="0" applyNumberFormat="1" applyFont="1" applyBorder="1" applyAlignment="1">
      <alignment vertical="center"/>
    </xf>
    <xf numFmtId="191" fontId="57" fillId="0" borderId="19" xfId="0" applyNumberFormat="1" applyFont="1" applyBorder="1" applyAlignment="1">
      <alignment horizontal="right" vertical="center"/>
    </xf>
    <xf numFmtId="186" fontId="57" fillId="25" borderId="19" xfId="64" applyNumberFormat="1" applyFont="1" applyFill="1" applyBorder="1" applyAlignment="1">
      <alignment vertical="center"/>
      <protection/>
    </xf>
    <xf numFmtId="187" fontId="57" fillId="26" borderId="19" xfId="64" applyNumberFormat="1" applyFont="1" applyFill="1" applyBorder="1" applyAlignment="1">
      <alignment vertical="center"/>
      <protection/>
    </xf>
    <xf numFmtId="187" fontId="57" fillId="26" borderId="19" xfId="0" applyNumberFormat="1" applyFont="1" applyFill="1" applyBorder="1" applyAlignment="1">
      <alignment vertical="center"/>
    </xf>
    <xf numFmtId="191" fontId="57" fillId="4" borderId="19" xfId="0" applyNumberFormat="1" applyFont="1" applyFill="1" applyBorder="1" applyAlignment="1">
      <alignment horizontal="center" vertical="center"/>
    </xf>
    <xf numFmtId="181" fontId="57" fillId="26" borderId="19" xfId="0" applyNumberFormat="1" applyFont="1" applyFill="1" applyBorder="1" applyAlignment="1">
      <alignment vertical="center"/>
    </xf>
    <xf numFmtId="181" fontId="57" fillId="5" borderId="19" xfId="0" applyNumberFormat="1" applyFont="1" applyFill="1" applyBorder="1" applyAlignment="1">
      <alignment vertical="center"/>
    </xf>
    <xf numFmtId="181" fontId="57" fillId="5" borderId="19" xfId="0" applyNumberFormat="1" applyFont="1" applyFill="1" applyBorder="1" applyAlignment="1">
      <alignment vertical="center"/>
    </xf>
    <xf numFmtId="0" fontId="22" fillId="26" borderId="19" xfId="0" applyFont="1" applyFill="1" applyBorder="1" applyAlignment="1">
      <alignment horizontal="center" vertical="center" shrinkToFit="1"/>
    </xf>
    <xf numFmtId="0" fontId="37" fillId="25" borderId="19" xfId="0" applyFont="1" applyFill="1" applyBorder="1" applyAlignment="1">
      <alignment vertical="center" shrinkToFit="1"/>
    </xf>
    <xf numFmtId="0" fontId="36" fillId="25" borderId="19" xfId="61" applyFont="1" applyFill="1" applyBorder="1" applyAlignment="1">
      <alignment vertical="center" shrinkToFit="1"/>
      <protection/>
    </xf>
    <xf numFmtId="0" fontId="34" fillId="25" borderId="19" xfId="61" applyFont="1" applyFill="1" applyBorder="1" applyAlignment="1">
      <alignment vertical="center" shrinkToFit="1"/>
      <protection/>
    </xf>
    <xf numFmtId="0" fontId="36" fillId="25" borderId="19" xfId="63" applyFont="1" applyFill="1" applyBorder="1">
      <alignment vertical="center"/>
      <protection/>
    </xf>
    <xf numFmtId="191" fontId="22" fillId="27" borderId="11" xfId="0" applyNumberFormat="1" applyFont="1" applyFill="1" applyBorder="1" applyAlignment="1">
      <alignment horizontal="right" vertical="center"/>
    </xf>
    <xf numFmtId="190" fontId="22" fillId="27" borderId="11" xfId="0" applyNumberFormat="1" applyFont="1" applyFill="1" applyBorder="1" applyAlignment="1">
      <alignment vertical="center"/>
    </xf>
    <xf numFmtId="0" fontId="22" fillId="27" borderId="19" xfId="0" applyFont="1" applyFill="1" applyBorder="1" applyAlignment="1">
      <alignment horizontal="center" vertical="center"/>
    </xf>
    <xf numFmtId="187" fontId="57" fillId="27" borderId="11" xfId="64" applyNumberFormat="1" applyFont="1" applyFill="1" applyBorder="1" applyAlignment="1">
      <alignment vertical="center"/>
      <protection/>
    </xf>
    <xf numFmtId="189" fontId="22" fillId="27" borderId="11" xfId="0" applyNumberFormat="1" applyFont="1" applyFill="1" applyBorder="1" applyAlignment="1">
      <alignment vertical="center"/>
    </xf>
    <xf numFmtId="191" fontId="22" fillId="27" borderId="19" xfId="0" applyNumberFormat="1" applyFont="1" applyFill="1" applyBorder="1" applyAlignment="1">
      <alignment vertical="center"/>
    </xf>
    <xf numFmtId="184" fontId="22" fillId="27" borderId="19" xfId="0" applyNumberFormat="1" applyFont="1" applyFill="1" applyBorder="1" applyAlignment="1">
      <alignment vertical="center"/>
    </xf>
    <xf numFmtId="185" fontId="37" fillId="25" borderId="19" xfId="61" applyNumberFormat="1" applyFont="1" applyFill="1" applyBorder="1" applyAlignment="1">
      <alignment vertical="center" shrinkToFit="1"/>
      <protection/>
    </xf>
    <xf numFmtId="0" fontId="22" fillId="25" borderId="11" xfId="0" applyFont="1" applyFill="1" applyBorder="1" applyAlignment="1">
      <alignment horizontal="center" vertical="center"/>
    </xf>
    <xf numFmtId="0" fontId="22" fillId="27" borderId="11" xfId="0" applyFont="1" applyFill="1" applyBorder="1" applyAlignment="1">
      <alignment horizontal="center" vertical="center"/>
    </xf>
    <xf numFmtId="191" fontId="22" fillId="0" borderId="19" xfId="0" applyNumberFormat="1" applyFont="1" applyBorder="1" applyAlignment="1">
      <alignment horizontal="center" vertical="center"/>
    </xf>
    <xf numFmtId="0" fontId="37" fillId="25" borderId="19" xfId="61" applyFont="1" applyFill="1" applyBorder="1" applyAlignment="1">
      <alignment vertical="center" shrinkToFit="1"/>
      <protection/>
    </xf>
    <xf numFmtId="0" fontId="27" fillId="27" borderId="19" xfId="0" applyFont="1" applyFill="1" applyBorder="1" applyAlignment="1">
      <alignment horizontal="left" vertical="center" shrinkToFit="1"/>
    </xf>
    <xf numFmtId="0" fontId="22" fillId="27" borderId="19" xfId="0" applyFont="1" applyFill="1" applyBorder="1" applyAlignment="1">
      <alignment vertical="center" shrinkToFit="1"/>
    </xf>
    <xf numFmtId="185" fontId="37" fillId="25" borderId="19" xfId="0" applyNumberFormat="1" applyFont="1" applyFill="1" applyBorder="1" applyAlignment="1">
      <alignment vertical="center" shrinkToFit="1"/>
    </xf>
    <xf numFmtId="181" fontId="22" fillId="0" borderId="19" xfId="0" applyNumberFormat="1" applyFont="1" applyFill="1" applyBorder="1" applyAlignment="1">
      <alignment horizontal="center" vertical="center"/>
    </xf>
    <xf numFmtId="181" fontId="22" fillId="0" borderId="19" xfId="0" applyNumberFormat="1" applyFont="1" applyFill="1" applyBorder="1" applyAlignment="1">
      <alignment horizontal="right" vertical="center"/>
    </xf>
    <xf numFmtId="185" fontId="22" fillId="0" borderId="19" xfId="64" applyNumberFormat="1" applyFont="1" applyFill="1" applyBorder="1" applyAlignment="1">
      <alignment horizontal="right" vertical="center"/>
      <protection/>
    </xf>
    <xf numFmtId="186" fontId="22" fillId="0" borderId="19" xfId="0" applyNumberFormat="1" applyFont="1" applyFill="1" applyBorder="1" applyAlignment="1">
      <alignment horizontal="right" vertical="center"/>
    </xf>
    <xf numFmtId="182" fontId="22" fillId="4" borderId="19" xfId="0" applyNumberFormat="1" applyFont="1" applyFill="1" applyBorder="1" applyAlignment="1">
      <alignment horizontal="center" vertical="center"/>
    </xf>
    <xf numFmtId="182" fontId="22" fillId="0" borderId="19" xfId="0" applyNumberFormat="1" applyFont="1" applyFill="1" applyBorder="1" applyAlignment="1">
      <alignment horizontal="center" vertical="center"/>
    </xf>
    <xf numFmtId="185" fontId="22" fillId="4" borderId="19" xfId="64" applyNumberFormat="1" applyFont="1" applyFill="1" applyBorder="1" applyAlignment="1">
      <alignment horizontal="center" vertical="center"/>
      <protection/>
    </xf>
    <xf numFmtId="185" fontId="22" fillId="25" borderId="19" xfId="64" applyNumberFormat="1" applyFont="1" applyFill="1" applyBorder="1" applyAlignment="1">
      <alignment horizontal="center" vertical="center"/>
      <protection/>
    </xf>
    <xf numFmtId="185" fontId="22" fillId="25" borderId="11" xfId="64" applyNumberFormat="1" applyFont="1" applyFill="1" applyBorder="1" applyAlignment="1">
      <alignment horizontal="center" vertical="center"/>
      <protection/>
    </xf>
    <xf numFmtId="185" fontId="22" fillId="5" borderId="19" xfId="64" applyNumberFormat="1" applyFont="1" applyFill="1" applyBorder="1" applyAlignment="1">
      <alignment horizontal="center" vertical="center"/>
      <protection/>
    </xf>
    <xf numFmtId="185" fontId="22" fillId="4" borderId="19" xfId="0" applyNumberFormat="1" applyFont="1" applyFill="1" applyBorder="1" applyAlignment="1">
      <alignment horizontal="center" vertical="center"/>
    </xf>
    <xf numFmtId="185" fontId="26" fillId="0" borderId="19" xfId="0" applyNumberFormat="1" applyFont="1" applyFill="1" applyBorder="1" applyAlignment="1">
      <alignment horizontal="center" vertical="center"/>
    </xf>
    <xf numFmtId="185" fontId="22" fillId="0" borderId="19" xfId="0" applyNumberFormat="1" applyFont="1" applyFill="1" applyBorder="1" applyAlignment="1">
      <alignment horizontal="center" vertical="center"/>
    </xf>
    <xf numFmtId="183" fontId="22" fillId="0" borderId="19" xfId="0" applyNumberFormat="1" applyFont="1" applyBorder="1" applyAlignment="1">
      <alignment horizontal="center" vertical="center" shrinkToFit="1"/>
    </xf>
    <xf numFmtId="184" fontId="22" fillId="0" borderId="19" xfId="0" applyNumberFormat="1" applyFont="1" applyFill="1" applyBorder="1" applyAlignment="1">
      <alignment horizontal="center" vertical="center"/>
    </xf>
    <xf numFmtId="184" fontId="22" fillId="0" borderId="19" xfId="0" applyNumberFormat="1" applyFont="1" applyBorder="1" applyAlignment="1">
      <alignment horizontal="center" vertical="center" shrinkToFit="1"/>
    </xf>
    <xf numFmtId="186" fontId="22" fillId="0" borderId="19" xfId="0" applyNumberFormat="1" applyFont="1" applyBorder="1" applyAlignment="1">
      <alignment horizontal="right" vertical="center"/>
    </xf>
    <xf numFmtId="189" fontId="22" fillId="0" borderId="19" xfId="0" applyNumberFormat="1" applyFont="1" applyFill="1" applyBorder="1" applyAlignment="1">
      <alignment horizontal="right" vertical="center"/>
    </xf>
    <xf numFmtId="189" fontId="22" fillId="0" borderId="19" xfId="0" applyNumberFormat="1" applyFont="1" applyFill="1" applyBorder="1" applyAlignment="1">
      <alignment horizontal="center" vertical="center"/>
    </xf>
    <xf numFmtId="181" fontId="22" fillId="0" borderId="19" xfId="0" applyNumberFormat="1" applyFont="1" applyBorder="1" applyAlignment="1">
      <alignment horizontal="right" vertical="center"/>
    </xf>
    <xf numFmtId="183" fontId="22" fillId="25" borderId="19" xfId="0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187" fontId="57" fillId="27" borderId="11" xfId="64" applyNumberFormat="1" applyFont="1" applyFill="1" applyBorder="1" applyAlignment="1">
      <alignment vertical="center"/>
      <protection/>
    </xf>
    <xf numFmtId="176" fontId="57" fillId="4" borderId="19" xfId="0" applyNumberFormat="1" applyFont="1" applyFill="1" applyBorder="1" applyAlignment="1">
      <alignment vertical="center" shrinkToFit="1"/>
    </xf>
    <xf numFmtId="0" fontId="57" fillId="4" borderId="19" xfId="0" applyFont="1" applyFill="1" applyBorder="1" applyAlignment="1">
      <alignment vertical="center"/>
    </xf>
    <xf numFmtId="0" fontId="59" fillId="4" borderId="19" xfId="0" applyFont="1" applyFill="1" applyBorder="1" applyAlignment="1">
      <alignment vertical="center" shrinkToFit="1"/>
    </xf>
    <xf numFmtId="0" fontId="57" fillId="4" borderId="19" xfId="0" applyFont="1" applyFill="1" applyBorder="1" applyAlignment="1">
      <alignment vertical="center" shrinkToFit="1"/>
    </xf>
    <xf numFmtId="0" fontId="57" fillId="4" borderId="19" xfId="0" applyFont="1" applyFill="1" applyBorder="1" applyAlignment="1">
      <alignment horizontal="center" vertical="center" shrinkToFit="1"/>
    </xf>
    <xf numFmtId="0" fontId="57" fillId="4" borderId="19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22" fillId="0" borderId="19" xfId="0" applyFont="1" applyBorder="1" applyAlignment="1">
      <alignment vertical="center" wrapText="1" shrinkToFit="1"/>
    </xf>
    <xf numFmtId="193" fontId="57" fillId="5" borderId="19" xfId="64" applyNumberFormat="1" applyFont="1" applyFill="1" applyBorder="1" applyAlignment="1">
      <alignment vertical="center"/>
      <protection/>
    </xf>
    <xf numFmtId="193" fontId="57" fillId="25" borderId="19" xfId="64" applyNumberFormat="1" applyFont="1" applyFill="1" applyBorder="1" applyAlignment="1">
      <alignment vertical="center"/>
      <protection/>
    </xf>
    <xf numFmtId="193" fontId="57" fillId="25" borderId="19" xfId="0" applyNumberFormat="1" applyFont="1" applyFill="1" applyBorder="1" applyAlignment="1">
      <alignment vertical="center"/>
    </xf>
    <xf numFmtId="193" fontId="57" fillId="5" borderId="19" xfId="0" applyNumberFormat="1" applyFont="1" applyFill="1" applyBorder="1" applyAlignment="1">
      <alignment vertical="center"/>
    </xf>
    <xf numFmtId="185" fontId="22" fillId="0" borderId="19" xfId="0" applyNumberFormat="1" applyFont="1" applyBorder="1" applyAlignment="1">
      <alignment vertical="center"/>
    </xf>
    <xf numFmtId="186" fontId="57" fillId="0" borderId="19" xfId="0" applyNumberFormat="1" applyFont="1" applyBorder="1" applyAlignment="1">
      <alignment vertical="center"/>
    </xf>
    <xf numFmtId="188" fontId="22" fillId="0" borderId="19" xfId="0" applyNumberFormat="1" applyFont="1" applyBorder="1" applyAlignment="1">
      <alignment vertical="center"/>
    </xf>
    <xf numFmtId="0" fontId="59" fillId="0" borderId="19" xfId="0" applyFont="1" applyFill="1" applyBorder="1" applyAlignment="1">
      <alignment horizontal="left" vertical="center" shrinkToFit="1"/>
    </xf>
    <xf numFmtId="0" fontId="27" fillId="25" borderId="19" xfId="61" applyFont="1" applyFill="1" applyBorder="1" applyAlignment="1">
      <alignment horizontal="left" vertical="center" shrinkToFit="1"/>
      <protection/>
    </xf>
    <xf numFmtId="0" fontId="57" fillId="0" borderId="19" xfId="0" applyFont="1" applyBorder="1" applyAlignment="1">
      <alignment horizontal="center" vertical="center" wrapText="1"/>
    </xf>
    <xf numFmtId="0" fontId="22" fillId="28" borderId="19" xfId="0" applyFont="1" applyFill="1" applyBorder="1" applyAlignment="1">
      <alignment vertical="center" shrinkToFit="1"/>
    </xf>
    <xf numFmtId="0" fontId="22" fillId="28" borderId="19" xfId="0" applyFont="1" applyFill="1" applyBorder="1" applyAlignment="1">
      <alignment vertical="center"/>
    </xf>
    <xf numFmtId="0" fontId="27" fillId="28" borderId="19" xfId="0" applyFont="1" applyFill="1" applyBorder="1" applyAlignment="1">
      <alignment vertical="center" shrinkToFit="1"/>
    </xf>
    <xf numFmtId="185" fontId="22" fillId="28" borderId="19" xfId="0" applyNumberFormat="1" applyFont="1" applyFill="1" applyBorder="1" applyAlignment="1">
      <alignment vertical="center" shrinkToFit="1"/>
    </xf>
    <xf numFmtId="191" fontId="22" fillId="28" borderId="19" xfId="0" applyNumberFormat="1" applyFont="1" applyFill="1" applyBorder="1" applyAlignment="1">
      <alignment vertical="center"/>
    </xf>
    <xf numFmtId="184" fontId="22" fillId="28" borderId="19" xfId="0" applyNumberFormat="1" applyFont="1" applyFill="1" applyBorder="1" applyAlignment="1">
      <alignment vertical="center"/>
    </xf>
    <xf numFmtId="0" fontId="22" fillId="28" borderId="19" xfId="0" applyFont="1" applyFill="1" applyBorder="1" applyAlignment="1">
      <alignment horizontal="left" vertical="center" shrinkToFit="1"/>
    </xf>
    <xf numFmtId="0" fontId="22" fillId="28" borderId="19" xfId="0" applyFont="1" applyFill="1" applyBorder="1" applyAlignment="1">
      <alignment horizontal="center" vertical="center"/>
    </xf>
    <xf numFmtId="193" fontId="57" fillId="28" borderId="19" xfId="64" applyNumberFormat="1" applyFont="1" applyFill="1" applyBorder="1" applyAlignment="1">
      <alignment vertical="center"/>
      <protection/>
    </xf>
    <xf numFmtId="186" fontId="57" fillId="28" borderId="19" xfId="0" applyNumberFormat="1" applyFont="1" applyFill="1" applyBorder="1" applyAlignment="1">
      <alignment vertical="center"/>
    </xf>
    <xf numFmtId="187" fontId="57" fillId="28" borderId="19" xfId="0" applyNumberFormat="1" applyFont="1" applyFill="1" applyBorder="1" applyAlignment="1">
      <alignment vertical="center"/>
    </xf>
    <xf numFmtId="185" fontId="22" fillId="28" borderId="19" xfId="64" applyNumberFormat="1" applyFont="1" applyFill="1" applyBorder="1" applyAlignment="1">
      <alignment horizontal="center" vertical="center"/>
      <protection/>
    </xf>
    <xf numFmtId="191" fontId="22" fillId="28" borderId="19" xfId="0" applyNumberFormat="1" applyFont="1" applyFill="1" applyBorder="1" applyAlignment="1">
      <alignment vertical="center"/>
    </xf>
    <xf numFmtId="184" fontId="22" fillId="28" borderId="19" xfId="0" applyNumberFormat="1" applyFont="1" applyFill="1" applyBorder="1" applyAlignment="1">
      <alignment vertical="center"/>
    </xf>
    <xf numFmtId="0" fontId="22" fillId="28" borderId="19" xfId="0" applyFont="1" applyFill="1" applyBorder="1" applyAlignment="1">
      <alignment horizontal="center" vertical="center" shrinkToFit="1"/>
    </xf>
    <xf numFmtId="187" fontId="57" fillId="28" borderId="19" xfId="64" applyNumberFormat="1" applyFont="1" applyFill="1" applyBorder="1" applyAlignment="1">
      <alignment vertical="center"/>
      <protection/>
    </xf>
    <xf numFmtId="191" fontId="57" fillId="28" borderId="19" xfId="0" applyNumberFormat="1" applyFont="1" applyFill="1" applyBorder="1" applyAlignment="1">
      <alignment vertical="center"/>
    </xf>
    <xf numFmtId="0" fontId="22" fillId="28" borderId="19" xfId="0" applyFont="1" applyFill="1" applyBorder="1" applyAlignment="1">
      <alignment horizontal="left" vertical="center"/>
    </xf>
    <xf numFmtId="0" fontId="27" fillId="28" borderId="19" xfId="0" applyFont="1" applyFill="1" applyBorder="1" applyAlignment="1">
      <alignment horizontal="left" vertical="center" shrinkToFit="1"/>
    </xf>
    <xf numFmtId="194" fontId="22" fillId="28" borderId="19" xfId="64" applyNumberFormat="1" applyFont="1" applyFill="1" applyBorder="1" applyAlignment="1">
      <alignment vertical="center"/>
      <protection/>
    </xf>
    <xf numFmtId="186" fontId="57" fillId="28" borderId="19" xfId="64" applyNumberFormat="1" applyFont="1" applyFill="1" applyBorder="1" applyAlignment="1">
      <alignment vertical="center"/>
      <protection/>
    </xf>
    <xf numFmtId="193" fontId="57" fillId="28" borderId="19" xfId="0" applyNumberFormat="1" applyFont="1" applyFill="1" applyBorder="1" applyAlignment="1">
      <alignment vertical="center"/>
    </xf>
    <xf numFmtId="186" fontId="57" fillId="28" borderId="19" xfId="0" applyNumberFormat="1" applyFont="1" applyFill="1" applyBorder="1" applyAlignment="1">
      <alignment horizontal="right" vertical="center"/>
    </xf>
    <xf numFmtId="191" fontId="57" fillId="28" borderId="19" xfId="0" applyNumberFormat="1" applyFont="1" applyFill="1" applyBorder="1" applyAlignment="1">
      <alignment horizontal="center" vertical="center"/>
    </xf>
    <xf numFmtId="185" fontId="26" fillId="28" borderId="19" xfId="0" applyNumberFormat="1" applyFont="1" applyFill="1" applyBorder="1" applyAlignment="1">
      <alignment horizontal="center" vertical="center"/>
    </xf>
    <xf numFmtId="185" fontId="57" fillId="28" borderId="19" xfId="0" applyNumberFormat="1" applyFont="1" applyFill="1" applyBorder="1" applyAlignment="1">
      <alignment horizontal="center" vertical="center"/>
    </xf>
    <xf numFmtId="193" fontId="57" fillId="28" borderId="19" xfId="0" applyNumberFormat="1" applyFont="1" applyFill="1" applyBorder="1" applyAlignment="1">
      <alignment vertical="center"/>
    </xf>
    <xf numFmtId="185" fontId="22" fillId="28" borderId="19" xfId="0" applyNumberFormat="1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 wrapText="1" shrinkToFit="1"/>
    </xf>
    <xf numFmtId="0" fontId="22" fillId="8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6" fillId="25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 wrapText="1"/>
    </xf>
    <xf numFmtId="0" fontId="22" fillId="0" borderId="21" xfId="64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0" borderId="11" xfId="64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6" xfId="64" applyFont="1" applyFill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6" xfId="64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2" fillId="0" borderId="23" xfId="62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57" fontId="22" fillId="0" borderId="11" xfId="0" applyNumberFormat="1" applyFont="1" applyBorder="1" applyAlignment="1">
      <alignment horizontal="center" vertical="center" wrapText="1"/>
    </xf>
    <xf numFmtId="57" fontId="22" fillId="0" borderId="10" xfId="0" applyNumberFormat="1" applyFont="1" applyBorder="1" applyAlignment="1">
      <alignment horizontal="center" vertical="center" wrapText="1"/>
    </xf>
    <xf numFmtId="57" fontId="22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255"/>
    </xf>
    <xf numFmtId="0" fontId="22" fillId="0" borderId="10" xfId="0" applyFont="1" applyBorder="1" applyAlignment="1">
      <alignment horizontal="center" vertical="center" textRotation="255"/>
    </xf>
    <xf numFmtId="0" fontId="22" fillId="0" borderId="12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7" fontId="57" fillId="25" borderId="11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87" fontId="22" fillId="25" borderId="11" xfId="0" applyNumberFormat="1" applyFont="1" applyFill="1" applyBorder="1" applyAlignment="1">
      <alignment vertical="center"/>
    </xf>
    <xf numFmtId="184" fontId="22" fillId="25" borderId="11" xfId="0" applyNumberFormat="1" applyFont="1" applyFill="1" applyBorder="1" applyAlignment="1">
      <alignment vertical="center"/>
    </xf>
    <xf numFmtId="0" fontId="22" fillId="25" borderId="11" xfId="0" applyFont="1" applyFill="1" applyBorder="1" applyAlignment="1">
      <alignment horizontal="left" vertical="center" shrinkToFit="1"/>
    </xf>
    <xf numFmtId="0" fontId="22" fillId="25" borderId="11" xfId="0" applyFont="1" applyFill="1" applyBorder="1" applyAlignment="1">
      <alignment horizontal="center" vertical="center"/>
    </xf>
    <xf numFmtId="187" fontId="57" fillId="25" borderId="11" xfId="64" applyNumberFormat="1" applyFont="1" applyFill="1" applyBorder="1" applyAlignment="1">
      <alignment vertical="center"/>
      <protection/>
    </xf>
    <xf numFmtId="0" fontId="22" fillId="27" borderId="11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vertical="center"/>
    </xf>
    <xf numFmtId="191" fontId="22" fillId="27" borderId="11" xfId="0" applyNumberFormat="1" applyFont="1" applyFill="1" applyBorder="1" applyAlignment="1">
      <alignment horizontal="right" vertical="center"/>
    </xf>
    <xf numFmtId="189" fontId="22" fillId="27" borderId="11" xfId="0" applyNumberFormat="1" applyFont="1" applyFill="1" applyBorder="1" applyAlignment="1">
      <alignment vertical="center"/>
    </xf>
    <xf numFmtId="0" fontId="22" fillId="27" borderId="11" xfId="0" applyFont="1" applyFill="1" applyBorder="1" applyAlignment="1">
      <alignment horizontal="left" vertical="center" shrinkToFit="1"/>
    </xf>
    <xf numFmtId="187" fontId="57" fillId="27" borderId="11" xfId="64" applyNumberFormat="1" applyFont="1" applyFill="1" applyBorder="1" applyAlignment="1">
      <alignment vertical="center"/>
      <protection/>
    </xf>
    <xf numFmtId="187" fontId="57" fillId="27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7" borderId="12" xfId="0" applyFill="1" applyBorder="1" applyAlignment="1">
      <alignment vertical="center"/>
    </xf>
    <xf numFmtId="185" fontId="22" fillId="25" borderId="11" xfId="64" applyNumberFormat="1" applyFont="1" applyFill="1" applyBorder="1" applyAlignment="1">
      <alignment horizontal="center" vertical="center"/>
      <protection/>
    </xf>
    <xf numFmtId="191" fontId="22" fillId="25" borderId="11" xfId="0" applyNumberFormat="1" applyFont="1" applyFill="1" applyBorder="1" applyAlignment="1">
      <alignment vertical="center"/>
    </xf>
    <xf numFmtId="186" fontId="57" fillId="25" borderId="11" xfId="64" applyNumberFormat="1" applyFont="1" applyFill="1" applyBorder="1" applyAlignment="1">
      <alignment vertical="center"/>
      <protection/>
    </xf>
    <xf numFmtId="186" fontId="0" fillId="0" borderId="10" xfId="0" applyNumberForma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86" fontId="57" fillId="25" borderId="11" xfId="0" applyNumberFormat="1" applyFont="1" applyFill="1" applyBorder="1" applyAlignment="1">
      <alignment vertical="center"/>
    </xf>
    <xf numFmtId="176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center" vertical="center"/>
    </xf>
    <xf numFmtId="178" fontId="22" fillId="0" borderId="12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191" fontId="22" fillId="0" borderId="19" xfId="0" applyNumberFormat="1" applyFont="1" applyBorder="1" applyAlignment="1">
      <alignment horizontal="center" vertical="center" wrapText="1"/>
    </xf>
    <xf numFmtId="191" fontId="22" fillId="0" borderId="19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2" fillId="0" borderId="12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textRotation="255"/>
    </xf>
    <xf numFmtId="0" fontId="57" fillId="0" borderId="10" xfId="0" applyFont="1" applyBorder="1" applyAlignment="1">
      <alignment horizontal="center" vertical="center" textRotation="255"/>
    </xf>
    <xf numFmtId="0" fontId="57" fillId="0" borderId="12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6" fillId="0" borderId="10" xfId="0" applyFont="1" applyBorder="1" applyAlignment="1">
      <alignment vertical="center" textRotation="255"/>
    </xf>
    <xf numFmtId="0" fontId="26" fillId="0" borderId="12" xfId="0" applyFont="1" applyBorder="1" applyAlignment="1">
      <alignment vertical="center" textRotation="255"/>
    </xf>
    <xf numFmtId="0" fontId="22" fillId="0" borderId="19" xfId="0" applyFont="1" applyBorder="1" applyAlignment="1">
      <alignment vertical="center" textRotation="255"/>
    </xf>
    <xf numFmtId="0" fontId="0" fillId="0" borderId="19" xfId="0" applyFont="1" applyBorder="1" applyAlignment="1">
      <alignment vertical="center"/>
    </xf>
    <xf numFmtId="0" fontId="57" fillId="0" borderId="2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textRotation="255" shrinkToFit="1"/>
    </xf>
    <xf numFmtId="0" fontId="0" fillId="0" borderId="1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26" fillId="0" borderId="11" xfId="0" applyFont="1" applyBorder="1" applyAlignment="1">
      <alignment vertical="center" textRotation="255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91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60" fillId="0" borderId="10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190" fontId="22" fillId="27" borderId="11" xfId="0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183" fontId="22" fillId="27" borderId="11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4" fontId="22" fillId="27" borderId="11" xfId="0" applyNumberFormat="1" applyFont="1" applyFill="1" applyBorder="1" applyAlignment="1">
      <alignment vertical="center"/>
    </xf>
    <xf numFmtId="193" fontId="57" fillId="25" borderId="11" xfId="0" applyNumberFormat="1" applyFont="1" applyFill="1" applyBorder="1" applyAlignment="1">
      <alignment vertical="center"/>
    </xf>
    <xf numFmtId="186" fontId="57" fillId="25" borderId="11" xfId="0" applyNumberFormat="1" applyFont="1" applyFill="1" applyBorder="1" applyAlignment="1">
      <alignment horizontal="right" vertical="center"/>
    </xf>
    <xf numFmtId="191" fontId="57" fillId="25" borderId="11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ook8" xfId="62"/>
    <cellStyle name="標準_採集生物試料一覧（春季）20140929" xfId="63"/>
    <cellStyle name="標準_測定結果_H20_品川水質_2009.03修正2" xfId="64"/>
    <cellStyle name="標準_測定結果_H23_大船渡湾水質底泥調査20111.11.15" xfId="65"/>
    <cellStyle name="Followed Hyperlink" xfId="66"/>
    <cellStyle name="良い" xfId="67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Paratya_improvisa" TargetMode="External" /><Relationship Id="rId2" Type="http://schemas.openxmlformats.org/officeDocument/2006/relationships/hyperlink" Target="http://en.wikipedia.org/wiki/Paratya_improvisa" TargetMode="External" /><Relationship Id="rId3" Type="http://schemas.openxmlformats.org/officeDocument/2006/relationships/hyperlink" Target="http://en.wikipedia.org/wiki/Paratya_improvisa" TargetMode="External" /><Relationship Id="rId4" Type="http://schemas.openxmlformats.org/officeDocument/2006/relationships/hyperlink" Target="http://en.wikipedia.org/wiki/Paratya_improvisa" TargetMode="External" /><Relationship Id="rId5" Type="http://schemas.openxmlformats.org/officeDocument/2006/relationships/hyperlink" Target="http://en.wikipedia.org/wiki/Paratya_improvisa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SheetLayoutView="100" zoomScalePageLayoutView="0" workbookViewId="0" topLeftCell="A1">
      <pane xSplit="2" ySplit="4" topLeftCell="D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2" sqref="G42"/>
    </sheetView>
  </sheetViews>
  <sheetFormatPr defaultColWidth="9.00390625" defaultRowHeight="15" customHeight="1" outlineLevelRow="1"/>
  <cols>
    <col min="1" max="1" width="15.625" style="64" customWidth="1"/>
    <col min="2" max="2" width="9.50390625" style="10" customWidth="1"/>
    <col min="3" max="4" width="11.625" style="10" customWidth="1"/>
    <col min="5" max="7" width="9.25390625" style="10" bestFit="1" customWidth="1"/>
    <col min="8" max="8" width="9.125" style="10" bestFit="1" customWidth="1"/>
    <col min="9" max="9" width="10.625" style="10" bestFit="1" customWidth="1"/>
    <col min="10" max="13" width="9.125" style="10" bestFit="1" customWidth="1"/>
    <col min="14" max="15" width="11.375" style="10" customWidth="1"/>
    <col min="16" max="16" width="11.375" style="24" customWidth="1"/>
    <col min="17" max="16384" width="9.00390625" style="10" customWidth="1"/>
  </cols>
  <sheetData>
    <row r="1" spans="1:2" ht="17.25" customHeight="1">
      <c r="A1" s="65" t="s">
        <v>59</v>
      </c>
      <c r="B1" s="41"/>
    </row>
    <row r="2" spans="1:16" ht="15" customHeight="1">
      <c r="A2" s="561" t="s">
        <v>1</v>
      </c>
      <c r="B2" s="562"/>
      <c r="C2" s="562"/>
      <c r="D2" s="563"/>
      <c r="E2" s="553" t="s">
        <v>413</v>
      </c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5"/>
    </row>
    <row r="3" spans="1:16" ht="15" customHeight="1">
      <c r="A3" s="62"/>
      <c r="B3" s="16"/>
      <c r="C3" s="560" t="s">
        <v>2</v>
      </c>
      <c r="D3" s="560" t="s">
        <v>3</v>
      </c>
      <c r="E3" s="558" t="s">
        <v>41</v>
      </c>
      <c r="F3" s="17" t="s">
        <v>42</v>
      </c>
      <c r="G3" s="17" t="s">
        <v>43</v>
      </c>
      <c r="H3" s="17" t="s">
        <v>44</v>
      </c>
      <c r="I3" s="18" t="s">
        <v>47</v>
      </c>
      <c r="J3" s="558" t="s">
        <v>48</v>
      </c>
      <c r="K3" s="17" t="s">
        <v>45</v>
      </c>
      <c r="L3" s="17" t="s">
        <v>46</v>
      </c>
      <c r="M3" s="17" t="s">
        <v>49</v>
      </c>
      <c r="N3" s="42" t="s">
        <v>54</v>
      </c>
      <c r="O3" s="17" t="s">
        <v>55</v>
      </c>
      <c r="P3" s="19" t="s">
        <v>50</v>
      </c>
    </row>
    <row r="4" spans="1:16" ht="15" customHeight="1">
      <c r="A4" s="63"/>
      <c r="B4" s="20"/>
      <c r="C4" s="559"/>
      <c r="D4" s="559"/>
      <c r="E4" s="559"/>
      <c r="F4" s="21" t="s">
        <v>51</v>
      </c>
      <c r="G4" s="21" t="s">
        <v>51</v>
      </c>
      <c r="H4" s="21" t="s">
        <v>51</v>
      </c>
      <c r="I4" s="21" t="s">
        <v>52</v>
      </c>
      <c r="J4" s="559"/>
      <c r="K4" s="21" t="s">
        <v>51</v>
      </c>
      <c r="L4" s="21" t="s">
        <v>51</v>
      </c>
      <c r="M4" s="21" t="s">
        <v>53</v>
      </c>
      <c r="N4" s="43" t="s">
        <v>183</v>
      </c>
      <c r="O4" s="22" t="s">
        <v>183</v>
      </c>
      <c r="P4" s="22" t="s">
        <v>183</v>
      </c>
    </row>
    <row r="5" spans="1:16" ht="15" customHeight="1">
      <c r="A5" s="557" t="s">
        <v>58</v>
      </c>
      <c r="B5" s="85" t="s">
        <v>56</v>
      </c>
      <c r="C5" s="556" t="s">
        <v>417</v>
      </c>
      <c r="D5" s="556" t="s">
        <v>418</v>
      </c>
      <c r="E5" s="213">
        <v>7.5</v>
      </c>
      <c r="F5" s="213">
        <v>1.2</v>
      </c>
      <c r="G5" s="213">
        <v>3.6</v>
      </c>
      <c r="H5" s="213">
        <v>12.5</v>
      </c>
      <c r="I5" s="214">
        <v>16.4</v>
      </c>
      <c r="J5" s="215">
        <v>0.09</v>
      </c>
      <c r="K5" s="216">
        <v>1.6</v>
      </c>
      <c r="L5" s="217">
        <v>3</v>
      </c>
      <c r="M5" s="216">
        <v>2.5</v>
      </c>
      <c r="N5" s="112">
        <v>0.021</v>
      </c>
      <c r="O5" s="112">
        <v>0.059</v>
      </c>
      <c r="P5" s="101">
        <v>0.0011</v>
      </c>
    </row>
    <row r="6" spans="1:16" ht="15" customHeight="1">
      <c r="A6" s="550"/>
      <c r="B6" s="85" t="s">
        <v>145</v>
      </c>
      <c r="C6" s="550"/>
      <c r="D6" s="550"/>
      <c r="E6" s="218">
        <v>7.5</v>
      </c>
      <c r="F6" s="218">
        <v>1.3</v>
      </c>
      <c r="G6" s="218">
        <v>3.6</v>
      </c>
      <c r="H6" s="218">
        <v>12.3</v>
      </c>
      <c r="I6" s="99">
        <v>16.7</v>
      </c>
      <c r="J6" s="219">
        <v>0.09</v>
      </c>
      <c r="K6" s="220">
        <v>1.8</v>
      </c>
      <c r="L6" s="221">
        <v>7</v>
      </c>
      <c r="M6" s="220">
        <v>3.1</v>
      </c>
      <c r="N6" s="113">
        <v>0.0099</v>
      </c>
      <c r="O6" s="112">
        <v>0.029</v>
      </c>
      <c r="P6" s="116" t="s">
        <v>188</v>
      </c>
    </row>
    <row r="7" spans="1:16" ht="15" customHeight="1">
      <c r="A7" s="550"/>
      <c r="B7" s="85" t="s">
        <v>100</v>
      </c>
      <c r="C7" s="85" t="s">
        <v>419</v>
      </c>
      <c r="D7" s="85" t="s">
        <v>420</v>
      </c>
      <c r="E7" s="218">
        <v>7.5</v>
      </c>
      <c r="F7" s="218">
        <v>0.6</v>
      </c>
      <c r="G7" s="218">
        <v>2.5</v>
      </c>
      <c r="H7" s="218">
        <v>12.4</v>
      </c>
      <c r="I7" s="99">
        <v>10</v>
      </c>
      <c r="J7" s="219">
        <v>0.06</v>
      </c>
      <c r="K7" s="220">
        <v>0.9</v>
      </c>
      <c r="L7" s="221">
        <v>2</v>
      </c>
      <c r="M7" s="220">
        <v>1.8</v>
      </c>
      <c r="N7" s="113">
        <v>0.0064</v>
      </c>
      <c r="O7" s="112">
        <v>0.02</v>
      </c>
      <c r="P7" s="116" t="s">
        <v>188</v>
      </c>
    </row>
    <row r="8" spans="1:16" ht="15" customHeight="1">
      <c r="A8" s="550"/>
      <c r="B8" s="85" t="s">
        <v>34</v>
      </c>
      <c r="C8" s="85" t="s">
        <v>421</v>
      </c>
      <c r="D8" s="85" t="s">
        <v>422</v>
      </c>
      <c r="E8" s="218">
        <v>7.6</v>
      </c>
      <c r="F8" s="218">
        <v>1.3</v>
      </c>
      <c r="G8" s="218">
        <v>4.1</v>
      </c>
      <c r="H8" s="218">
        <v>12.3</v>
      </c>
      <c r="I8" s="99">
        <v>17</v>
      </c>
      <c r="J8" s="219">
        <v>0.09</v>
      </c>
      <c r="K8" s="220">
        <v>1.7</v>
      </c>
      <c r="L8" s="221">
        <v>7</v>
      </c>
      <c r="M8" s="220">
        <v>3.4</v>
      </c>
      <c r="N8" s="113">
        <v>0.0078</v>
      </c>
      <c r="O8" s="112">
        <v>0.021</v>
      </c>
      <c r="P8" s="116" t="s">
        <v>188</v>
      </c>
    </row>
    <row r="9" spans="1:16" ht="15" customHeight="1">
      <c r="A9" s="550"/>
      <c r="B9" s="85" t="s">
        <v>101</v>
      </c>
      <c r="C9" s="85" t="s">
        <v>423</v>
      </c>
      <c r="D9" s="85" t="s">
        <v>424</v>
      </c>
      <c r="E9" s="218">
        <v>7.6</v>
      </c>
      <c r="F9" s="218">
        <v>0.9</v>
      </c>
      <c r="G9" s="218">
        <v>3.3</v>
      </c>
      <c r="H9" s="218">
        <v>12.4</v>
      </c>
      <c r="I9" s="99">
        <v>13</v>
      </c>
      <c r="J9" s="219">
        <v>0.07</v>
      </c>
      <c r="K9" s="220">
        <v>1.6</v>
      </c>
      <c r="L9" s="221">
        <v>3</v>
      </c>
      <c r="M9" s="220">
        <v>2.4</v>
      </c>
      <c r="N9" s="113">
        <v>0.0053</v>
      </c>
      <c r="O9" s="112">
        <v>0.019</v>
      </c>
      <c r="P9" s="116" t="s">
        <v>188</v>
      </c>
    </row>
    <row r="10" spans="1:16" ht="15" customHeight="1">
      <c r="A10" s="550"/>
      <c r="B10" s="85" t="s">
        <v>35</v>
      </c>
      <c r="C10" s="85" t="s">
        <v>425</v>
      </c>
      <c r="D10" s="85" t="s">
        <v>426</v>
      </c>
      <c r="E10" s="218">
        <v>7.6</v>
      </c>
      <c r="F10" s="218">
        <v>0.5</v>
      </c>
      <c r="G10" s="218">
        <v>3.4</v>
      </c>
      <c r="H10" s="218">
        <v>12.2</v>
      </c>
      <c r="I10" s="99">
        <v>7.9</v>
      </c>
      <c r="J10" s="219">
        <v>0.05</v>
      </c>
      <c r="K10" s="220">
        <v>1.5</v>
      </c>
      <c r="L10" s="221">
        <v>3</v>
      </c>
      <c r="M10" s="220">
        <v>1.6</v>
      </c>
      <c r="N10" s="113">
        <v>0.0043</v>
      </c>
      <c r="O10" s="112">
        <v>0.014</v>
      </c>
      <c r="P10" s="116" t="s">
        <v>188</v>
      </c>
    </row>
    <row r="11" spans="1:16" ht="15" customHeight="1" outlineLevel="1">
      <c r="A11" s="549" t="s">
        <v>38</v>
      </c>
      <c r="B11" s="86" t="s">
        <v>102</v>
      </c>
      <c r="C11" s="86" t="s">
        <v>427</v>
      </c>
      <c r="D11" s="86" t="s">
        <v>428</v>
      </c>
      <c r="E11" s="218">
        <v>7.3</v>
      </c>
      <c r="F11" s="218">
        <v>0.5</v>
      </c>
      <c r="G11" s="218">
        <v>2.9</v>
      </c>
      <c r="H11" s="218">
        <v>12.1</v>
      </c>
      <c r="I11" s="220">
        <v>8.5</v>
      </c>
      <c r="J11" s="219">
        <v>0.05</v>
      </c>
      <c r="K11" s="220">
        <v>0.8</v>
      </c>
      <c r="L11" s="222">
        <v>8</v>
      </c>
      <c r="M11" s="220">
        <v>1.8</v>
      </c>
      <c r="N11" s="265">
        <v>0.021</v>
      </c>
      <c r="O11" s="265">
        <v>0.056</v>
      </c>
      <c r="P11" s="116" t="s">
        <v>188</v>
      </c>
    </row>
    <row r="12" spans="1:16" ht="15" customHeight="1" outlineLevel="1">
      <c r="A12" s="550"/>
      <c r="B12" s="86" t="s">
        <v>103</v>
      </c>
      <c r="C12" s="86" t="s">
        <v>429</v>
      </c>
      <c r="D12" s="86" t="s">
        <v>430</v>
      </c>
      <c r="E12" s="218">
        <v>7.2</v>
      </c>
      <c r="F12" s="218" t="s">
        <v>414</v>
      </c>
      <c r="G12" s="218">
        <v>2.5</v>
      </c>
      <c r="H12" s="218">
        <v>12</v>
      </c>
      <c r="I12" s="220">
        <v>7.7</v>
      </c>
      <c r="J12" s="219">
        <v>0.05</v>
      </c>
      <c r="K12" s="220">
        <v>1.1</v>
      </c>
      <c r="L12" s="221">
        <v>2</v>
      </c>
      <c r="M12" s="220">
        <v>1.1</v>
      </c>
      <c r="N12" s="265">
        <v>0.022</v>
      </c>
      <c r="O12" s="265">
        <v>0.066</v>
      </c>
      <c r="P12" s="116" t="s">
        <v>188</v>
      </c>
    </row>
    <row r="13" spans="1:16" ht="15" customHeight="1" outlineLevel="1">
      <c r="A13" s="550"/>
      <c r="B13" s="86" t="s">
        <v>104</v>
      </c>
      <c r="C13" s="86" t="s">
        <v>566</v>
      </c>
      <c r="D13" s="86" t="s">
        <v>520</v>
      </c>
      <c r="E13" s="218">
        <v>7.5</v>
      </c>
      <c r="F13" s="218" t="s">
        <v>414</v>
      </c>
      <c r="G13" s="218">
        <v>1.6</v>
      </c>
      <c r="H13" s="218">
        <v>12.5</v>
      </c>
      <c r="I13" s="220">
        <v>8.5</v>
      </c>
      <c r="J13" s="219">
        <v>0.05</v>
      </c>
      <c r="K13" s="220">
        <v>0.8</v>
      </c>
      <c r="L13" s="221">
        <v>2</v>
      </c>
      <c r="M13" s="220">
        <v>0.7</v>
      </c>
      <c r="N13" s="263">
        <v>0.0084</v>
      </c>
      <c r="O13" s="265">
        <v>0.024</v>
      </c>
      <c r="P13" s="116" t="s">
        <v>188</v>
      </c>
    </row>
    <row r="14" spans="1:16" ht="15" customHeight="1" outlineLevel="1">
      <c r="A14" s="550"/>
      <c r="B14" s="86" t="s">
        <v>105</v>
      </c>
      <c r="C14" s="86" t="s">
        <v>431</v>
      </c>
      <c r="D14" s="86" t="s">
        <v>432</v>
      </c>
      <c r="E14" s="218">
        <v>7.6</v>
      </c>
      <c r="F14" s="218" t="s">
        <v>414</v>
      </c>
      <c r="G14" s="218">
        <v>1.9</v>
      </c>
      <c r="H14" s="218">
        <v>12.7</v>
      </c>
      <c r="I14" s="220">
        <v>8</v>
      </c>
      <c r="J14" s="219">
        <v>0.05</v>
      </c>
      <c r="K14" s="220">
        <v>0.8</v>
      </c>
      <c r="L14" s="221">
        <v>2</v>
      </c>
      <c r="M14" s="220">
        <v>1.2</v>
      </c>
      <c r="N14" s="263">
        <v>0.0088</v>
      </c>
      <c r="O14" s="265">
        <v>0.03</v>
      </c>
      <c r="P14" s="114">
        <v>0.00075</v>
      </c>
    </row>
    <row r="15" spans="1:16" ht="15" customHeight="1" outlineLevel="1">
      <c r="A15" s="550"/>
      <c r="B15" s="86" t="s">
        <v>106</v>
      </c>
      <c r="C15" s="86" t="s">
        <v>433</v>
      </c>
      <c r="D15" s="86" t="s">
        <v>434</v>
      </c>
      <c r="E15" s="218">
        <v>7.7</v>
      </c>
      <c r="F15" s="218" t="s">
        <v>414</v>
      </c>
      <c r="G15" s="218">
        <v>2</v>
      </c>
      <c r="H15" s="218">
        <v>12.4</v>
      </c>
      <c r="I15" s="220">
        <v>8.3</v>
      </c>
      <c r="J15" s="219">
        <v>0.05</v>
      </c>
      <c r="K15" s="220">
        <v>0.8</v>
      </c>
      <c r="L15" s="221">
        <v>3</v>
      </c>
      <c r="M15" s="220">
        <v>1.7</v>
      </c>
      <c r="N15" s="263">
        <v>0.0056</v>
      </c>
      <c r="O15" s="265">
        <v>0.017</v>
      </c>
      <c r="P15" s="116" t="s">
        <v>188</v>
      </c>
    </row>
    <row r="16" spans="1:16" ht="15" customHeight="1" outlineLevel="1">
      <c r="A16" s="550"/>
      <c r="B16" s="86" t="s">
        <v>107</v>
      </c>
      <c r="C16" s="86" t="s">
        <v>435</v>
      </c>
      <c r="D16" s="86" t="s">
        <v>436</v>
      </c>
      <c r="E16" s="218">
        <v>7.7</v>
      </c>
      <c r="F16" s="218" t="s">
        <v>414</v>
      </c>
      <c r="G16" s="218">
        <v>2.4</v>
      </c>
      <c r="H16" s="218">
        <v>12.7</v>
      </c>
      <c r="I16" s="220">
        <v>9</v>
      </c>
      <c r="J16" s="219">
        <v>0.05</v>
      </c>
      <c r="K16" s="220">
        <v>1</v>
      </c>
      <c r="L16" s="221">
        <v>2</v>
      </c>
      <c r="M16" s="220">
        <v>0.8</v>
      </c>
      <c r="N16" s="263">
        <v>0.0036</v>
      </c>
      <c r="O16" s="265">
        <v>0.012</v>
      </c>
      <c r="P16" s="116" t="s">
        <v>188</v>
      </c>
    </row>
    <row r="17" spans="1:16" ht="15" customHeight="1">
      <c r="A17" s="549" t="s">
        <v>36</v>
      </c>
      <c r="B17" s="86" t="s">
        <v>108</v>
      </c>
      <c r="C17" s="86" t="s">
        <v>437</v>
      </c>
      <c r="D17" s="86" t="s">
        <v>438</v>
      </c>
      <c r="E17" s="92">
        <v>7.6</v>
      </c>
      <c r="F17" s="218" t="s">
        <v>414</v>
      </c>
      <c r="G17" s="92">
        <v>2.2</v>
      </c>
      <c r="H17" s="92">
        <v>13.4</v>
      </c>
      <c r="I17" s="220">
        <v>10.5</v>
      </c>
      <c r="J17" s="219">
        <v>0.06</v>
      </c>
      <c r="K17" s="220">
        <v>1.1</v>
      </c>
      <c r="L17" s="221" t="s">
        <v>415</v>
      </c>
      <c r="M17" s="220">
        <v>0.6</v>
      </c>
      <c r="N17" s="265">
        <v>0.013</v>
      </c>
      <c r="O17" s="265">
        <v>0.041</v>
      </c>
      <c r="P17" s="115">
        <v>0.0013</v>
      </c>
    </row>
    <row r="18" spans="1:16" ht="15" customHeight="1">
      <c r="A18" s="550"/>
      <c r="B18" s="86" t="s">
        <v>57</v>
      </c>
      <c r="C18" s="86" t="s">
        <v>439</v>
      </c>
      <c r="D18" s="86" t="s">
        <v>440</v>
      </c>
      <c r="E18" s="92">
        <v>7.3</v>
      </c>
      <c r="F18" s="218" t="s">
        <v>414</v>
      </c>
      <c r="G18" s="92">
        <v>2.3</v>
      </c>
      <c r="H18" s="92">
        <v>12.7</v>
      </c>
      <c r="I18" s="220">
        <v>12.1</v>
      </c>
      <c r="J18" s="219">
        <v>0.07</v>
      </c>
      <c r="K18" s="220">
        <v>1.2</v>
      </c>
      <c r="L18" s="221" t="s">
        <v>415</v>
      </c>
      <c r="M18" s="220">
        <v>0.7</v>
      </c>
      <c r="N18" s="263">
        <v>0.0054</v>
      </c>
      <c r="O18" s="265">
        <v>0.016</v>
      </c>
      <c r="P18" s="116" t="s">
        <v>188</v>
      </c>
    </row>
    <row r="19" spans="1:16" ht="15" customHeight="1">
      <c r="A19" s="550"/>
      <c r="B19" s="86" t="s">
        <v>109</v>
      </c>
      <c r="C19" s="86" t="s">
        <v>441</v>
      </c>
      <c r="D19" s="86" t="s">
        <v>442</v>
      </c>
      <c r="E19" s="92">
        <v>7.1</v>
      </c>
      <c r="F19" s="218" t="s">
        <v>414</v>
      </c>
      <c r="G19" s="92">
        <v>4.5</v>
      </c>
      <c r="H19" s="92">
        <v>12.2</v>
      </c>
      <c r="I19" s="220">
        <v>12.2</v>
      </c>
      <c r="J19" s="219">
        <v>0.07</v>
      </c>
      <c r="K19" s="220">
        <v>0.9</v>
      </c>
      <c r="L19" s="221" t="s">
        <v>415</v>
      </c>
      <c r="M19" s="220">
        <v>0.6</v>
      </c>
      <c r="N19" s="263">
        <v>0.0053</v>
      </c>
      <c r="O19" s="265">
        <v>0.014</v>
      </c>
      <c r="P19" s="116" t="s">
        <v>188</v>
      </c>
    </row>
    <row r="20" spans="1:16" ht="15" customHeight="1">
      <c r="A20" s="550"/>
      <c r="B20" s="86" t="s">
        <v>110</v>
      </c>
      <c r="C20" s="86" t="s">
        <v>443</v>
      </c>
      <c r="D20" s="86" t="s">
        <v>444</v>
      </c>
      <c r="E20" s="92">
        <v>7.5</v>
      </c>
      <c r="F20" s="218" t="s">
        <v>414</v>
      </c>
      <c r="G20" s="92">
        <v>2.7</v>
      </c>
      <c r="H20" s="92">
        <v>12.2</v>
      </c>
      <c r="I20" s="220">
        <v>10.2</v>
      </c>
      <c r="J20" s="219">
        <v>0.06</v>
      </c>
      <c r="K20" s="220">
        <v>1.1</v>
      </c>
      <c r="L20" s="221">
        <v>3</v>
      </c>
      <c r="M20" s="220">
        <v>1.3</v>
      </c>
      <c r="N20" s="263">
        <v>0.0097</v>
      </c>
      <c r="O20" s="265">
        <v>0.028</v>
      </c>
      <c r="P20" s="116" t="s">
        <v>188</v>
      </c>
    </row>
    <row r="21" spans="1:16" ht="15" customHeight="1">
      <c r="A21" s="550"/>
      <c r="B21" s="86" t="s">
        <v>111</v>
      </c>
      <c r="C21" s="86" t="s">
        <v>564</v>
      </c>
      <c r="D21" s="86" t="s">
        <v>565</v>
      </c>
      <c r="E21" s="92">
        <v>7.5</v>
      </c>
      <c r="F21" s="218" t="s">
        <v>414</v>
      </c>
      <c r="G21" s="92">
        <v>2.6</v>
      </c>
      <c r="H21" s="92">
        <v>12.4</v>
      </c>
      <c r="I21" s="220">
        <v>10</v>
      </c>
      <c r="J21" s="219">
        <v>0.06</v>
      </c>
      <c r="K21" s="220">
        <v>1.1</v>
      </c>
      <c r="L21" s="221">
        <v>1</v>
      </c>
      <c r="M21" s="220">
        <v>0.7</v>
      </c>
      <c r="N21" s="263">
        <v>0.0093</v>
      </c>
      <c r="O21" s="265">
        <v>0.025</v>
      </c>
      <c r="P21" s="116" t="s">
        <v>188</v>
      </c>
    </row>
    <row r="22" spans="1:16" ht="15" customHeight="1">
      <c r="A22" s="550"/>
      <c r="B22" s="86" t="s">
        <v>112</v>
      </c>
      <c r="C22" s="86" t="s">
        <v>445</v>
      </c>
      <c r="D22" s="86" t="s">
        <v>446</v>
      </c>
      <c r="E22" s="92">
        <v>7.6</v>
      </c>
      <c r="F22" s="218" t="s">
        <v>414</v>
      </c>
      <c r="G22" s="92">
        <v>3.1</v>
      </c>
      <c r="H22" s="92">
        <v>12.8</v>
      </c>
      <c r="I22" s="220">
        <v>9</v>
      </c>
      <c r="J22" s="219">
        <v>0.05</v>
      </c>
      <c r="K22" s="220">
        <v>1.2</v>
      </c>
      <c r="L22" s="221" t="s">
        <v>415</v>
      </c>
      <c r="M22" s="220">
        <v>0.6</v>
      </c>
      <c r="N22" s="263">
        <v>0.0098</v>
      </c>
      <c r="O22" s="265">
        <v>0.031</v>
      </c>
      <c r="P22" s="116" t="s">
        <v>188</v>
      </c>
    </row>
    <row r="23" spans="1:16" ht="15" customHeight="1">
      <c r="A23" s="549" t="s">
        <v>33</v>
      </c>
      <c r="B23" s="86" t="s">
        <v>115</v>
      </c>
      <c r="C23" s="85" t="s">
        <v>447</v>
      </c>
      <c r="D23" s="85" t="s">
        <v>448</v>
      </c>
      <c r="E23" s="92">
        <v>7.7</v>
      </c>
      <c r="F23" s="218" t="s">
        <v>414</v>
      </c>
      <c r="G23" s="92">
        <v>3.4</v>
      </c>
      <c r="H23" s="92">
        <v>11.9</v>
      </c>
      <c r="I23" s="99">
        <v>7.5</v>
      </c>
      <c r="J23" s="219">
        <v>0.05</v>
      </c>
      <c r="K23" s="99">
        <v>1.6</v>
      </c>
      <c r="L23" s="221">
        <v>5</v>
      </c>
      <c r="M23" s="99">
        <v>3.6</v>
      </c>
      <c r="N23" s="265">
        <v>0.056</v>
      </c>
      <c r="O23" s="266">
        <v>0.17</v>
      </c>
      <c r="P23" s="113">
        <v>0.0025</v>
      </c>
    </row>
    <row r="24" spans="1:16" ht="15" customHeight="1">
      <c r="A24" s="550"/>
      <c r="B24" s="86" t="s">
        <v>116</v>
      </c>
      <c r="C24" s="86" t="s">
        <v>449</v>
      </c>
      <c r="D24" s="86" t="s">
        <v>450</v>
      </c>
      <c r="E24" s="92">
        <v>7.5</v>
      </c>
      <c r="F24" s="218" t="s">
        <v>414</v>
      </c>
      <c r="G24" s="92">
        <v>4.6</v>
      </c>
      <c r="H24" s="92">
        <v>11.6</v>
      </c>
      <c r="I24" s="99">
        <v>7.2</v>
      </c>
      <c r="J24" s="219">
        <v>0.04</v>
      </c>
      <c r="K24" s="99">
        <v>1.5</v>
      </c>
      <c r="L24" s="221">
        <v>5</v>
      </c>
      <c r="M24" s="99">
        <v>4.1</v>
      </c>
      <c r="N24" s="265">
        <v>0.088</v>
      </c>
      <c r="O24" s="266">
        <v>0.27</v>
      </c>
      <c r="P24" s="116" t="s">
        <v>188</v>
      </c>
    </row>
    <row r="25" spans="1:16" ht="15" customHeight="1">
      <c r="A25" s="550"/>
      <c r="B25" s="86" t="s">
        <v>117</v>
      </c>
      <c r="C25" s="86" t="s">
        <v>562</v>
      </c>
      <c r="D25" s="86" t="s">
        <v>563</v>
      </c>
      <c r="E25" s="92">
        <v>7.5</v>
      </c>
      <c r="F25" s="218" t="s">
        <v>414</v>
      </c>
      <c r="G25" s="92">
        <v>3.7</v>
      </c>
      <c r="H25" s="92">
        <v>12</v>
      </c>
      <c r="I25" s="99">
        <v>9.1</v>
      </c>
      <c r="J25" s="219">
        <v>0.05</v>
      </c>
      <c r="K25" s="99">
        <v>1.5</v>
      </c>
      <c r="L25" s="221">
        <v>6</v>
      </c>
      <c r="M25" s="99">
        <v>4.2</v>
      </c>
      <c r="N25" s="265">
        <v>0.06</v>
      </c>
      <c r="O25" s="266">
        <v>0.17</v>
      </c>
      <c r="P25" s="116" t="s">
        <v>188</v>
      </c>
    </row>
    <row r="26" spans="1:16" ht="15" customHeight="1">
      <c r="A26" s="550"/>
      <c r="B26" s="86" t="s">
        <v>118</v>
      </c>
      <c r="C26" s="86" t="s">
        <v>451</v>
      </c>
      <c r="D26" s="86" t="s">
        <v>452</v>
      </c>
      <c r="E26" s="92">
        <v>7.5</v>
      </c>
      <c r="F26" s="218">
        <v>0.7</v>
      </c>
      <c r="G26" s="92">
        <v>3.4</v>
      </c>
      <c r="H26" s="92">
        <v>11.5</v>
      </c>
      <c r="I26" s="99">
        <v>9</v>
      </c>
      <c r="J26" s="219">
        <v>0.05</v>
      </c>
      <c r="K26" s="99">
        <v>1.4</v>
      </c>
      <c r="L26" s="221">
        <v>5</v>
      </c>
      <c r="M26" s="99">
        <v>3.4</v>
      </c>
      <c r="N26" s="265">
        <v>0.05</v>
      </c>
      <c r="O26" s="266">
        <v>0.15</v>
      </c>
      <c r="P26" s="116" t="s">
        <v>188</v>
      </c>
    </row>
    <row r="27" spans="1:16" ht="15" customHeight="1">
      <c r="A27" s="550"/>
      <c r="B27" s="86" t="s">
        <v>119</v>
      </c>
      <c r="C27" s="86" t="s">
        <v>453</v>
      </c>
      <c r="D27" s="86" t="s">
        <v>454</v>
      </c>
      <c r="E27" s="92">
        <v>7.6</v>
      </c>
      <c r="F27" s="218" t="s">
        <v>414</v>
      </c>
      <c r="G27" s="92">
        <v>3.4</v>
      </c>
      <c r="H27" s="92">
        <v>12.2</v>
      </c>
      <c r="I27" s="99">
        <v>7.8</v>
      </c>
      <c r="J27" s="219">
        <v>0.05</v>
      </c>
      <c r="K27" s="99">
        <v>1.5</v>
      </c>
      <c r="L27" s="221">
        <v>6</v>
      </c>
      <c r="M27" s="99">
        <v>3.7</v>
      </c>
      <c r="N27" s="265">
        <v>0.054</v>
      </c>
      <c r="O27" s="266">
        <v>0.16</v>
      </c>
      <c r="P27" s="116" t="s">
        <v>188</v>
      </c>
    </row>
    <row r="28" spans="1:16" ht="15" customHeight="1">
      <c r="A28" s="550"/>
      <c r="B28" s="86" t="s">
        <v>120</v>
      </c>
      <c r="C28" s="86" t="s">
        <v>455</v>
      </c>
      <c r="D28" s="86" t="s">
        <v>456</v>
      </c>
      <c r="E28" s="92">
        <v>7.6</v>
      </c>
      <c r="F28" s="218" t="s">
        <v>414</v>
      </c>
      <c r="G28" s="92">
        <v>3.7</v>
      </c>
      <c r="H28" s="92">
        <v>12.2</v>
      </c>
      <c r="I28" s="99">
        <v>7.8</v>
      </c>
      <c r="J28" s="219">
        <v>0.05</v>
      </c>
      <c r="K28" s="99">
        <v>1.5</v>
      </c>
      <c r="L28" s="221">
        <v>6</v>
      </c>
      <c r="M28" s="99">
        <v>3.3</v>
      </c>
      <c r="N28" s="265">
        <v>0.053</v>
      </c>
      <c r="O28" s="266">
        <v>0.16</v>
      </c>
      <c r="P28" s="116" t="s">
        <v>188</v>
      </c>
    </row>
    <row r="29" spans="1:16" ht="15" customHeight="1" outlineLevel="1">
      <c r="A29" s="549" t="s">
        <v>37</v>
      </c>
      <c r="B29" s="86" t="s">
        <v>121</v>
      </c>
      <c r="C29" s="86" t="s">
        <v>457</v>
      </c>
      <c r="D29" s="86" t="s">
        <v>458</v>
      </c>
      <c r="E29" s="218">
        <v>7.6</v>
      </c>
      <c r="F29" s="218" t="s">
        <v>414</v>
      </c>
      <c r="G29" s="218">
        <v>2.4</v>
      </c>
      <c r="H29" s="218">
        <v>11.8</v>
      </c>
      <c r="I29" s="220">
        <v>5.5</v>
      </c>
      <c r="J29" s="219">
        <v>0.04</v>
      </c>
      <c r="K29" s="220">
        <v>1</v>
      </c>
      <c r="L29" s="221">
        <v>2</v>
      </c>
      <c r="M29" s="220">
        <v>1</v>
      </c>
      <c r="N29" s="265">
        <v>0.081</v>
      </c>
      <c r="O29" s="266">
        <v>0.25</v>
      </c>
      <c r="P29" s="116" t="s">
        <v>188</v>
      </c>
    </row>
    <row r="30" spans="1:16" ht="15" customHeight="1" outlineLevel="1">
      <c r="A30" s="550"/>
      <c r="B30" s="86" t="s">
        <v>122</v>
      </c>
      <c r="C30" s="86" t="s">
        <v>459</v>
      </c>
      <c r="D30" s="86" t="s">
        <v>460</v>
      </c>
      <c r="E30" s="218">
        <v>7.2</v>
      </c>
      <c r="F30" s="218" t="s">
        <v>414</v>
      </c>
      <c r="G30" s="218">
        <v>2.6</v>
      </c>
      <c r="H30" s="218">
        <v>11.9</v>
      </c>
      <c r="I30" s="220">
        <v>6.3</v>
      </c>
      <c r="J30" s="219">
        <v>0.04</v>
      </c>
      <c r="K30" s="220">
        <v>0.9</v>
      </c>
      <c r="L30" s="221">
        <v>2</v>
      </c>
      <c r="M30" s="220">
        <v>0.9</v>
      </c>
      <c r="N30" s="265">
        <v>0.061</v>
      </c>
      <c r="O30" s="266">
        <v>0.18</v>
      </c>
      <c r="P30" s="113">
        <v>0.0033</v>
      </c>
    </row>
    <row r="31" spans="1:16" ht="15" customHeight="1" outlineLevel="1">
      <c r="A31" s="550"/>
      <c r="B31" s="86" t="s">
        <v>123</v>
      </c>
      <c r="C31" s="86" t="s">
        <v>461</v>
      </c>
      <c r="D31" s="86" t="s">
        <v>462</v>
      </c>
      <c r="E31" s="218">
        <v>7.4</v>
      </c>
      <c r="F31" s="218" t="s">
        <v>414</v>
      </c>
      <c r="G31" s="218">
        <v>2.4</v>
      </c>
      <c r="H31" s="218">
        <v>12.1</v>
      </c>
      <c r="I31" s="220">
        <v>6.7</v>
      </c>
      <c r="J31" s="219">
        <v>0.04</v>
      </c>
      <c r="K31" s="220">
        <v>1</v>
      </c>
      <c r="L31" s="221" t="s">
        <v>415</v>
      </c>
      <c r="M31" s="220">
        <v>0.6</v>
      </c>
      <c r="N31" s="265">
        <v>0.052</v>
      </c>
      <c r="O31" s="266">
        <v>0.15</v>
      </c>
      <c r="P31" s="116" t="s">
        <v>188</v>
      </c>
    </row>
    <row r="32" spans="1:16" ht="15" customHeight="1" outlineLevel="1">
      <c r="A32" s="550"/>
      <c r="B32" s="86" t="s">
        <v>124</v>
      </c>
      <c r="C32" s="86" t="s">
        <v>463</v>
      </c>
      <c r="D32" s="86" t="s">
        <v>464</v>
      </c>
      <c r="E32" s="218">
        <v>7</v>
      </c>
      <c r="F32" s="218" t="s">
        <v>414</v>
      </c>
      <c r="G32" s="218">
        <v>2.2</v>
      </c>
      <c r="H32" s="218">
        <v>10.2</v>
      </c>
      <c r="I32" s="220">
        <v>7.2</v>
      </c>
      <c r="J32" s="219">
        <v>0.04</v>
      </c>
      <c r="K32" s="220">
        <v>0.8</v>
      </c>
      <c r="L32" s="221">
        <v>1</v>
      </c>
      <c r="M32" s="220">
        <v>0.5</v>
      </c>
      <c r="N32" s="265">
        <v>0.038</v>
      </c>
      <c r="O32" s="266">
        <v>0.12</v>
      </c>
      <c r="P32" s="116" t="s">
        <v>188</v>
      </c>
    </row>
    <row r="33" spans="1:16" ht="15" customHeight="1" outlineLevel="1">
      <c r="A33" s="550"/>
      <c r="B33" s="86" t="s">
        <v>125</v>
      </c>
      <c r="C33" s="86" t="s">
        <v>465</v>
      </c>
      <c r="D33" s="86" t="s">
        <v>466</v>
      </c>
      <c r="E33" s="218">
        <v>7.1</v>
      </c>
      <c r="F33" s="218">
        <v>0.9</v>
      </c>
      <c r="G33" s="218">
        <v>2.8</v>
      </c>
      <c r="H33" s="218">
        <v>11</v>
      </c>
      <c r="I33" s="220">
        <v>8.3</v>
      </c>
      <c r="J33" s="219">
        <v>0.05</v>
      </c>
      <c r="K33" s="220">
        <v>1.1</v>
      </c>
      <c r="L33" s="221">
        <v>2</v>
      </c>
      <c r="M33" s="220">
        <v>1.3</v>
      </c>
      <c r="N33" s="265">
        <v>0.041</v>
      </c>
      <c r="O33" s="266">
        <v>0.12</v>
      </c>
      <c r="P33" s="116" t="s">
        <v>188</v>
      </c>
    </row>
    <row r="34" spans="1:16" ht="15" customHeight="1" outlineLevel="1">
      <c r="A34" s="550"/>
      <c r="B34" s="86" t="s">
        <v>126</v>
      </c>
      <c r="C34" s="86" t="s">
        <v>560</v>
      </c>
      <c r="D34" s="86" t="s">
        <v>561</v>
      </c>
      <c r="E34" s="218">
        <v>7.5</v>
      </c>
      <c r="F34" s="218">
        <v>0.6</v>
      </c>
      <c r="G34" s="218">
        <v>2.9</v>
      </c>
      <c r="H34" s="218">
        <v>11.3</v>
      </c>
      <c r="I34" s="220">
        <v>16.5</v>
      </c>
      <c r="J34" s="219">
        <v>0.09</v>
      </c>
      <c r="K34" s="220">
        <v>1.5</v>
      </c>
      <c r="L34" s="221">
        <v>4</v>
      </c>
      <c r="M34" s="220">
        <v>1.9</v>
      </c>
      <c r="N34" s="265">
        <v>0.036</v>
      </c>
      <c r="O34" s="266">
        <v>0.11</v>
      </c>
      <c r="P34" s="116" t="s">
        <v>188</v>
      </c>
    </row>
    <row r="35" spans="1:16" ht="15" customHeight="1">
      <c r="A35" s="552" t="s">
        <v>148</v>
      </c>
      <c r="B35" s="86" t="s">
        <v>138</v>
      </c>
      <c r="C35" s="564" t="s">
        <v>467</v>
      </c>
      <c r="D35" s="564" t="s">
        <v>468</v>
      </c>
      <c r="E35" s="92">
        <v>7.2</v>
      </c>
      <c r="F35" s="218" t="s">
        <v>414</v>
      </c>
      <c r="G35" s="92">
        <v>3.5</v>
      </c>
      <c r="H35" s="92">
        <v>10.3</v>
      </c>
      <c r="I35" s="99">
        <v>6.7</v>
      </c>
      <c r="J35" s="223">
        <v>0.04</v>
      </c>
      <c r="K35" s="99">
        <v>1.6</v>
      </c>
      <c r="L35" s="224">
        <v>2</v>
      </c>
      <c r="M35" s="99">
        <v>1.3</v>
      </c>
      <c r="N35" s="265">
        <v>0.016</v>
      </c>
      <c r="O35" s="265">
        <v>0.047</v>
      </c>
      <c r="P35" s="116" t="s">
        <v>188</v>
      </c>
    </row>
    <row r="36" spans="1:16" ht="15" customHeight="1">
      <c r="A36" s="550"/>
      <c r="B36" s="86" t="s">
        <v>139</v>
      </c>
      <c r="C36" s="550"/>
      <c r="D36" s="550"/>
      <c r="E36" s="92">
        <v>7.3</v>
      </c>
      <c r="F36" s="218" t="s">
        <v>414</v>
      </c>
      <c r="G36" s="92">
        <v>3.8</v>
      </c>
      <c r="H36" s="92">
        <v>10.7</v>
      </c>
      <c r="I36" s="99">
        <v>6.7</v>
      </c>
      <c r="J36" s="223">
        <v>0.04</v>
      </c>
      <c r="K36" s="99">
        <v>1.6</v>
      </c>
      <c r="L36" s="224">
        <v>2</v>
      </c>
      <c r="M36" s="99">
        <v>1.5</v>
      </c>
      <c r="N36" s="265">
        <v>0.016</v>
      </c>
      <c r="O36" s="265">
        <v>0.048</v>
      </c>
      <c r="P36" s="115">
        <v>0.0014</v>
      </c>
    </row>
    <row r="37" spans="1:16" ht="15" customHeight="1">
      <c r="A37" s="550"/>
      <c r="B37" s="86" t="s">
        <v>141</v>
      </c>
      <c r="C37" s="564" t="s">
        <v>469</v>
      </c>
      <c r="D37" s="564" t="s">
        <v>470</v>
      </c>
      <c r="E37" s="218">
        <v>7.3</v>
      </c>
      <c r="F37" s="218" t="s">
        <v>414</v>
      </c>
      <c r="G37" s="218">
        <v>3.7</v>
      </c>
      <c r="H37" s="218">
        <v>10.4</v>
      </c>
      <c r="I37" s="220">
        <v>6.8</v>
      </c>
      <c r="J37" s="219">
        <v>0.04</v>
      </c>
      <c r="K37" s="220">
        <v>1.6</v>
      </c>
      <c r="L37" s="221">
        <v>3</v>
      </c>
      <c r="M37" s="220">
        <v>1.5</v>
      </c>
      <c r="N37" s="265">
        <v>0.018</v>
      </c>
      <c r="O37" s="265">
        <v>0.055</v>
      </c>
      <c r="P37" s="116" t="s">
        <v>188</v>
      </c>
    </row>
    <row r="38" spans="1:16" ht="15" customHeight="1">
      <c r="A38" s="550"/>
      <c r="B38" s="86" t="s">
        <v>140</v>
      </c>
      <c r="C38" s="550"/>
      <c r="D38" s="550"/>
      <c r="E38" s="218">
        <v>7.3</v>
      </c>
      <c r="F38" s="218" t="s">
        <v>414</v>
      </c>
      <c r="G38" s="218">
        <v>3.6</v>
      </c>
      <c r="H38" s="218">
        <v>10.5</v>
      </c>
      <c r="I38" s="220">
        <v>6.8</v>
      </c>
      <c r="J38" s="219">
        <v>0.04</v>
      </c>
      <c r="K38" s="220">
        <v>1.7</v>
      </c>
      <c r="L38" s="221">
        <v>1</v>
      </c>
      <c r="M38" s="220">
        <v>1.3</v>
      </c>
      <c r="N38" s="265">
        <v>0.017</v>
      </c>
      <c r="O38" s="265">
        <v>0.055</v>
      </c>
      <c r="P38" s="116" t="s">
        <v>188</v>
      </c>
    </row>
    <row r="39" spans="1:16" ht="15" customHeight="1">
      <c r="A39" s="550"/>
      <c r="B39" s="86" t="s">
        <v>142</v>
      </c>
      <c r="C39" s="564" t="s">
        <v>467</v>
      </c>
      <c r="D39" s="564" t="s">
        <v>471</v>
      </c>
      <c r="E39" s="218">
        <v>7.4</v>
      </c>
      <c r="F39" s="218" t="s">
        <v>414</v>
      </c>
      <c r="G39" s="218">
        <v>3.4</v>
      </c>
      <c r="H39" s="218">
        <v>10.2</v>
      </c>
      <c r="I39" s="220">
        <v>6.8</v>
      </c>
      <c r="J39" s="219">
        <v>0.04</v>
      </c>
      <c r="K39" s="220">
        <v>1.7</v>
      </c>
      <c r="L39" s="221">
        <v>2</v>
      </c>
      <c r="M39" s="220">
        <v>1.2</v>
      </c>
      <c r="N39" s="265">
        <v>0.018</v>
      </c>
      <c r="O39" s="265">
        <v>0.054</v>
      </c>
      <c r="P39" s="116" t="s">
        <v>188</v>
      </c>
    </row>
    <row r="40" spans="1:16" ht="15" customHeight="1">
      <c r="A40" s="550"/>
      <c r="B40" s="86" t="s">
        <v>143</v>
      </c>
      <c r="C40" s="550"/>
      <c r="D40" s="550"/>
      <c r="E40" s="218">
        <v>7.3</v>
      </c>
      <c r="F40" s="218">
        <v>0.5</v>
      </c>
      <c r="G40" s="218">
        <v>3.3</v>
      </c>
      <c r="H40" s="218">
        <v>10.6</v>
      </c>
      <c r="I40" s="220">
        <v>6.8</v>
      </c>
      <c r="J40" s="219">
        <v>0.04</v>
      </c>
      <c r="K40" s="220">
        <v>1.7</v>
      </c>
      <c r="L40" s="221">
        <v>2</v>
      </c>
      <c r="M40" s="220">
        <v>1.3</v>
      </c>
      <c r="N40" s="265">
        <v>0.018</v>
      </c>
      <c r="O40" s="265">
        <v>0.059</v>
      </c>
      <c r="P40" s="116" t="s">
        <v>188</v>
      </c>
    </row>
    <row r="41" spans="1:16" ht="15" customHeight="1">
      <c r="A41" s="551" t="s">
        <v>39</v>
      </c>
      <c r="B41" s="86" t="s">
        <v>127</v>
      </c>
      <c r="C41" s="564" t="s">
        <v>476</v>
      </c>
      <c r="D41" s="564" t="s">
        <v>477</v>
      </c>
      <c r="E41" s="218">
        <v>7.4</v>
      </c>
      <c r="F41" s="218">
        <v>0.7</v>
      </c>
      <c r="G41" s="218">
        <v>3.7</v>
      </c>
      <c r="H41" s="218">
        <v>11.2</v>
      </c>
      <c r="I41" s="220">
        <v>5</v>
      </c>
      <c r="J41" s="219">
        <v>0.03</v>
      </c>
      <c r="K41" s="220">
        <v>1.4</v>
      </c>
      <c r="L41" s="221">
        <v>3</v>
      </c>
      <c r="M41" s="220">
        <v>1.9</v>
      </c>
      <c r="N41" s="263">
        <v>0.005</v>
      </c>
      <c r="O41" s="265">
        <v>0.015</v>
      </c>
      <c r="P41" s="116" t="s">
        <v>188</v>
      </c>
    </row>
    <row r="42" spans="1:16" ht="15" customHeight="1">
      <c r="A42" s="550"/>
      <c r="B42" s="86" t="s">
        <v>128</v>
      </c>
      <c r="C42" s="550"/>
      <c r="D42" s="550"/>
      <c r="E42" s="218">
        <v>7.2</v>
      </c>
      <c r="F42" s="218">
        <v>0.6</v>
      </c>
      <c r="G42" s="218">
        <v>3.6</v>
      </c>
      <c r="H42" s="218">
        <v>10.4</v>
      </c>
      <c r="I42" s="220">
        <v>4.8</v>
      </c>
      <c r="J42" s="219">
        <v>0.03</v>
      </c>
      <c r="K42" s="220">
        <v>1.7</v>
      </c>
      <c r="L42" s="221">
        <v>2</v>
      </c>
      <c r="M42" s="220">
        <v>2</v>
      </c>
      <c r="N42" s="267">
        <v>0.0042</v>
      </c>
      <c r="O42" s="268">
        <v>0.015</v>
      </c>
      <c r="P42" s="116" t="s">
        <v>188</v>
      </c>
    </row>
    <row r="43" spans="1:16" ht="15" customHeight="1">
      <c r="A43" s="550"/>
      <c r="B43" s="86" t="s">
        <v>129</v>
      </c>
      <c r="C43" s="564" t="s">
        <v>478</v>
      </c>
      <c r="D43" s="564" t="s">
        <v>479</v>
      </c>
      <c r="E43" s="218">
        <v>7.2</v>
      </c>
      <c r="F43" s="218">
        <v>1</v>
      </c>
      <c r="G43" s="92">
        <v>4.2</v>
      </c>
      <c r="H43" s="92">
        <v>10.3</v>
      </c>
      <c r="I43" s="220">
        <v>4.8</v>
      </c>
      <c r="J43" s="223">
        <v>0.03</v>
      </c>
      <c r="K43" s="99">
        <v>1.7</v>
      </c>
      <c r="L43" s="224">
        <v>3</v>
      </c>
      <c r="M43" s="99">
        <v>2</v>
      </c>
      <c r="N43" s="268">
        <v>0.01</v>
      </c>
      <c r="O43" s="268">
        <v>0.03</v>
      </c>
      <c r="P43" s="116" t="s">
        <v>188</v>
      </c>
    </row>
    <row r="44" spans="1:16" ht="15" customHeight="1">
      <c r="A44" s="550"/>
      <c r="B44" s="86" t="s">
        <v>144</v>
      </c>
      <c r="C44" s="550"/>
      <c r="D44" s="550"/>
      <c r="E44" s="218">
        <v>7.2</v>
      </c>
      <c r="F44" s="218">
        <v>0.7</v>
      </c>
      <c r="G44" s="92">
        <v>4.2</v>
      </c>
      <c r="H44" s="92">
        <v>10.5</v>
      </c>
      <c r="I44" s="220">
        <v>4.8</v>
      </c>
      <c r="J44" s="223">
        <v>0.03</v>
      </c>
      <c r="K44" s="99">
        <v>1.5</v>
      </c>
      <c r="L44" s="224">
        <v>2</v>
      </c>
      <c r="M44" s="99">
        <v>2.2</v>
      </c>
      <c r="N44" s="267">
        <v>0.0046</v>
      </c>
      <c r="O44" s="268">
        <v>0.013</v>
      </c>
      <c r="P44" s="101">
        <v>0.0014</v>
      </c>
    </row>
    <row r="45" spans="1:16" ht="15" customHeight="1">
      <c r="A45" s="550"/>
      <c r="B45" s="86" t="s">
        <v>130</v>
      </c>
      <c r="C45" s="564" t="s">
        <v>472</v>
      </c>
      <c r="D45" s="564" t="s">
        <v>473</v>
      </c>
      <c r="E45" s="218">
        <v>7.2</v>
      </c>
      <c r="F45" s="218">
        <v>0.5</v>
      </c>
      <c r="G45" s="218">
        <v>3.2</v>
      </c>
      <c r="H45" s="218">
        <v>10.9</v>
      </c>
      <c r="I45" s="220">
        <v>5</v>
      </c>
      <c r="J45" s="219">
        <v>0.03</v>
      </c>
      <c r="K45" s="220">
        <v>1.4</v>
      </c>
      <c r="L45" s="221">
        <v>2</v>
      </c>
      <c r="M45" s="220">
        <v>1.5</v>
      </c>
      <c r="N45" s="267">
        <v>0.0049</v>
      </c>
      <c r="O45" s="268">
        <v>0.014</v>
      </c>
      <c r="P45" s="116" t="s">
        <v>188</v>
      </c>
    </row>
    <row r="46" spans="1:16" ht="15" customHeight="1">
      <c r="A46" s="550"/>
      <c r="B46" s="86" t="s">
        <v>131</v>
      </c>
      <c r="C46" s="550"/>
      <c r="D46" s="550"/>
      <c r="E46" s="218">
        <v>7.3</v>
      </c>
      <c r="F46" s="218">
        <v>0.5</v>
      </c>
      <c r="G46" s="218">
        <v>3.2</v>
      </c>
      <c r="H46" s="218">
        <v>10.8</v>
      </c>
      <c r="I46" s="220">
        <v>5</v>
      </c>
      <c r="J46" s="219">
        <v>0.03</v>
      </c>
      <c r="K46" s="220">
        <v>1.4</v>
      </c>
      <c r="L46" s="221">
        <v>2</v>
      </c>
      <c r="M46" s="220">
        <v>1.5</v>
      </c>
      <c r="N46" s="267">
        <v>0.005</v>
      </c>
      <c r="O46" s="268">
        <v>0.013</v>
      </c>
      <c r="P46" s="116" t="s">
        <v>188</v>
      </c>
    </row>
    <row r="47" spans="1:16" ht="15" customHeight="1">
      <c r="A47" s="551" t="s">
        <v>40</v>
      </c>
      <c r="B47" s="86" t="s">
        <v>132</v>
      </c>
      <c r="C47" s="564" t="s">
        <v>474</v>
      </c>
      <c r="D47" s="564" t="s">
        <v>475</v>
      </c>
      <c r="E47" s="92">
        <v>7</v>
      </c>
      <c r="F47" s="218" t="s">
        <v>414</v>
      </c>
      <c r="G47" s="92">
        <v>1.4</v>
      </c>
      <c r="H47" s="92">
        <v>10.9</v>
      </c>
      <c r="I47" s="99">
        <v>11.4</v>
      </c>
      <c r="J47" s="223">
        <v>0.07</v>
      </c>
      <c r="K47" s="99">
        <v>0.6</v>
      </c>
      <c r="L47" s="221">
        <v>1</v>
      </c>
      <c r="M47" s="99">
        <v>0.6</v>
      </c>
      <c r="N47" s="263">
        <v>0.0049</v>
      </c>
      <c r="O47" s="265">
        <v>0.015</v>
      </c>
      <c r="P47" s="116" t="s">
        <v>188</v>
      </c>
    </row>
    <row r="48" spans="1:16" ht="15" customHeight="1">
      <c r="A48" s="550"/>
      <c r="B48" s="86" t="s">
        <v>133</v>
      </c>
      <c r="C48" s="550"/>
      <c r="D48" s="550"/>
      <c r="E48" s="92">
        <v>6.9</v>
      </c>
      <c r="F48" s="218" t="s">
        <v>414</v>
      </c>
      <c r="G48" s="92">
        <v>1.3</v>
      </c>
      <c r="H48" s="92">
        <v>11.2</v>
      </c>
      <c r="I48" s="99">
        <v>11.7</v>
      </c>
      <c r="J48" s="223">
        <v>0.07</v>
      </c>
      <c r="K48" s="99">
        <v>0.6</v>
      </c>
      <c r="L48" s="224">
        <v>1</v>
      </c>
      <c r="M48" s="99">
        <v>0.5</v>
      </c>
      <c r="N48" s="263">
        <v>0.0043</v>
      </c>
      <c r="O48" s="265">
        <v>0.014</v>
      </c>
      <c r="P48" s="225">
        <v>0.00085</v>
      </c>
    </row>
    <row r="49" spans="1:16" ht="15" customHeight="1">
      <c r="A49" s="550"/>
      <c r="B49" s="86" t="s">
        <v>136</v>
      </c>
      <c r="C49" s="564" t="s">
        <v>480</v>
      </c>
      <c r="D49" s="564" t="s">
        <v>481</v>
      </c>
      <c r="E49" s="218">
        <v>6.9</v>
      </c>
      <c r="F49" s="218" t="s">
        <v>414</v>
      </c>
      <c r="G49" s="218">
        <v>1.1</v>
      </c>
      <c r="H49" s="218">
        <v>11</v>
      </c>
      <c r="I49" s="220">
        <v>11.5</v>
      </c>
      <c r="J49" s="219">
        <v>0.07</v>
      </c>
      <c r="K49" s="220">
        <v>0.6</v>
      </c>
      <c r="L49" s="221" t="s">
        <v>415</v>
      </c>
      <c r="M49" s="220">
        <v>0.4</v>
      </c>
      <c r="N49" s="263">
        <v>0.0043</v>
      </c>
      <c r="O49" s="265">
        <v>0.016</v>
      </c>
      <c r="P49" s="116" t="s">
        <v>188</v>
      </c>
    </row>
    <row r="50" spans="1:16" ht="15" customHeight="1">
      <c r="A50" s="550"/>
      <c r="B50" s="86" t="s">
        <v>137</v>
      </c>
      <c r="C50" s="550"/>
      <c r="D50" s="550"/>
      <c r="E50" s="218">
        <v>6.9</v>
      </c>
      <c r="F50" s="218" t="s">
        <v>414</v>
      </c>
      <c r="G50" s="218">
        <v>1.3</v>
      </c>
      <c r="H50" s="218">
        <v>11.3</v>
      </c>
      <c r="I50" s="220">
        <v>11.5</v>
      </c>
      <c r="J50" s="219">
        <v>0.07</v>
      </c>
      <c r="K50" s="220">
        <v>0.6</v>
      </c>
      <c r="L50" s="221" t="s">
        <v>415</v>
      </c>
      <c r="M50" s="220">
        <v>0.4</v>
      </c>
      <c r="N50" s="263">
        <v>0.0049</v>
      </c>
      <c r="O50" s="265">
        <v>0.015</v>
      </c>
      <c r="P50" s="116" t="s">
        <v>188</v>
      </c>
    </row>
    <row r="51" spans="1:16" ht="15" customHeight="1">
      <c r="A51" s="550"/>
      <c r="B51" s="86" t="s">
        <v>134</v>
      </c>
      <c r="C51" s="564" t="s">
        <v>482</v>
      </c>
      <c r="D51" s="564" t="s">
        <v>483</v>
      </c>
      <c r="E51" s="218">
        <v>6.9</v>
      </c>
      <c r="F51" s="218" t="s">
        <v>414</v>
      </c>
      <c r="G51" s="218">
        <v>1.4</v>
      </c>
      <c r="H51" s="218">
        <v>11.1</v>
      </c>
      <c r="I51" s="220">
        <v>11.6</v>
      </c>
      <c r="J51" s="219">
        <v>0.07</v>
      </c>
      <c r="K51" s="220">
        <v>0.7</v>
      </c>
      <c r="L51" s="221">
        <v>1</v>
      </c>
      <c r="M51" s="220">
        <v>0.6</v>
      </c>
      <c r="N51" s="263">
        <v>0.0044</v>
      </c>
      <c r="O51" s="265">
        <v>0.015</v>
      </c>
      <c r="P51" s="116" t="s">
        <v>188</v>
      </c>
    </row>
    <row r="52" spans="1:16" ht="15" customHeight="1">
      <c r="A52" s="550"/>
      <c r="B52" s="86" t="s">
        <v>135</v>
      </c>
      <c r="C52" s="550"/>
      <c r="D52" s="550"/>
      <c r="E52" s="218">
        <v>6.9</v>
      </c>
      <c r="F52" s="218" t="s">
        <v>414</v>
      </c>
      <c r="G52" s="218">
        <v>1.2</v>
      </c>
      <c r="H52" s="218">
        <v>11.2</v>
      </c>
      <c r="I52" s="220">
        <v>12.3</v>
      </c>
      <c r="J52" s="219">
        <v>0.07</v>
      </c>
      <c r="K52" s="220">
        <v>0.6</v>
      </c>
      <c r="L52" s="221" t="s">
        <v>415</v>
      </c>
      <c r="M52" s="220">
        <v>0.4</v>
      </c>
      <c r="N52" s="263">
        <v>0.0054</v>
      </c>
      <c r="O52" s="265">
        <v>0.017</v>
      </c>
      <c r="P52" s="116" t="s">
        <v>188</v>
      </c>
    </row>
    <row r="53" spans="1:16" ht="15" customHeight="1">
      <c r="A53" s="546" t="s">
        <v>151</v>
      </c>
      <c r="B53" s="86" t="s">
        <v>224</v>
      </c>
      <c r="C53" s="564" t="s">
        <v>484</v>
      </c>
      <c r="D53" s="564" t="s">
        <v>485</v>
      </c>
      <c r="E53" s="92">
        <v>8.1</v>
      </c>
      <c r="F53" s="218" t="s">
        <v>414</v>
      </c>
      <c r="G53" s="92">
        <v>1.5</v>
      </c>
      <c r="H53" s="92">
        <v>9.4</v>
      </c>
      <c r="I53" s="226">
        <v>4620</v>
      </c>
      <c r="J53" s="223">
        <v>29.6</v>
      </c>
      <c r="K53" s="99">
        <v>0.9</v>
      </c>
      <c r="L53" s="224">
        <v>2</v>
      </c>
      <c r="M53" s="99">
        <v>1.5</v>
      </c>
      <c r="N53" s="263">
        <v>0.0028</v>
      </c>
      <c r="O53" s="265">
        <v>0.01</v>
      </c>
      <c r="P53" s="116" t="s">
        <v>188</v>
      </c>
    </row>
    <row r="54" spans="1:16" ht="15" customHeight="1">
      <c r="A54" s="547"/>
      <c r="B54" s="86" t="s">
        <v>225</v>
      </c>
      <c r="C54" s="550"/>
      <c r="D54" s="550"/>
      <c r="E54" s="92">
        <v>8</v>
      </c>
      <c r="F54" s="218" t="s">
        <v>414</v>
      </c>
      <c r="G54" s="92">
        <v>1.5</v>
      </c>
      <c r="H54" s="92">
        <v>8.5</v>
      </c>
      <c r="I54" s="226">
        <v>5100</v>
      </c>
      <c r="J54" s="223">
        <v>33.51</v>
      </c>
      <c r="K54" s="99">
        <v>0.9</v>
      </c>
      <c r="L54" s="224">
        <v>5</v>
      </c>
      <c r="M54" s="99">
        <v>1.3</v>
      </c>
      <c r="N54" s="263">
        <v>0.0032</v>
      </c>
      <c r="O54" s="265">
        <v>0.01</v>
      </c>
      <c r="P54" s="225">
        <v>0.00096</v>
      </c>
    </row>
    <row r="55" spans="1:16" ht="15" customHeight="1">
      <c r="A55" s="546" t="s">
        <v>150</v>
      </c>
      <c r="B55" s="86" t="s">
        <v>113</v>
      </c>
      <c r="C55" s="86" t="s">
        <v>486</v>
      </c>
      <c r="D55" s="86" t="s">
        <v>487</v>
      </c>
      <c r="E55" s="92">
        <v>8.1</v>
      </c>
      <c r="F55" s="218" t="s">
        <v>414</v>
      </c>
      <c r="G55" s="92">
        <v>1.3</v>
      </c>
      <c r="H55" s="92">
        <v>9</v>
      </c>
      <c r="I55" s="226">
        <v>5090</v>
      </c>
      <c r="J55" s="223">
        <v>32.51</v>
      </c>
      <c r="K55" s="220" t="s">
        <v>415</v>
      </c>
      <c r="L55" s="224">
        <v>2</v>
      </c>
      <c r="M55" s="99">
        <v>0.7</v>
      </c>
      <c r="N55" s="263">
        <v>0.0044</v>
      </c>
      <c r="O55" s="265">
        <v>0.014</v>
      </c>
      <c r="P55" s="115">
        <v>0.0011</v>
      </c>
    </row>
    <row r="56" spans="1:16" ht="15" customHeight="1">
      <c r="A56" s="547"/>
      <c r="B56" s="86" t="s">
        <v>114</v>
      </c>
      <c r="C56" s="86" t="s">
        <v>488</v>
      </c>
      <c r="D56" s="86" t="s">
        <v>489</v>
      </c>
      <c r="E56" s="92">
        <v>8.1</v>
      </c>
      <c r="F56" s="218" t="s">
        <v>414</v>
      </c>
      <c r="G56" s="92">
        <v>1.6</v>
      </c>
      <c r="H56" s="92">
        <v>9.1</v>
      </c>
      <c r="I56" s="226">
        <v>5110</v>
      </c>
      <c r="J56" s="223">
        <v>32.62</v>
      </c>
      <c r="K56" s="227">
        <v>1</v>
      </c>
      <c r="L56" s="224">
        <v>4</v>
      </c>
      <c r="M56" s="99">
        <v>1.5</v>
      </c>
      <c r="N56" s="263">
        <v>0.0055</v>
      </c>
      <c r="O56" s="265">
        <v>0.017</v>
      </c>
      <c r="P56" s="116" t="s">
        <v>188</v>
      </c>
    </row>
    <row r="57" spans="1:16" ht="15" customHeight="1">
      <c r="A57" s="546" t="s">
        <v>149</v>
      </c>
      <c r="B57" s="86" t="s">
        <v>153</v>
      </c>
      <c r="C57" s="564" t="s">
        <v>490</v>
      </c>
      <c r="D57" s="564" t="s">
        <v>491</v>
      </c>
      <c r="E57" s="92">
        <v>8.1</v>
      </c>
      <c r="F57" s="218" t="s">
        <v>414</v>
      </c>
      <c r="G57" s="92">
        <v>1.2</v>
      </c>
      <c r="H57" s="92">
        <v>8.3</v>
      </c>
      <c r="I57" s="226">
        <v>5270</v>
      </c>
      <c r="J57" s="223">
        <v>34.36</v>
      </c>
      <c r="K57" s="99">
        <v>0.7</v>
      </c>
      <c r="L57" s="221">
        <v>3</v>
      </c>
      <c r="M57" s="99">
        <v>0.5</v>
      </c>
      <c r="N57" s="117" t="s">
        <v>567</v>
      </c>
      <c r="O57" s="263">
        <v>0.0035</v>
      </c>
      <c r="P57" s="116" t="s">
        <v>188</v>
      </c>
    </row>
    <row r="58" spans="1:16" ht="15" customHeight="1">
      <c r="A58" s="548"/>
      <c r="B58" s="86" t="s">
        <v>154</v>
      </c>
      <c r="C58" s="550"/>
      <c r="D58" s="550"/>
      <c r="E58" s="92">
        <v>8.1</v>
      </c>
      <c r="F58" s="218" t="s">
        <v>414</v>
      </c>
      <c r="G58" s="92">
        <v>1.2</v>
      </c>
      <c r="H58" s="92">
        <v>7.8</v>
      </c>
      <c r="I58" s="226">
        <v>5210</v>
      </c>
      <c r="J58" s="223">
        <v>34.24</v>
      </c>
      <c r="K58" s="99">
        <v>0.7</v>
      </c>
      <c r="L58" s="224">
        <v>2</v>
      </c>
      <c r="M58" s="220" t="s">
        <v>416</v>
      </c>
      <c r="N58" s="117" t="s">
        <v>567</v>
      </c>
      <c r="O58" s="263">
        <v>0.0043</v>
      </c>
      <c r="P58" s="366">
        <v>0.00082</v>
      </c>
    </row>
    <row r="59" spans="1:13" ht="15" customHeight="1">
      <c r="A59" s="15" t="s">
        <v>411</v>
      </c>
      <c r="E59" s="23"/>
      <c r="F59" s="23"/>
      <c r="G59" s="23"/>
      <c r="H59" s="23"/>
      <c r="I59" s="23"/>
      <c r="J59" s="23"/>
      <c r="K59" s="23"/>
      <c r="L59" s="23"/>
      <c r="M59" s="23"/>
    </row>
    <row r="60" spans="5:13" ht="15" customHeight="1">
      <c r="E60" s="25"/>
      <c r="F60" s="25"/>
      <c r="G60" s="25"/>
      <c r="H60" s="25"/>
      <c r="I60" s="25"/>
      <c r="J60" s="25"/>
      <c r="K60" s="25"/>
      <c r="L60" s="25"/>
      <c r="M60" s="25"/>
    </row>
    <row r="61" spans="5:13" ht="15" customHeight="1">
      <c r="E61" s="25"/>
      <c r="F61" s="25"/>
      <c r="G61" s="25"/>
      <c r="H61" s="25"/>
      <c r="I61" s="25"/>
      <c r="J61" s="25"/>
      <c r="K61" s="25"/>
      <c r="L61" s="25"/>
      <c r="M61" s="25"/>
    </row>
    <row r="62" spans="5:13" ht="15" customHeight="1">
      <c r="E62" s="25"/>
      <c r="F62" s="25"/>
      <c r="G62" s="25"/>
      <c r="H62" s="25"/>
      <c r="I62" s="25"/>
      <c r="J62" s="25"/>
      <c r="K62" s="25"/>
      <c r="L62" s="25"/>
      <c r="M62" s="25"/>
    </row>
    <row r="63" spans="5:13" ht="15" customHeight="1">
      <c r="E63" s="25"/>
      <c r="F63" s="25"/>
      <c r="G63" s="25"/>
      <c r="H63" s="25"/>
      <c r="I63" s="25"/>
      <c r="J63" s="25"/>
      <c r="K63" s="25"/>
      <c r="L63" s="25"/>
      <c r="M63" s="25"/>
    </row>
    <row r="64" spans="5:13" ht="15" customHeight="1">
      <c r="E64" s="25"/>
      <c r="F64" s="25"/>
      <c r="G64" s="25"/>
      <c r="H64" s="25"/>
      <c r="I64" s="25"/>
      <c r="J64" s="25"/>
      <c r="K64" s="25"/>
      <c r="L64" s="25"/>
      <c r="M64" s="25"/>
    </row>
    <row r="65" spans="5:13" ht="15" customHeight="1">
      <c r="E65" s="25"/>
      <c r="F65" s="25"/>
      <c r="G65" s="25"/>
      <c r="H65" s="25"/>
      <c r="I65" s="25"/>
      <c r="J65" s="25"/>
      <c r="K65" s="25"/>
      <c r="L65" s="25"/>
      <c r="M65" s="25"/>
    </row>
  </sheetData>
  <sheetProtection/>
  <mergeCells count="41">
    <mergeCell ref="C47:C48"/>
    <mergeCell ref="D47:D48"/>
    <mergeCell ref="C57:C58"/>
    <mergeCell ref="D57:D58"/>
    <mergeCell ref="C53:C54"/>
    <mergeCell ref="D53:D54"/>
    <mergeCell ref="C51:C52"/>
    <mergeCell ref="D51:D52"/>
    <mergeCell ref="D39:D40"/>
    <mergeCell ref="D43:D44"/>
    <mergeCell ref="C41:C42"/>
    <mergeCell ref="C49:C50"/>
    <mergeCell ref="D49:D50"/>
    <mergeCell ref="C43:C44"/>
    <mergeCell ref="C45:C46"/>
    <mergeCell ref="D45:D46"/>
    <mergeCell ref="D41:D42"/>
    <mergeCell ref="C39:C40"/>
    <mergeCell ref="D35:D36"/>
    <mergeCell ref="C37:C38"/>
    <mergeCell ref="D37:D38"/>
    <mergeCell ref="A11:A16"/>
    <mergeCell ref="A17:A22"/>
    <mergeCell ref="A23:A28"/>
    <mergeCell ref="C35:C36"/>
    <mergeCell ref="E2:P2"/>
    <mergeCell ref="C5:C6"/>
    <mergeCell ref="D5:D6"/>
    <mergeCell ref="A5:A10"/>
    <mergeCell ref="E3:E4"/>
    <mergeCell ref="J3:J4"/>
    <mergeCell ref="D3:D4"/>
    <mergeCell ref="A2:D2"/>
    <mergeCell ref="C3:C4"/>
    <mergeCell ref="A53:A54"/>
    <mergeCell ref="A57:A58"/>
    <mergeCell ref="A29:A34"/>
    <mergeCell ref="A55:A56"/>
    <mergeCell ref="A41:A46"/>
    <mergeCell ref="A47:A52"/>
    <mergeCell ref="A35:A40"/>
  </mergeCells>
  <conditionalFormatting sqref="E5:M58">
    <cfRule type="expression" priority="1" dxfId="0" stopIfTrue="1">
      <formula>LEN(TRIM(E5))=0</formula>
    </cfRule>
  </conditionalFormatting>
  <printOptions/>
  <pageMargins left="0.9055118110236221" right="0.5905511811023623" top="0.3937007874015748" bottom="0.3937007874015748" header="0.3937007874015748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9"/>
  <sheetViews>
    <sheetView view="pageBreakPreview" zoomScaleSheetLayoutView="100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56" sqref="T56"/>
    </sheetView>
  </sheetViews>
  <sheetFormatPr defaultColWidth="9.00390625" defaultRowHeight="13.5"/>
  <cols>
    <col min="1" max="1" width="15.625" style="38" customWidth="1"/>
    <col min="2" max="2" width="8.125" style="15" customWidth="1"/>
    <col min="3" max="3" width="11.625" style="10" customWidth="1"/>
    <col min="4" max="4" width="11.625" style="50" customWidth="1"/>
    <col min="5" max="5" width="7.375" style="58" customWidth="1"/>
    <col min="6" max="6" width="10.625" style="52" customWidth="1"/>
    <col min="7" max="8" width="7.375" style="1" customWidth="1"/>
    <col min="9" max="16" width="11.00390625" style="11" customWidth="1"/>
    <col min="17" max="17" width="11.625" style="11" customWidth="1"/>
    <col min="18" max="18" width="11.125" style="11" customWidth="1"/>
    <col min="19" max="19" width="10.625" style="53" customWidth="1"/>
    <col min="20" max="21" width="10.625" style="0" customWidth="1"/>
  </cols>
  <sheetData>
    <row r="1" spans="1:21" ht="18" customHeight="1">
      <c r="A1" s="107" t="s">
        <v>60</v>
      </c>
      <c r="B1" s="13"/>
      <c r="C1" s="108"/>
      <c r="D1" s="109"/>
      <c r="E1" s="45"/>
      <c r="F1" s="46"/>
      <c r="G1" s="39"/>
      <c r="H1" s="39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40"/>
      <c r="U1" s="40"/>
    </row>
    <row r="2" spans="1:21" ht="16.5" customHeight="1">
      <c r="A2" s="565" t="s">
        <v>1</v>
      </c>
      <c r="B2" s="566"/>
      <c r="C2" s="566"/>
      <c r="D2" s="567"/>
      <c r="E2" s="568" t="s">
        <v>413</v>
      </c>
      <c r="F2" s="560"/>
      <c r="G2" s="560"/>
      <c r="H2" s="560"/>
      <c r="I2" s="560"/>
      <c r="J2" s="560"/>
      <c r="K2" s="556"/>
      <c r="L2" s="556"/>
      <c r="M2" s="556"/>
      <c r="N2" s="556"/>
      <c r="O2" s="556"/>
      <c r="P2" s="556"/>
      <c r="Q2" s="556"/>
      <c r="R2" s="556"/>
      <c r="S2" s="569"/>
      <c r="T2" s="569"/>
      <c r="U2" s="569"/>
    </row>
    <row r="3" spans="1:21" ht="16.5" customHeight="1">
      <c r="A3" s="572"/>
      <c r="B3" s="573"/>
      <c r="C3" s="556" t="s">
        <v>2</v>
      </c>
      <c r="D3" s="571" t="s">
        <v>3</v>
      </c>
      <c r="E3" s="123"/>
      <c r="F3" s="128"/>
      <c r="G3" s="131"/>
      <c r="H3" s="131"/>
      <c r="I3" s="131"/>
      <c r="J3" s="111"/>
      <c r="K3" s="570" t="s">
        <v>4</v>
      </c>
      <c r="L3" s="564"/>
      <c r="M3" s="564"/>
      <c r="N3" s="564"/>
      <c r="O3" s="564"/>
      <c r="P3" s="564"/>
      <c r="Q3" s="564"/>
      <c r="R3" s="571"/>
      <c r="S3" s="139"/>
      <c r="T3" s="144"/>
      <c r="U3" s="143"/>
    </row>
    <row r="4" spans="1:21" ht="16.5" customHeight="1">
      <c r="A4" s="574"/>
      <c r="B4" s="574"/>
      <c r="C4" s="574"/>
      <c r="D4" s="575"/>
      <c r="E4" s="124" t="s">
        <v>5</v>
      </c>
      <c r="F4" s="129" t="s">
        <v>6</v>
      </c>
      <c r="G4" s="132" t="s">
        <v>7</v>
      </c>
      <c r="H4" s="132" t="s">
        <v>0</v>
      </c>
      <c r="I4" s="132" t="s">
        <v>8</v>
      </c>
      <c r="J4" s="4" t="s">
        <v>9</v>
      </c>
      <c r="K4" s="134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136" t="s">
        <v>17</v>
      </c>
      <c r="S4" s="140" t="s">
        <v>18</v>
      </c>
      <c r="T4" s="140" t="s">
        <v>19</v>
      </c>
      <c r="U4" s="7" t="s">
        <v>20</v>
      </c>
    </row>
    <row r="5" spans="1:21" ht="16.5" customHeight="1">
      <c r="A5" s="574"/>
      <c r="B5" s="574"/>
      <c r="C5" s="574"/>
      <c r="D5" s="575"/>
      <c r="E5" s="125"/>
      <c r="F5" s="124" t="s">
        <v>21</v>
      </c>
      <c r="G5" s="132"/>
      <c r="H5" s="132"/>
      <c r="I5" s="132"/>
      <c r="J5" s="3"/>
      <c r="K5" s="135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6"/>
      <c r="R5" s="137"/>
      <c r="S5" s="141"/>
      <c r="T5" s="145"/>
      <c r="U5" s="7"/>
    </row>
    <row r="6" spans="1:21" ht="16.5" customHeight="1">
      <c r="A6" s="574"/>
      <c r="B6" s="574"/>
      <c r="C6" s="574"/>
      <c r="D6" s="575"/>
      <c r="E6" s="126"/>
      <c r="F6" s="130" t="s">
        <v>28</v>
      </c>
      <c r="G6" s="133" t="s">
        <v>29</v>
      </c>
      <c r="H6" s="133" t="s">
        <v>29</v>
      </c>
      <c r="I6" s="133" t="s">
        <v>185</v>
      </c>
      <c r="J6" s="49" t="s">
        <v>30</v>
      </c>
      <c r="K6" s="127" t="s">
        <v>29</v>
      </c>
      <c r="L6" s="110" t="s">
        <v>29</v>
      </c>
      <c r="M6" s="110" t="s">
        <v>29</v>
      </c>
      <c r="N6" s="110" t="s">
        <v>29</v>
      </c>
      <c r="O6" s="110" t="s">
        <v>29</v>
      </c>
      <c r="P6" s="110" t="s">
        <v>29</v>
      </c>
      <c r="Q6" s="49" t="s">
        <v>31</v>
      </c>
      <c r="R6" s="138" t="s">
        <v>31</v>
      </c>
      <c r="S6" s="142" t="s">
        <v>184</v>
      </c>
      <c r="T6" s="142" t="s">
        <v>184</v>
      </c>
      <c r="U6" s="8" t="s">
        <v>184</v>
      </c>
    </row>
    <row r="7" spans="1:21" ht="16.5" customHeight="1">
      <c r="A7" s="557" t="s">
        <v>58</v>
      </c>
      <c r="B7" s="85" t="s">
        <v>32</v>
      </c>
      <c r="C7" s="85" t="s">
        <v>492</v>
      </c>
      <c r="D7" s="85" t="s">
        <v>493</v>
      </c>
      <c r="E7" s="93">
        <v>7</v>
      </c>
      <c r="F7" s="88">
        <v>92</v>
      </c>
      <c r="G7" s="93">
        <v>42.3</v>
      </c>
      <c r="H7" s="93">
        <v>5.4</v>
      </c>
      <c r="I7" s="207">
        <v>11.2</v>
      </c>
      <c r="J7" s="97">
        <v>2.721</v>
      </c>
      <c r="K7" s="96">
        <v>1.4</v>
      </c>
      <c r="L7" s="96">
        <v>0.9</v>
      </c>
      <c r="M7" s="96">
        <v>32.2</v>
      </c>
      <c r="N7" s="96">
        <v>23</v>
      </c>
      <c r="O7" s="96">
        <v>18.1</v>
      </c>
      <c r="P7" s="96">
        <v>24.4</v>
      </c>
      <c r="Q7" s="90">
        <v>0.15</v>
      </c>
      <c r="R7" s="98">
        <v>9.5</v>
      </c>
      <c r="S7" s="87">
        <v>220</v>
      </c>
      <c r="T7" s="87">
        <v>670</v>
      </c>
      <c r="U7" s="209">
        <v>0.22</v>
      </c>
    </row>
    <row r="8" spans="1:21" ht="16.5" customHeight="1">
      <c r="A8" s="557"/>
      <c r="B8" s="85" t="s">
        <v>61</v>
      </c>
      <c r="C8" s="85" t="s">
        <v>494</v>
      </c>
      <c r="D8" s="85" t="s">
        <v>420</v>
      </c>
      <c r="E8" s="93">
        <v>7</v>
      </c>
      <c r="F8" s="88">
        <v>314</v>
      </c>
      <c r="G8" s="93">
        <v>23.1</v>
      </c>
      <c r="H8" s="93">
        <v>1.9</v>
      </c>
      <c r="I8" s="98">
        <v>2.1</v>
      </c>
      <c r="J8" s="97">
        <v>2.744</v>
      </c>
      <c r="K8" s="96">
        <v>16.8</v>
      </c>
      <c r="L8" s="96">
        <v>44.7</v>
      </c>
      <c r="M8" s="96">
        <v>29.9</v>
      </c>
      <c r="N8" s="96">
        <v>4.2</v>
      </c>
      <c r="O8" s="96">
        <v>0.6</v>
      </c>
      <c r="P8" s="96">
        <v>3.8</v>
      </c>
      <c r="Q8" s="96">
        <v>1.1</v>
      </c>
      <c r="R8" s="95">
        <v>19</v>
      </c>
      <c r="S8" s="87">
        <v>29</v>
      </c>
      <c r="T8" s="87">
        <v>110</v>
      </c>
      <c r="U8" s="210" t="s">
        <v>187</v>
      </c>
    </row>
    <row r="9" spans="1:21" ht="16.5" customHeight="1">
      <c r="A9" s="557"/>
      <c r="B9" s="85" t="s">
        <v>62</v>
      </c>
      <c r="C9" s="85" t="s">
        <v>421</v>
      </c>
      <c r="D9" s="85" t="s">
        <v>422</v>
      </c>
      <c r="E9" s="93">
        <v>7</v>
      </c>
      <c r="F9" s="88">
        <v>229</v>
      </c>
      <c r="G9" s="93">
        <v>19.7</v>
      </c>
      <c r="H9" s="93">
        <v>1.8</v>
      </c>
      <c r="I9" s="98">
        <v>2.2</v>
      </c>
      <c r="J9" s="97">
        <v>2.751</v>
      </c>
      <c r="K9" s="96">
        <v>31.6</v>
      </c>
      <c r="L9" s="96">
        <v>23</v>
      </c>
      <c r="M9" s="96">
        <v>21.5</v>
      </c>
      <c r="N9" s="96">
        <v>19.7</v>
      </c>
      <c r="O9" s="96">
        <v>0.9</v>
      </c>
      <c r="P9" s="96">
        <v>3.3</v>
      </c>
      <c r="Q9" s="96">
        <v>1.1</v>
      </c>
      <c r="R9" s="95">
        <v>19</v>
      </c>
      <c r="S9" s="87">
        <v>79</v>
      </c>
      <c r="T9" s="87">
        <v>230</v>
      </c>
      <c r="U9" s="210" t="s">
        <v>187</v>
      </c>
    </row>
    <row r="10" spans="1:21" ht="16.5" customHeight="1">
      <c r="A10" s="557"/>
      <c r="B10" s="85" t="s">
        <v>63</v>
      </c>
      <c r="C10" s="85" t="s">
        <v>423</v>
      </c>
      <c r="D10" s="85" t="s">
        <v>424</v>
      </c>
      <c r="E10" s="93">
        <v>7.1</v>
      </c>
      <c r="F10" s="88">
        <v>300</v>
      </c>
      <c r="G10" s="93">
        <v>27.8</v>
      </c>
      <c r="H10" s="93">
        <v>1.7</v>
      </c>
      <c r="I10" s="207">
        <v>1.7</v>
      </c>
      <c r="J10" s="97">
        <v>2.765</v>
      </c>
      <c r="K10" s="96">
        <v>0</v>
      </c>
      <c r="L10" s="96">
        <v>1.1</v>
      </c>
      <c r="M10" s="96">
        <v>46.5</v>
      </c>
      <c r="N10" s="96">
        <v>49.2</v>
      </c>
      <c r="O10" s="96">
        <v>1.4</v>
      </c>
      <c r="P10" s="96">
        <v>1.8</v>
      </c>
      <c r="Q10" s="90">
        <v>0.24</v>
      </c>
      <c r="R10" s="95">
        <v>2</v>
      </c>
      <c r="S10" s="87">
        <v>60</v>
      </c>
      <c r="T10" s="87">
        <v>190</v>
      </c>
      <c r="U10" s="210" t="s">
        <v>556</v>
      </c>
    </row>
    <row r="11" spans="1:21" ht="16.5" customHeight="1">
      <c r="A11" s="557"/>
      <c r="B11" s="85" t="s">
        <v>64</v>
      </c>
      <c r="C11" s="85" t="s">
        <v>495</v>
      </c>
      <c r="D11" s="85" t="s">
        <v>496</v>
      </c>
      <c r="E11" s="93">
        <v>7.2</v>
      </c>
      <c r="F11" s="88">
        <v>323</v>
      </c>
      <c r="G11" s="93">
        <v>21.7</v>
      </c>
      <c r="H11" s="93">
        <v>2.8</v>
      </c>
      <c r="I11" s="207">
        <v>3.7</v>
      </c>
      <c r="J11" s="97">
        <v>2.689</v>
      </c>
      <c r="K11" s="96">
        <v>20.4</v>
      </c>
      <c r="L11" s="96">
        <v>25.2</v>
      </c>
      <c r="M11" s="96">
        <v>37.4</v>
      </c>
      <c r="N11" s="96">
        <v>10.3</v>
      </c>
      <c r="O11" s="96">
        <v>3.2</v>
      </c>
      <c r="P11" s="96">
        <v>3.5</v>
      </c>
      <c r="Q11" s="90">
        <v>0.73</v>
      </c>
      <c r="R11" s="98">
        <v>9.5</v>
      </c>
      <c r="S11" s="87">
        <v>90</v>
      </c>
      <c r="T11" s="87">
        <v>310</v>
      </c>
      <c r="U11" s="210" t="s">
        <v>187</v>
      </c>
    </row>
    <row r="12" spans="1:21" ht="16.5" customHeight="1">
      <c r="A12" s="557" t="s">
        <v>38</v>
      </c>
      <c r="B12" s="86" t="s">
        <v>65</v>
      </c>
      <c r="C12" s="86" t="s">
        <v>427</v>
      </c>
      <c r="D12" s="86" t="s">
        <v>428</v>
      </c>
      <c r="E12" s="93">
        <v>7.1</v>
      </c>
      <c r="F12" s="88">
        <v>332</v>
      </c>
      <c r="G12" s="93">
        <v>29.4</v>
      </c>
      <c r="H12" s="93">
        <v>3.9</v>
      </c>
      <c r="I12" s="207">
        <v>3.3</v>
      </c>
      <c r="J12" s="97">
        <v>2.727</v>
      </c>
      <c r="K12" s="96">
        <v>10.8</v>
      </c>
      <c r="L12" s="96">
        <v>55</v>
      </c>
      <c r="M12" s="96">
        <v>28.8</v>
      </c>
      <c r="N12" s="96">
        <v>4</v>
      </c>
      <c r="O12" s="96">
        <v>1</v>
      </c>
      <c r="P12" s="98">
        <v>0.4</v>
      </c>
      <c r="Q12" s="96">
        <v>1.1</v>
      </c>
      <c r="R12" s="98">
        <v>9.5</v>
      </c>
      <c r="S12" s="87">
        <v>230</v>
      </c>
      <c r="T12" s="87">
        <v>770</v>
      </c>
      <c r="U12" s="94" t="s">
        <v>187</v>
      </c>
    </row>
    <row r="13" spans="1:21" ht="16.5" customHeight="1">
      <c r="A13" s="557"/>
      <c r="B13" s="86" t="s">
        <v>66</v>
      </c>
      <c r="C13" s="86" t="s">
        <v>497</v>
      </c>
      <c r="D13" s="86" t="s">
        <v>498</v>
      </c>
      <c r="E13" s="93">
        <v>7</v>
      </c>
      <c r="F13" s="88">
        <v>120</v>
      </c>
      <c r="G13" s="93">
        <v>56.2</v>
      </c>
      <c r="H13" s="93">
        <v>9.3</v>
      </c>
      <c r="I13" s="98">
        <v>15</v>
      </c>
      <c r="J13" s="97">
        <v>2.67</v>
      </c>
      <c r="K13" s="96">
        <v>0</v>
      </c>
      <c r="L13" s="96">
        <v>9.3</v>
      </c>
      <c r="M13" s="96">
        <v>37.5</v>
      </c>
      <c r="N13" s="96">
        <v>12.2</v>
      </c>
      <c r="O13" s="96">
        <v>12.7</v>
      </c>
      <c r="P13" s="96">
        <v>28.3</v>
      </c>
      <c r="Q13" s="90">
        <v>0.21</v>
      </c>
      <c r="R13" s="95">
        <v>2</v>
      </c>
      <c r="S13" s="87">
        <v>310</v>
      </c>
      <c r="T13" s="87">
        <v>940</v>
      </c>
      <c r="U13" s="94" t="s">
        <v>187</v>
      </c>
    </row>
    <row r="14" spans="1:21" ht="16.5" customHeight="1">
      <c r="A14" s="557"/>
      <c r="B14" s="86" t="s">
        <v>105</v>
      </c>
      <c r="C14" s="86" t="s">
        <v>499</v>
      </c>
      <c r="D14" s="86" t="s">
        <v>500</v>
      </c>
      <c r="E14" s="93">
        <v>7.2</v>
      </c>
      <c r="F14" s="88">
        <v>267</v>
      </c>
      <c r="G14" s="93">
        <v>19.5</v>
      </c>
      <c r="H14" s="93">
        <v>1.3</v>
      </c>
      <c r="I14" s="207">
        <v>1.3</v>
      </c>
      <c r="J14" s="97">
        <v>2.728</v>
      </c>
      <c r="K14" s="96">
        <v>36.4</v>
      </c>
      <c r="L14" s="96">
        <v>30.8</v>
      </c>
      <c r="M14" s="96">
        <v>29.2</v>
      </c>
      <c r="N14" s="96">
        <v>2.5</v>
      </c>
      <c r="O14" s="96">
        <v>0.8</v>
      </c>
      <c r="P14" s="98">
        <v>0.3</v>
      </c>
      <c r="Q14" s="96">
        <v>1.4</v>
      </c>
      <c r="R14" s="95">
        <v>19</v>
      </c>
      <c r="S14" s="87">
        <v>200</v>
      </c>
      <c r="T14" s="87">
        <v>620</v>
      </c>
      <c r="U14" s="91">
        <v>0.7</v>
      </c>
    </row>
    <row r="15" spans="1:21" ht="16.5" customHeight="1">
      <c r="A15" s="557"/>
      <c r="B15" s="86" t="s">
        <v>146</v>
      </c>
      <c r="C15" s="86" t="s">
        <v>501</v>
      </c>
      <c r="D15" s="86" t="s">
        <v>502</v>
      </c>
      <c r="E15" s="93">
        <v>7</v>
      </c>
      <c r="F15" s="88">
        <v>311</v>
      </c>
      <c r="G15" s="93">
        <v>19.5</v>
      </c>
      <c r="H15" s="93">
        <v>1.2</v>
      </c>
      <c r="I15" s="98">
        <v>1.1</v>
      </c>
      <c r="J15" s="97">
        <v>2.709</v>
      </c>
      <c r="K15" s="96">
        <v>53.6</v>
      </c>
      <c r="L15" s="96">
        <v>28.3</v>
      </c>
      <c r="M15" s="96">
        <v>15.2</v>
      </c>
      <c r="N15" s="96">
        <v>1.9</v>
      </c>
      <c r="O15" s="96">
        <v>0.6</v>
      </c>
      <c r="P15" s="98">
        <v>0.4</v>
      </c>
      <c r="Q15" s="96">
        <v>2.1</v>
      </c>
      <c r="R15" s="95">
        <v>19</v>
      </c>
      <c r="S15" s="87">
        <v>120</v>
      </c>
      <c r="T15" s="87">
        <v>390</v>
      </c>
      <c r="U15" s="94" t="s">
        <v>187</v>
      </c>
    </row>
    <row r="16" spans="1:21" ht="16.5" customHeight="1">
      <c r="A16" s="557"/>
      <c r="B16" s="86" t="s">
        <v>147</v>
      </c>
      <c r="C16" s="86" t="s">
        <v>503</v>
      </c>
      <c r="D16" s="86" t="s">
        <v>504</v>
      </c>
      <c r="E16" s="93">
        <v>7.1</v>
      </c>
      <c r="F16" s="88">
        <v>312</v>
      </c>
      <c r="G16" s="93">
        <v>19.9</v>
      </c>
      <c r="H16" s="93">
        <v>1.1</v>
      </c>
      <c r="I16" s="207">
        <v>1.1</v>
      </c>
      <c r="J16" s="97">
        <v>2.741</v>
      </c>
      <c r="K16" s="96">
        <v>32.3</v>
      </c>
      <c r="L16" s="96">
        <v>30.3</v>
      </c>
      <c r="M16" s="96">
        <v>31.6</v>
      </c>
      <c r="N16" s="96">
        <v>4.2</v>
      </c>
      <c r="O16" s="96">
        <v>1</v>
      </c>
      <c r="P16" s="98">
        <v>0.6</v>
      </c>
      <c r="Q16" s="96">
        <v>1.2</v>
      </c>
      <c r="R16" s="95">
        <v>19</v>
      </c>
      <c r="S16" s="87">
        <v>100</v>
      </c>
      <c r="T16" s="87">
        <v>340</v>
      </c>
      <c r="U16" s="94" t="s">
        <v>187</v>
      </c>
    </row>
    <row r="17" spans="1:21" ht="16.5" customHeight="1">
      <c r="A17" s="557" t="s">
        <v>36</v>
      </c>
      <c r="B17" s="86" t="s">
        <v>67</v>
      </c>
      <c r="C17" s="86" t="s">
        <v>437</v>
      </c>
      <c r="D17" s="86" t="s">
        <v>438</v>
      </c>
      <c r="E17" s="93">
        <v>7.2</v>
      </c>
      <c r="F17" s="88">
        <v>376</v>
      </c>
      <c r="G17" s="93">
        <v>19.2</v>
      </c>
      <c r="H17" s="93">
        <v>1.6</v>
      </c>
      <c r="I17" s="207">
        <v>2.6</v>
      </c>
      <c r="J17" s="97">
        <v>2.699</v>
      </c>
      <c r="K17" s="96">
        <v>35.9</v>
      </c>
      <c r="L17" s="96">
        <v>35.2</v>
      </c>
      <c r="M17" s="96">
        <v>19.1</v>
      </c>
      <c r="N17" s="96">
        <v>7.6</v>
      </c>
      <c r="O17" s="96">
        <v>1.3</v>
      </c>
      <c r="P17" s="96">
        <v>0.9</v>
      </c>
      <c r="Q17" s="96">
        <v>1.5</v>
      </c>
      <c r="R17" s="95">
        <v>19</v>
      </c>
      <c r="S17" s="87">
        <v>290</v>
      </c>
      <c r="T17" s="87">
        <v>890</v>
      </c>
      <c r="U17" s="99">
        <v>1</v>
      </c>
    </row>
    <row r="18" spans="1:21" ht="16.5" customHeight="1">
      <c r="A18" s="557"/>
      <c r="B18" s="86" t="s">
        <v>68</v>
      </c>
      <c r="C18" s="86" t="s">
        <v>439</v>
      </c>
      <c r="D18" s="86" t="s">
        <v>440</v>
      </c>
      <c r="E18" s="93">
        <v>7.1</v>
      </c>
      <c r="F18" s="88">
        <v>397</v>
      </c>
      <c r="G18" s="93">
        <v>19.1</v>
      </c>
      <c r="H18" s="93">
        <v>1.1</v>
      </c>
      <c r="I18" s="207">
        <v>1.2</v>
      </c>
      <c r="J18" s="97">
        <v>2.711</v>
      </c>
      <c r="K18" s="96">
        <v>18.4</v>
      </c>
      <c r="L18" s="96">
        <v>48.4</v>
      </c>
      <c r="M18" s="96">
        <v>30</v>
      </c>
      <c r="N18" s="96">
        <v>2.3</v>
      </c>
      <c r="O18" s="96">
        <v>0.5</v>
      </c>
      <c r="P18" s="96">
        <v>0.4</v>
      </c>
      <c r="Q18" s="96">
        <v>1.1</v>
      </c>
      <c r="R18" s="95">
        <v>19</v>
      </c>
      <c r="S18" s="87">
        <v>160</v>
      </c>
      <c r="T18" s="87">
        <v>490</v>
      </c>
      <c r="U18" s="94" t="s">
        <v>187</v>
      </c>
    </row>
    <row r="19" spans="1:21" ht="16.5" customHeight="1">
      <c r="A19" s="557"/>
      <c r="B19" s="86" t="s">
        <v>69</v>
      </c>
      <c r="C19" s="86" t="s">
        <v>441</v>
      </c>
      <c r="D19" s="86" t="s">
        <v>442</v>
      </c>
      <c r="E19" s="93">
        <v>7.1</v>
      </c>
      <c r="F19" s="88">
        <v>404</v>
      </c>
      <c r="G19" s="93">
        <v>23.3</v>
      </c>
      <c r="H19" s="93">
        <v>1.3</v>
      </c>
      <c r="I19" s="207">
        <v>1.5</v>
      </c>
      <c r="J19" s="97">
        <v>2.713</v>
      </c>
      <c r="K19" s="96">
        <v>6.7</v>
      </c>
      <c r="L19" s="96">
        <v>15.2</v>
      </c>
      <c r="M19" s="96">
        <v>64.9</v>
      </c>
      <c r="N19" s="96">
        <v>11</v>
      </c>
      <c r="O19" s="96">
        <v>1.3</v>
      </c>
      <c r="P19" s="96">
        <v>0.9</v>
      </c>
      <c r="Q19" s="90">
        <v>0.47</v>
      </c>
      <c r="R19" s="98">
        <v>9.5</v>
      </c>
      <c r="S19" s="87">
        <v>44</v>
      </c>
      <c r="T19" s="87">
        <v>140</v>
      </c>
      <c r="U19" s="94" t="s">
        <v>187</v>
      </c>
    </row>
    <row r="20" spans="1:21" ht="16.5" customHeight="1">
      <c r="A20" s="557"/>
      <c r="B20" s="86" t="s">
        <v>70</v>
      </c>
      <c r="C20" s="86" t="s">
        <v>443</v>
      </c>
      <c r="D20" s="86" t="s">
        <v>444</v>
      </c>
      <c r="E20" s="93">
        <v>7.2</v>
      </c>
      <c r="F20" s="88">
        <v>413</v>
      </c>
      <c r="G20" s="93">
        <v>19.9</v>
      </c>
      <c r="H20" s="93">
        <v>1.6</v>
      </c>
      <c r="I20" s="98">
        <v>1.4</v>
      </c>
      <c r="J20" s="97">
        <v>2.738</v>
      </c>
      <c r="K20" s="96">
        <v>18.4</v>
      </c>
      <c r="L20" s="96">
        <v>40.7</v>
      </c>
      <c r="M20" s="96">
        <v>35.8</v>
      </c>
      <c r="N20" s="96">
        <v>4</v>
      </c>
      <c r="O20" s="96">
        <v>0.7</v>
      </c>
      <c r="P20" s="96">
        <v>0.4</v>
      </c>
      <c r="Q20" s="96">
        <v>1</v>
      </c>
      <c r="R20" s="95">
        <v>19</v>
      </c>
      <c r="S20" s="87">
        <v>310</v>
      </c>
      <c r="T20" s="87">
        <v>1000</v>
      </c>
      <c r="U20" s="94" t="s">
        <v>187</v>
      </c>
    </row>
    <row r="21" spans="1:21" ht="16.5" customHeight="1">
      <c r="A21" s="557"/>
      <c r="B21" s="86" t="s">
        <v>71</v>
      </c>
      <c r="C21" s="86" t="s">
        <v>445</v>
      </c>
      <c r="D21" s="86" t="s">
        <v>446</v>
      </c>
      <c r="E21" s="93">
        <v>7.2</v>
      </c>
      <c r="F21" s="88">
        <v>403</v>
      </c>
      <c r="G21" s="93">
        <v>19.6</v>
      </c>
      <c r="H21" s="93">
        <v>1.4</v>
      </c>
      <c r="I21" s="98">
        <v>1</v>
      </c>
      <c r="J21" s="97">
        <v>2.692</v>
      </c>
      <c r="K21" s="96">
        <v>32.8</v>
      </c>
      <c r="L21" s="96">
        <v>49.4</v>
      </c>
      <c r="M21" s="96">
        <v>16</v>
      </c>
      <c r="N21" s="96">
        <v>1.2</v>
      </c>
      <c r="O21" s="96">
        <v>0.3</v>
      </c>
      <c r="P21" s="96">
        <v>0.3</v>
      </c>
      <c r="Q21" s="96">
        <v>1.5</v>
      </c>
      <c r="R21" s="95">
        <v>19</v>
      </c>
      <c r="S21" s="87">
        <v>140</v>
      </c>
      <c r="T21" s="87">
        <v>430</v>
      </c>
      <c r="U21" s="94" t="s">
        <v>187</v>
      </c>
    </row>
    <row r="22" spans="1:21" ht="16.5" customHeight="1">
      <c r="A22" s="557" t="s">
        <v>33</v>
      </c>
      <c r="B22" s="86" t="s">
        <v>77</v>
      </c>
      <c r="C22" s="85" t="s">
        <v>447</v>
      </c>
      <c r="D22" s="85" t="s">
        <v>448</v>
      </c>
      <c r="E22" s="93">
        <v>7.2</v>
      </c>
      <c r="F22" s="88">
        <v>224</v>
      </c>
      <c r="G22" s="93">
        <v>16.2</v>
      </c>
      <c r="H22" s="93">
        <v>0.9</v>
      </c>
      <c r="I22" s="207">
        <v>1.2</v>
      </c>
      <c r="J22" s="97">
        <v>2.672</v>
      </c>
      <c r="K22" s="96">
        <v>28.8</v>
      </c>
      <c r="L22" s="96">
        <v>44.8</v>
      </c>
      <c r="M22" s="96">
        <v>22.8</v>
      </c>
      <c r="N22" s="96">
        <v>2.1</v>
      </c>
      <c r="O22" s="96">
        <v>1</v>
      </c>
      <c r="P22" s="96">
        <v>0.5</v>
      </c>
      <c r="Q22" s="96">
        <v>1.4</v>
      </c>
      <c r="R22" s="98">
        <v>9.5</v>
      </c>
      <c r="S22" s="87">
        <v>270</v>
      </c>
      <c r="T22" s="87">
        <v>890</v>
      </c>
      <c r="U22" s="100">
        <v>0.21</v>
      </c>
    </row>
    <row r="23" spans="1:21" ht="16.5" customHeight="1">
      <c r="A23" s="557"/>
      <c r="B23" s="86" t="s">
        <v>78</v>
      </c>
      <c r="C23" s="86" t="s">
        <v>505</v>
      </c>
      <c r="D23" s="86" t="s">
        <v>506</v>
      </c>
      <c r="E23" s="93">
        <v>7</v>
      </c>
      <c r="F23" s="88">
        <v>200</v>
      </c>
      <c r="G23" s="93">
        <v>47.7</v>
      </c>
      <c r="H23" s="93">
        <v>9.6</v>
      </c>
      <c r="I23" s="98">
        <v>24.3</v>
      </c>
      <c r="J23" s="97">
        <v>2.628</v>
      </c>
      <c r="K23" s="96">
        <v>22</v>
      </c>
      <c r="L23" s="96">
        <v>15.9</v>
      </c>
      <c r="M23" s="96">
        <v>18.8</v>
      </c>
      <c r="N23" s="96">
        <v>15.5</v>
      </c>
      <c r="O23" s="96">
        <v>12.4</v>
      </c>
      <c r="P23" s="96">
        <v>15.4</v>
      </c>
      <c r="Q23" s="90">
        <v>0.36</v>
      </c>
      <c r="R23" s="95">
        <v>19</v>
      </c>
      <c r="S23" s="87">
        <v>1300</v>
      </c>
      <c r="T23" s="87">
        <v>4200</v>
      </c>
      <c r="U23" s="94" t="s">
        <v>187</v>
      </c>
    </row>
    <row r="24" spans="1:21" ht="16.5" customHeight="1">
      <c r="A24" s="557"/>
      <c r="B24" s="86" t="s">
        <v>79</v>
      </c>
      <c r="C24" s="86" t="s">
        <v>507</v>
      </c>
      <c r="D24" s="86" t="s">
        <v>508</v>
      </c>
      <c r="E24" s="93">
        <v>7.1</v>
      </c>
      <c r="F24" s="88">
        <v>335</v>
      </c>
      <c r="G24" s="93">
        <v>19.4</v>
      </c>
      <c r="H24" s="93">
        <v>1</v>
      </c>
      <c r="I24" s="207">
        <v>1.4</v>
      </c>
      <c r="J24" s="97">
        <v>2.673</v>
      </c>
      <c r="K24" s="96">
        <v>6.8</v>
      </c>
      <c r="L24" s="96">
        <v>24.3</v>
      </c>
      <c r="M24" s="96">
        <v>64.7</v>
      </c>
      <c r="N24" s="96">
        <v>2.5</v>
      </c>
      <c r="O24" s="96">
        <v>1.1</v>
      </c>
      <c r="P24" s="96">
        <v>0.6</v>
      </c>
      <c r="Q24" s="90">
        <v>0.66</v>
      </c>
      <c r="R24" s="98">
        <v>9.5</v>
      </c>
      <c r="S24" s="87">
        <v>100</v>
      </c>
      <c r="T24" s="87">
        <v>320</v>
      </c>
      <c r="U24" s="94" t="s">
        <v>187</v>
      </c>
    </row>
    <row r="25" spans="1:21" ht="16.5" customHeight="1">
      <c r="A25" s="557"/>
      <c r="B25" s="86" t="s">
        <v>80</v>
      </c>
      <c r="C25" s="86" t="s">
        <v>509</v>
      </c>
      <c r="D25" s="86" t="s">
        <v>510</v>
      </c>
      <c r="E25" s="93">
        <v>6.9</v>
      </c>
      <c r="F25" s="88">
        <v>388</v>
      </c>
      <c r="G25" s="93">
        <v>20.8</v>
      </c>
      <c r="H25" s="93">
        <v>1</v>
      </c>
      <c r="I25" s="207">
        <v>1.4</v>
      </c>
      <c r="J25" s="97">
        <v>2.679</v>
      </c>
      <c r="K25" s="96">
        <v>1.9</v>
      </c>
      <c r="L25" s="96">
        <v>22.3</v>
      </c>
      <c r="M25" s="96">
        <v>68.3</v>
      </c>
      <c r="N25" s="96">
        <v>5</v>
      </c>
      <c r="O25" s="96">
        <v>1.5</v>
      </c>
      <c r="P25" s="96">
        <v>1</v>
      </c>
      <c r="Q25" s="90">
        <v>0.61</v>
      </c>
      <c r="R25" s="98">
        <v>9.5</v>
      </c>
      <c r="S25" s="87">
        <v>130</v>
      </c>
      <c r="T25" s="87">
        <v>410</v>
      </c>
      <c r="U25" s="94" t="s">
        <v>187</v>
      </c>
    </row>
    <row r="26" spans="1:21" ht="16.5" customHeight="1">
      <c r="A26" s="557"/>
      <c r="B26" s="86" t="s">
        <v>81</v>
      </c>
      <c r="C26" s="86" t="s">
        <v>511</v>
      </c>
      <c r="D26" s="86" t="s">
        <v>512</v>
      </c>
      <c r="E26" s="93">
        <v>7</v>
      </c>
      <c r="F26" s="88">
        <v>382</v>
      </c>
      <c r="G26" s="93">
        <v>18.7</v>
      </c>
      <c r="H26" s="93">
        <v>1.6</v>
      </c>
      <c r="I26" s="98">
        <v>1.6</v>
      </c>
      <c r="J26" s="97">
        <v>2.692</v>
      </c>
      <c r="K26" s="96">
        <v>20.1</v>
      </c>
      <c r="L26" s="96">
        <v>30.4</v>
      </c>
      <c r="M26" s="96">
        <v>41.7</v>
      </c>
      <c r="N26" s="96">
        <v>5</v>
      </c>
      <c r="O26" s="96">
        <v>1.1</v>
      </c>
      <c r="P26" s="96">
        <v>1.7</v>
      </c>
      <c r="Q26" s="90">
        <v>0.86</v>
      </c>
      <c r="R26" s="98">
        <v>9.5</v>
      </c>
      <c r="S26" s="87">
        <v>330</v>
      </c>
      <c r="T26" s="87">
        <v>1100</v>
      </c>
      <c r="U26" s="94" t="s">
        <v>187</v>
      </c>
    </row>
    <row r="27" spans="1:21" ht="16.5" customHeight="1">
      <c r="A27" s="557" t="s">
        <v>37</v>
      </c>
      <c r="B27" s="86" t="s">
        <v>82</v>
      </c>
      <c r="C27" s="86" t="s">
        <v>457</v>
      </c>
      <c r="D27" s="86" t="s">
        <v>458</v>
      </c>
      <c r="E27" s="93">
        <v>7</v>
      </c>
      <c r="F27" s="88">
        <v>344</v>
      </c>
      <c r="G27" s="93">
        <v>23.3</v>
      </c>
      <c r="H27" s="93">
        <v>2.2</v>
      </c>
      <c r="I27" s="98">
        <v>1.8</v>
      </c>
      <c r="J27" s="97">
        <v>2.66</v>
      </c>
      <c r="K27" s="96">
        <v>24.1</v>
      </c>
      <c r="L27" s="96">
        <v>28.9</v>
      </c>
      <c r="M27" s="96">
        <v>25.8</v>
      </c>
      <c r="N27" s="96">
        <v>10</v>
      </c>
      <c r="O27" s="96">
        <v>5.3</v>
      </c>
      <c r="P27" s="96">
        <v>5.9</v>
      </c>
      <c r="Q27" s="90">
        <v>0.94</v>
      </c>
      <c r="R27" s="98">
        <v>9.5</v>
      </c>
      <c r="S27" s="87">
        <v>1600</v>
      </c>
      <c r="T27" s="87">
        <v>5500</v>
      </c>
      <c r="U27" s="94" t="s">
        <v>187</v>
      </c>
    </row>
    <row r="28" spans="1:21" ht="16.5" customHeight="1">
      <c r="A28" s="557"/>
      <c r="B28" s="86" t="s">
        <v>83</v>
      </c>
      <c r="C28" s="86" t="s">
        <v>459</v>
      </c>
      <c r="D28" s="86" t="s">
        <v>460</v>
      </c>
      <c r="E28" s="93">
        <v>7</v>
      </c>
      <c r="F28" s="88">
        <v>344</v>
      </c>
      <c r="G28" s="93">
        <v>13.1</v>
      </c>
      <c r="H28" s="93">
        <v>0.6</v>
      </c>
      <c r="I28" s="207">
        <v>1.1</v>
      </c>
      <c r="J28" s="97">
        <v>2.658</v>
      </c>
      <c r="K28" s="96">
        <v>42.5</v>
      </c>
      <c r="L28" s="96">
        <v>38.4</v>
      </c>
      <c r="M28" s="96">
        <v>16.7</v>
      </c>
      <c r="N28" s="96">
        <v>1.4</v>
      </c>
      <c r="O28" s="96">
        <v>0.9</v>
      </c>
      <c r="P28" s="96">
        <v>0.1</v>
      </c>
      <c r="Q28" s="96">
        <v>1.7</v>
      </c>
      <c r="R28" s="95">
        <v>19</v>
      </c>
      <c r="S28" s="87">
        <v>820</v>
      </c>
      <c r="T28" s="87">
        <v>2600</v>
      </c>
      <c r="U28" s="264" t="s">
        <v>568</v>
      </c>
    </row>
    <row r="29" spans="1:21" ht="16.5" customHeight="1">
      <c r="A29" s="557"/>
      <c r="B29" s="86" t="s">
        <v>84</v>
      </c>
      <c r="C29" s="86" t="s">
        <v>461</v>
      </c>
      <c r="D29" s="86" t="s">
        <v>462</v>
      </c>
      <c r="E29" s="93">
        <v>7</v>
      </c>
      <c r="F29" s="88">
        <v>368</v>
      </c>
      <c r="G29" s="93">
        <v>15.3</v>
      </c>
      <c r="H29" s="93">
        <v>0.7</v>
      </c>
      <c r="I29" s="207">
        <v>1.4</v>
      </c>
      <c r="J29" s="97">
        <v>2.652</v>
      </c>
      <c r="K29" s="96">
        <v>30.5</v>
      </c>
      <c r="L29" s="96">
        <v>33.7</v>
      </c>
      <c r="M29" s="96">
        <v>24.7</v>
      </c>
      <c r="N29" s="96">
        <v>9.3</v>
      </c>
      <c r="O29" s="96">
        <v>1</v>
      </c>
      <c r="P29" s="96">
        <v>0.8</v>
      </c>
      <c r="Q29" s="96">
        <v>1.3</v>
      </c>
      <c r="R29" s="95">
        <v>19</v>
      </c>
      <c r="S29" s="87">
        <v>630</v>
      </c>
      <c r="T29" s="87">
        <v>2200</v>
      </c>
      <c r="U29" s="94" t="s">
        <v>187</v>
      </c>
    </row>
    <row r="30" spans="1:21" ht="16.5" customHeight="1">
      <c r="A30" s="557"/>
      <c r="B30" s="86" t="s">
        <v>85</v>
      </c>
      <c r="C30" s="86" t="s">
        <v>463</v>
      </c>
      <c r="D30" s="86" t="s">
        <v>464</v>
      </c>
      <c r="E30" s="93">
        <v>6.9</v>
      </c>
      <c r="F30" s="88">
        <v>381</v>
      </c>
      <c r="G30" s="93">
        <v>16.7</v>
      </c>
      <c r="H30" s="93">
        <v>0.6</v>
      </c>
      <c r="I30" s="207">
        <v>1</v>
      </c>
      <c r="J30" s="97">
        <v>2.652</v>
      </c>
      <c r="K30" s="96">
        <v>28</v>
      </c>
      <c r="L30" s="96">
        <v>42.8</v>
      </c>
      <c r="M30" s="96">
        <v>24.1</v>
      </c>
      <c r="N30" s="96">
        <v>4.3</v>
      </c>
      <c r="O30" s="96">
        <v>0.7</v>
      </c>
      <c r="P30" s="98">
        <v>0.1</v>
      </c>
      <c r="Q30" s="96">
        <v>1.3</v>
      </c>
      <c r="R30" s="98">
        <v>9.5</v>
      </c>
      <c r="S30" s="87">
        <v>520</v>
      </c>
      <c r="T30" s="87">
        <v>1700</v>
      </c>
      <c r="U30" s="94" t="s">
        <v>187</v>
      </c>
    </row>
    <row r="31" spans="1:21" ht="16.5" customHeight="1">
      <c r="A31" s="557"/>
      <c r="B31" s="86" t="s">
        <v>86</v>
      </c>
      <c r="C31" s="86" t="s">
        <v>465</v>
      </c>
      <c r="D31" s="86" t="s">
        <v>466</v>
      </c>
      <c r="E31" s="93">
        <v>6.8</v>
      </c>
      <c r="F31" s="88">
        <v>405</v>
      </c>
      <c r="G31" s="93">
        <v>27.5</v>
      </c>
      <c r="H31" s="93">
        <v>1.2</v>
      </c>
      <c r="I31" s="207">
        <v>1.9</v>
      </c>
      <c r="J31" s="97">
        <v>2.639</v>
      </c>
      <c r="K31" s="96">
        <v>1.6</v>
      </c>
      <c r="L31" s="96">
        <v>31.2</v>
      </c>
      <c r="M31" s="96">
        <v>58</v>
      </c>
      <c r="N31" s="96">
        <v>7.2</v>
      </c>
      <c r="O31" s="96">
        <v>1.2</v>
      </c>
      <c r="P31" s="98">
        <v>0.8</v>
      </c>
      <c r="Q31" s="90">
        <v>0.66</v>
      </c>
      <c r="R31" s="98">
        <v>9.5</v>
      </c>
      <c r="S31" s="87">
        <v>580</v>
      </c>
      <c r="T31" s="87">
        <v>2000</v>
      </c>
      <c r="U31" s="94" t="s">
        <v>187</v>
      </c>
    </row>
    <row r="32" spans="1:21" ht="16.5" customHeight="1">
      <c r="A32" s="552" t="s">
        <v>148</v>
      </c>
      <c r="B32" s="86" t="s">
        <v>72</v>
      </c>
      <c r="C32" s="86" t="s">
        <v>513</v>
      </c>
      <c r="D32" s="86" t="s">
        <v>514</v>
      </c>
      <c r="E32" s="93">
        <v>7.1</v>
      </c>
      <c r="F32" s="88">
        <v>133</v>
      </c>
      <c r="G32" s="93">
        <v>76.9</v>
      </c>
      <c r="H32" s="93">
        <v>20</v>
      </c>
      <c r="I32" s="98">
        <v>81.1</v>
      </c>
      <c r="J32" s="97">
        <v>2.394</v>
      </c>
      <c r="K32" s="96">
        <v>0</v>
      </c>
      <c r="L32" s="96">
        <v>0</v>
      </c>
      <c r="M32" s="96">
        <v>0.6</v>
      </c>
      <c r="N32" s="96">
        <v>5</v>
      </c>
      <c r="O32" s="96">
        <v>67.4</v>
      </c>
      <c r="P32" s="96">
        <v>27</v>
      </c>
      <c r="Q32" s="104">
        <v>0.014</v>
      </c>
      <c r="R32" s="95">
        <v>2</v>
      </c>
      <c r="S32" s="87">
        <v>4900</v>
      </c>
      <c r="T32" s="87">
        <v>16000</v>
      </c>
      <c r="U32" s="211">
        <v>6.1</v>
      </c>
    </row>
    <row r="33" spans="1:21" ht="16.5" customHeight="1">
      <c r="A33" s="551"/>
      <c r="B33" s="86" t="s">
        <v>73</v>
      </c>
      <c r="C33" s="86" t="s">
        <v>515</v>
      </c>
      <c r="D33" s="86" t="s">
        <v>516</v>
      </c>
      <c r="E33" s="93">
        <v>7</v>
      </c>
      <c r="F33" s="88">
        <v>122</v>
      </c>
      <c r="G33" s="93">
        <v>74.6</v>
      </c>
      <c r="H33" s="93">
        <v>13.2</v>
      </c>
      <c r="I33" s="98">
        <v>42</v>
      </c>
      <c r="J33" s="97">
        <v>2.502</v>
      </c>
      <c r="K33" s="96">
        <v>0</v>
      </c>
      <c r="L33" s="96">
        <v>0.2</v>
      </c>
      <c r="M33" s="96">
        <v>1.4</v>
      </c>
      <c r="N33" s="96">
        <v>4.8</v>
      </c>
      <c r="O33" s="96">
        <v>39.8</v>
      </c>
      <c r="P33" s="96">
        <v>53.8</v>
      </c>
      <c r="Q33" s="103">
        <v>0.0041</v>
      </c>
      <c r="R33" s="95">
        <v>2</v>
      </c>
      <c r="S33" s="87">
        <v>2600</v>
      </c>
      <c r="T33" s="87">
        <v>8700</v>
      </c>
      <c r="U33" s="210" t="s">
        <v>187</v>
      </c>
    </row>
    <row r="34" spans="1:21" ht="16.5" customHeight="1">
      <c r="A34" s="551"/>
      <c r="B34" s="86" t="s">
        <v>74</v>
      </c>
      <c r="C34" s="86" t="s">
        <v>517</v>
      </c>
      <c r="D34" s="86" t="s">
        <v>518</v>
      </c>
      <c r="E34" s="93">
        <v>7.2</v>
      </c>
      <c r="F34" s="88">
        <v>146</v>
      </c>
      <c r="G34" s="93">
        <v>52</v>
      </c>
      <c r="H34" s="93">
        <v>7.8</v>
      </c>
      <c r="I34" s="98">
        <v>16.6</v>
      </c>
      <c r="J34" s="97">
        <v>2.63</v>
      </c>
      <c r="K34" s="96">
        <v>12.3</v>
      </c>
      <c r="L34" s="96">
        <v>10.6</v>
      </c>
      <c r="M34" s="96">
        <v>16.9</v>
      </c>
      <c r="N34" s="96">
        <v>13.1</v>
      </c>
      <c r="O34" s="96">
        <v>22.6</v>
      </c>
      <c r="P34" s="96">
        <v>24.5</v>
      </c>
      <c r="Q34" s="90">
        <v>0.11</v>
      </c>
      <c r="R34" s="95">
        <v>19</v>
      </c>
      <c r="S34" s="87">
        <v>870</v>
      </c>
      <c r="T34" s="87">
        <v>2800</v>
      </c>
      <c r="U34" s="210" t="s">
        <v>187</v>
      </c>
    </row>
    <row r="35" spans="1:21" ht="16.5" customHeight="1">
      <c r="A35" s="551"/>
      <c r="B35" s="86" t="s">
        <v>75</v>
      </c>
      <c r="C35" s="86" t="s">
        <v>519</v>
      </c>
      <c r="D35" s="86" t="s">
        <v>520</v>
      </c>
      <c r="E35" s="93">
        <v>7</v>
      </c>
      <c r="F35" s="88">
        <v>268</v>
      </c>
      <c r="G35" s="93">
        <v>20.5</v>
      </c>
      <c r="H35" s="93">
        <v>1.4</v>
      </c>
      <c r="I35" s="98">
        <v>1.8</v>
      </c>
      <c r="J35" s="97">
        <v>2.694</v>
      </c>
      <c r="K35" s="96">
        <v>10</v>
      </c>
      <c r="L35" s="96">
        <v>52.9</v>
      </c>
      <c r="M35" s="96">
        <v>32.2</v>
      </c>
      <c r="N35" s="96">
        <v>2.5</v>
      </c>
      <c r="O35" s="96">
        <v>1.2</v>
      </c>
      <c r="P35" s="96">
        <v>1.2</v>
      </c>
      <c r="Q35" s="96">
        <v>1</v>
      </c>
      <c r="R35" s="98">
        <v>9.5</v>
      </c>
      <c r="S35" s="87">
        <v>390</v>
      </c>
      <c r="T35" s="87">
        <v>1300</v>
      </c>
      <c r="U35" s="210" t="s">
        <v>187</v>
      </c>
    </row>
    <row r="36" spans="1:21" ht="16.5" customHeight="1">
      <c r="A36" s="551"/>
      <c r="B36" s="86" t="s">
        <v>76</v>
      </c>
      <c r="C36" s="86" t="s">
        <v>513</v>
      </c>
      <c r="D36" s="86" t="s">
        <v>521</v>
      </c>
      <c r="E36" s="93">
        <v>6.9</v>
      </c>
      <c r="F36" s="88">
        <v>189</v>
      </c>
      <c r="G36" s="93">
        <v>43.2</v>
      </c>
      <c r="H36" s="93">
        <v>5.6</v>
      </c>
      <c r="I36" s="98">
        <v>11.8</v>
      </c>
      <c r="J36" s="97">
        <v>2.627</v>
      </c>
      <c r="K36" s="96">
        <v>30.1</v>
      </c>
      <c r="L36" s="96">
        <v>25.5</v>
      </c>
      <c r="M36" s="96">
        <v>22.2</v>
      </c>
      <c r="N36" s="96">
        <v>5.8</v>
      </c>
      <c r="O36" s="96">
        <v>4.8</v>
      </c>
      <c r="P36" s="96">
        <v>11.6</v>
      </c>
      <c r="Q36" s="96">
        <v>1</v>
      </c>
      <c r="R36" s="95">
        <v>19</v>
      </c>
      <c r="S36" s="87">
        <v>710</v>
      </c>
      <c r="T36" s="87">
        <v>2400</v>
      </c>
      <c r="U36" s="210" t="s">
        <v>187</v>
      </c>
    </row>
    <row r="37" spans="1:21" ht="16.5" customHeight="1">
      <c r="A37" s="551" t="s">
        <v>39</v>
      </c>
      <c r="B37" s="86" t="s">
        <v>87</v>
      </c>
      <c r="C37" s="86" t="s">
        <v>522</v>
      </c>
      <c r="D37" s="86" t="s">
        <v>523</v>
      </c>
      <c r="E37" s="93">
        <v>6.7</v>
      </c>
      <c r="F37" s="95">
        <v>116</v>
      </c>
      <c r="G37" s="93">
        <v>64.1</v>
      </c>
      <c r="H37" s="93">
        <v>9.1</v>
      </c>
      <c r="I37" s="98">
        <v>23.5</v>
      </c>
      <c r="J37" s="97">
        <v>2.602</v>
      </c>
      <c r="K37" s="96">
        <v>0</v>
      </c>
      <c r="L37" s="96">
        <v>0</v>
      </c>
      <c r="M37" s="96">
        <v>0.2</v>
      </c>
      <c r="N37" s="96">
        <v>0.1</v>
      </c>
      <c r="O37" s="96">
        <v>54</v>
      </c>
      <c r="P37" s="96">
        <v>45.7</v>
      </c>
      <c r="Q37" s="103">
        <v>0.006</v>
      </c>
      <c r="R37" s="95">
        <v>2</v>
      </c>
      <c r="S37" s="87">
        <v>83</v>
      </c>
      <c r="T37" s="87">
        <v>310</v>
      </c>
      <c r="U37" s="210" t="s">
        <v>187</v>
      </c>
    </row>
    <row r="38" spans="1:21" ht="16.5" customHeight="1">
      <c r="A38" s="551"/>
      <c r="B38" s="86" t="s">
        <v>88</v>
      </c>
      <c r="C38" s="86" t="s">
        <v>524</v>
      </c>
      <c r="D38" s="86" t="s">
        <v>525</v>
      </c>
      <c r="E38" s="93">
        <v>6.7</v>
      </c>
      <c r="F38" s="88">
        <v>289</v>
      </c>
      <c r="G38" s="93">
        <v>75.7</v>
      </c>
      <c r="H38" s="93">
        <v>14</v>
      </c>
      <c r="I38" s="98">
        <v>50.6</v>
      </c>
      <c r="J38" s="97">
        <v>2.516</v>
      </c>
      <c r="K38" s="96">
        <v>0</v>
      </c>
      <c r="L38" s="96">
        <v>0.1</v>
      </c>
      <c r="M38" s="96">
        <v>0.1</v>
      </c>
      <c r="N38" s="96">
        <v>0.1</v>
      </c>
      <c r="O38" s="96">
        <v>50.2</v>
      </c>
      <c r="P38" s="96">
        <v>49.5</v>
      </c>
      <c r="Q38" s="103">
        <v>0.0052</v>
      </c>
      <c r="R38" s="95">
        <v>2</v>
      </c>
      <c r="S38" s="87">
        <v>190</v>
      </c>
      <c r="T38" s="87">
        <v>650</v>
      </c>
      <c r="U38" s="210" t="s">
        <v>187</v>
      </c>
    </row>
    <row r="39" spans="1:21" ht="16.5" customHeight="1">
      <c r="A39" s="551"/>
      <c r="B39" s="86" t="s">
        <v>89</v>
      </c>
      <c r="C39" s="86" t="s">
        <v>526</v>
      </c>
      <c r="D39" s="86" t="s">
        <v>527</v>
      </c>
      <c r="E39" s="93">
        <v>6.7</v>
      </c>
      <c r="F39" s="95">
        <v>363</v>
      </c>
      <c r="G39" s="93">
        <v>69.9</v>
      </c>
      <c r="H39" s="93">
        <v>13.4</v>
      </c>
      <c r="I39" s="98">
        <v>46.1</v>
      </c>
      <c r="J39" s="97">
        <v>2.49</v>
      </c>
      <c r="K39" s="96">
        <v>0</v>
      </c>
      <c r="L39" s="96">
        <v>0.1</v>
      </c>
      <c r="M39" s="96">
        <v>0.2</v>
      </c>
      <c r="N39" s="96">
        <v>12.5</v>
      </c>
      <c r="O39" s="96">
        <v>38</v>
      </c>
      <c r="P39" s="96">
        <v>49.2</v>
      </c>
      <c r="Q39" s="103">
        <v>0.0054</v>
      </c>
      <c r="R39" s="95">
        <v>2</v>
      </c>
      <c r="S39" s="87">
        <v>550</v>
      </c>
      <c r="T39" s="87">
        <v>1800</v>
      </c>
      <c r="U39" s="102">
        <v>1.8</v>
      </c>
    </row>
    <row r="40" spans="1:21" ht="16.5" customHeight="1">
      <c r="A40" s="551"/>
      <c r="B40" s="86" t="s">
        <v>97</v>
      </c>
      <c r="C40" s="86" t="s">
        <v>528</v>
      </c>
      <c r="D40" s="86" t="s">
        <v>529</v>
      </c>
      <c r="E40" s="93">
        <v>6.6</v>
      </c>
      <c r="F40" s="88">
        <v>117</v>
      </c>
      <c r="G40" s="93">
        <v>69.1</v>
      </c>
      <c r="H40" s="93">
        <v>10.3</v>
      </c>
      <c r="I40" s="98">
        <v>39.9</v>
      </c>
      <c r="J40" s="97">
        <v>2.565</v>
      </c>
      <c r="K40" s="96">
        <v>1.1</v>
      </c>
      <c r="L40" s="96">
        <v>1.4</v>
      </c>
      <c r="M40" s="96">
        <v>2.3</v>
      </c>
      <c r="N40" s="96">
        <v>8</v>
      </c>
      <c r="O40" s="96">
        <v>33.6</v>
      </c>
      <c r="P40" s="96">
        <v>53.6</v>
      </c>
      <c r="Q40" s="103">
        <v>0.003</v>
      </c>
      <c r="R40" s="98">
        <v>9.5</v>
      </c>
      <c r="S40" s="87">
        <v>290</v>
      </c>
      <c r="T40" s="87">
        <v>900</v>
      </c>
      <c r="U40" s="210" t="s">
        <v>187</v>
      </c>
    </row>
    <row r="41" spans="1:21" ht="16.5" customHeight="1">
      <c r="A41" s="551"/>
      <c r="B41" s="86" t="s">
        <v>90</v>
      </c>
      <c r="C41" s="86" t="s">
        <v>528</v>
      </c>
      <c r="D41" s="86" t="s">
        <v>530</v>
      </c>
      <c r="E41" s="93">
        <v>6.7</v>
      </c>
      <c r="F41" s="95">
        <v>260</v>
      </c>
      <c r="G41" s="93">
        <v>58.3</v>
      </c>
      <c r="H41" s="93">
        <v>10.5</v>
      </c>
      <c r="I41" s="98">
        <v>26.4</v>
      </c>
      <c r="J41" s="97">
        <v>2.623</v>
      </c>
      <c r="K41" s="96">
        <v>0</v>
      </c>
      <c r="L41" s="96">
        <v>0</v>
      </c>
      <c r="M41" s="96">
        <v>0.6</v>
      </c>
      <c r="N41" s="96">
        <v>21.9</v>
      </c>
      <c r="O41" s="96">
        <v>42.1</v>
      </c>
      <c r="P41" s="96">
        <v>35.4</v>
      </c>
      <c r="Q41" s="104">
        <v>0.013</v>
      </c>
      <c r="R41" s="95">
        <v>2</v>
      </c>
      <c r="S41" s="87">
        <v>260</v>
      </c>
      <c r="T41" s="87">
        <v>820</v>
      </c>
      <c r="U41" s="210" t="s">
        <v>187</v>
      </c>
    </row>
    <row r="42" spans="1:21" ht="16.5" customHeight="1">
      <c r="A42" s="551" t="s">
        <v>40</v>
      </c>
      <c r="B42" s="105" t="s">
        <v>91</v>
      </c>
      <c r="C42" s="86" t="s">
        <v>531</v>
      </c>
      <c r="D42" s="86" t="s">
        <v>532</v>
      </c>
      <c r="E42" s="93">
        <v>6.8</v>
      </c>
      <c r="F42" s="95">
        <v>55</v>
      </c>
      <c r="G42" s="93">
        <v>79.7</v>
      </c>
      <c r="H42" s="93">
        <v>13</v>
      </c>
      <c r="I42" s="98">
        <v>35.9</v>
      </c>
      <c r="J42" s="97">
        <v>2.563</v>
      </c>
      <c r="K42" s="96">
        <v>0</v>
      </c>
      <c r="L42" s="96">
        <v>0.1</v>
      </c>
      <c r="M42" s="96">
        <v>15.3</v>
      </c>
      <c r="N42" s="96">
        <v>43.7</v>
      </c>
      <c r="O42" s="96">
        <v>17.9</v>
      </c>
      <c r="P42" s="96">
        <v>23</v>
      </c>
      <c r="Q42" s="90">
        <v>0.13</v>
      </c>
      <c r="R42" s="95">
        <v>2</v>
      </c>
      <c r="S42" s="87">
        <v>170</v>
      </c>
      <c r="T42" s="87">
        <v>580</v>
      </c>
      <c r="U42" s="264" t="s">
        <v>569</v>
      </c>
    </row>
    <row r="43" spans="1:21" ht="16.5" customHeight="1">
      <c r="A43" s="551"/>
      <c r="B43" s="86" t="s">
        <v>92</v>
      </c>
      <c r="C43" s="86" t="s">
        <v>533</v>
      </c>
      <c r="D43" s="86" t="s">
        <v>534</v>
      </c>
      <c r="E43" s="93">
        <v>7.1</v>
      </c>
      <c r="F43" s="95">
        <v>215</v>
      </c>
      <c r="G43" s="93">
        <v>60</v>
      </c>
      <c r="H43" s="93">
        <v>6.9</v>
      </c>
      <c r="I43" s="98">
        <v>16.6</v>
      </c>
      <c r="J43" s="97">
        <v>2.633</v>
      </c>
      <c r="K43" s="96">
        <v>0</v>
      </c>
      <c r="L43" s="96">
        <v>3.1</v>
      </c>
      <c r="M43" s="96">
        <v>5.3</v>
      </c>
      <c r="N43" s="96">
        <v>43.8</v>
      </c>
      <c r="O43" s="96">
        <v>24.6</v>
      </c>
      <c r="P43" s="96">
        <v>23.2</v>
      </c>
      <c r="Q43" s="104">
        <v>0.092</v>
      </c>
      <c r="R43" s="95">
        <v>2</v>
      </c>
      <c r="S43" s="87">
        <v>150</v>
      </c>
      <c r="T43" s="87">
        <v>490</v>
      </c>
      <c r="U43" s="210" t="s">
        <v>187</v>
      </c>
    </row>
    <row r="44" spans="1:21" ht="16.5" customHeight="1">
      <c r="A44" s="551"/>
      <c r="B44" s="86" t="s">
        <v>98</v>
      </c>
      <c r="C44" s="86" t="s">
        <v>535</v>
      </c>
      <c r="D44" s="86" t="s">
        <v>536</v>
      </c>
      <c r="E44" s="93">
        <v>7</v>
      </c>
      <c r="F44" s="95">
        <v>194</v>
      </c>
      <c r="G44" s="93">
        <v>70.4</v>
      </c>
      <c r="H44" s="93">
        <v>10.1</v>
      </c>
      <c r="I44" s="98">
        <v>22.7</v>
      </c>
      <c r="J44" s="97">
        <v>2.604</v>
      </c>
      <c r="K44" s="96">
        <v>0</v>
      </c>
      <c r="L44" s="96">
        <v>0.1</v>
      </c>
      <c r="M44" s="96">
        <v>2.7</v>
      </c>
      <c r="N44" s="96">
        <v>24</v>
      </c>
      <c r="O44" s="96">
        <v>53.6</v>
      </c>
      <c r="P44" s="96">
        <v>19.6</v>
      </c>
      <c r="Q44" s="104">
        <v>0.038</v>
      </c>
      <c r="R44" s="95">
        <v>2</v>
      </c>
      <c r="S44" s="87">
        <v>26</v>
      </c>
      <c r="T44" s="87">
        <v>100</v>
      </c>
      <c r="U44" s="210" t="s">
        <v>187</v>
      </c>
    </row>
    <row r="45" spans="1:21" ht="16.5" customHeight="1">
      <c r="A45" s="551"/>
      <c r="B45" s="86" t="s">
        <v>99</v>
      </c>
      <c r="C45" s="86" t="s">
        <v>537</v>
      </c>
      <c r="D45" s="86" t="s">
        <v>538</v>
      </c>
      <c r="E45" s="93">
        <v>6.7</v>
      </c>
      <c r="F45" s="95">
        <v>279</v>
      </c>
      <c r="G45" s="93">
        <v>28</v>
      </c>
      <c r="H45" s="93">
        <v>1.5</v>
      </c>
      <c r="I45" s="98">
        <v>1.8</v>
      </c>
      <c r="J45" s="97">
        <v>2.764</v>
      </c>
      <c r="K45" s="96">
        <v>16.4</v>
      </c>
      <c r="L45" s="96">
        <v>19.9</v>
      </c>
      <c r="M45" s="96">
        <v>53.6</v>
      </c>
      <c r="N45" s="96">
        <v>9</v>
      </c>
      <c r="O45" s="96">
        <v>0.9</v>
      </c>
      <c r="P45" s="96">
        <v>0.2</v>
      </c>
      <c r="Q45" s="90">
        <v>0.65</v>
      </c>
      <c r="R45" s="95">
        <v>19</v>
      </c>
      <c r="S45" s="87">
        <v>19</v>
      </c>
      <c r="T45" s="87">
        <v>67</v>
      </c>
      <c r="U45" s="210" t="s">
        <v>187</v>
      </c>
    </row>
    <row r="46" spans="1:21" ht="16.5" customHeight="1">
      <c r="A46" s="551"/>
      <c r="B46" s="86" t="s">
        <v>93</v>
      </c>
      <c r="C46" s="86" t="s">
        <v>539</v>
      </c>
      <c r="D46" s="86" t="s">
        <v>540</v>
      </c>
      <c r="E46" s="93">
        <v>6.9</v>
      </c>
      <c r="F46" s="88">
        <v>323</v>
      </c>
      <c r="G46" s="93">
        <v>34</v>
      </c>
      <c r="H46" s="93">
        <v>2.1</v>
      </c>
      <c r="I46" s="98">
        <v>3</v>
      </c>
      <c r="J46" s="97">
        <v>2.661</v>
      </c>
      <c r="K46" s="96">
        <v>0</v>
      </c>
      <c r="L46" s="96">
        <v>4.5</v>
      </c>
      <c r="M46" s="96">
        <v>65.4</v>
      </c>
      <c r="N46" s="96">
        <v>23.1</v>
      </c>
      <c r="O46" s="96">
        <v>3.4</v>
      </c>
      <c r="P46" s="96">
        <v>3.6</v>
      </c>
      <c r="Q46" s="90">
        <v>0.3</v>
      </c>
      <c r="R46" s="95">
        <v>2</v>
      </c>
      <c r="S46" s="87">
        <v>57</v>
      </c>
      <c r="T46" s="87">
        <v>240</v>
      </c>
      <c r="U46" s="210" t="s">
        <v>187</v>
      </c>
    </row>
    <row r="47" spans="1:21" ht="16.5" customHeight="1">
      <c r="A47" s="546" t="s">
        <v>151</v>
      </c>
      <c r="B47" s="86" t="s">
        <v>155</v>
      </c>
      <c r="C47" s="86" t="s">
        <v>484</v>
      </c>
      <c r="D47" s="86" t="s">
        <v>541</v>
      </c>
      <c r="E47" s="96">
        <v>7.7</v>
      </c>
      <c r="F47" s="88">
        <v>196</v>
      </c>
      <c r="G47" s="93">
        <v>21.7</v>
      </c>
      <c r="H47" s="93">
        <v>1.4</v>
      </c>
      <c r="I47" s="207">
        <v>0.7</v>
      </c>
      <c r="J47" s="97">
        <v>2.751</v>
      </c>
      <c r="K47" s="106">
        <v>0</v>
      </c>
      <c r="L47" s="93">
        <v>6.2</v>
      </c>
      <c r="M47" s="93">
        <v>59.3</v>
      </c>
      <c r="N47" s="93">
        <v>28.6</v>
      </c>
      <c r="O47" s="93">
        <v>2</v>
      </c>
      <c r="P47" s="93">
        <v>3.9</v>
      </c>
      <c r="Q47" s="90">
        <v>0.36</v>
      </c>
      <c r="R47" s="95">
        <v>2</v>
      </c>
      <c r="S47" s="87">
        <v>14</v>
      </c>
      <c r="T47" s="87">
        <v>49</v>
      </c>
      <c r="U47" s="210" t="s">
        <v>187</v>
      </c>
    </row>
    <row r="48" spans="1:21" ht="16.5" customHeight="1">
      <c r="A48" s="547"/>
      <c r="B48" s="86" t="s">
        <v>156</v>
      </c>
      <c r="C48" s="86" t="s">
        <v>484</v>
      </c>
      <c r="D48" s="86" t="s">
        <v>485</v>
      </c>
      <c r="E48" s="96">
        <v>7.6</v>
      </c>
      <c r="F48" s="88">
        <v>194</v>
      </c>
      <c r="G48" s="93">
        <v>33.1</v>
      </c>
      <c r="H48" s="93">
        <v>2.9</v>
      </c>
      <c r="I48" s="98">
        <v>1.8</v>
      </c>
      <c r="J48" s="97">
        <v>2.723</v>
      </c>
      <c r="K48" s="106">
        <v>0</v>
      </c>
      <c r="L48" s="93">
        <v>0</v>
      </c>
      <c r="M48" s="93">
        <v>1.4</v>
      </c>
      <c r="N48" s="93">
        <v>67.6</v>
      </c>
      <c r="O48" s="93">
        <v>10.2</v>
      </c>
      <c r="P48" s="93">
        <v>20.8</v>
      </c>
      <c r="Q48" s="90">
        <v>0.12</v>
      </c>
      <c r="R48" s="95">
        <v>2</v>
      </c>
      <c r="S48" s="87">
        <v>33</v>
      </c>
      <c r="T48" s="87">
        <v>98</v>
      </c>
      <c r="U48" s="210" t="s">
        <v>568</v>
      </c>
    </row>
    <row r="49" spans="1:21" ht="16.5" customHeight="1">
      <c r="A49" s="547"/>
      <c r="B49" s="86" t="s">
        <v>157</v>
      </c>
      <c r="C49" s="86" t="s">
        <v>542</v>
      </c>
      <c r="D49" s="86" t="s">
        <v>543</v>
      </c>
      <c r="E49" s="96">
        <v>7.6</v>
      </c>
      <c r="F49" s="88">
        <v>34</v>
      </c>
      <c r="G49" s="93">
        <v>47</v>
      </c>
      <c r="H49" s="93">
        <v>6.9</v>
      </c>
      <c r="I49" s="98">
        <v>12.4</v>
      </c>
      <c r="J49" s="97">
        <v>2.679</v>
      </c>
      <c r="K49" s="106">
        <v>0</v>
      </c>
      <c r="L49" s="93">
        <v>0.1</v>
      </c>
      <c r="M49" s="93">
        <v>0.2</v>
      </c>
      <c r="N49" s="93">
        <v>25.7</v>
      </c>
      <c r="O49" s="93">
        <v>35.6</v>
      </c>
      <c r="P49" s="93">
        <v>38.4</v>
      </c>
      <c r="Q49" s="104">
        <v>0.018</v>
      </c>
      <c r="R49" s="95">
        <v>2</v>
      </c>
      <c r="S49" s="87">
        <v>130</v>
      </c>
      <c r="T49" s="87">
        <v>420</v>
      </c>
      <c r="U49" s="212" t="s">
        <v>187</v>
      </c>
    </row>
    <row r="50" spans="1:21" ht="16.5" customHeight="1">
      <c r="A50" s="546" t="s">
        <v>152</v>
      </c>
      <c r="B50" s="86" t="s">
        <v>94</v>
      </c>
      <c r="C50" s="86" t="s">
        <v>544</v>
      </c>
      <c r="D50" s="86" t="s">
        <v>545</v>
      </c>
      <c r="E50" s="96">
        <v>7.5</v>
      </c>
      <c r="F50" s="88">
        <v>64</v>
      </c>
      <c r="G50" s="93">
        <v>39.6</v>
      </c>
      <c r="H50" s="93">
        <v>5.1</v>
      </c>
      <c r="I50" s="98">
        <v>10.4</v>
      </c>
      <c r="J50" s="97">
        <v>2.668</v>
      </c>
      <c r="K50" s="93">
        <v>0.9</v>
      </c>
      <c r="L50" s="93">
        <v>0.9</v>
      </c>
      <c r="M50" s="93">
        <v>6.5</v>
      </c>
      <c r="N50" s="93">
        <v>46.1</v>
      </c>
      <c r="O50" s="93">
        <v>17.7</v>
      </c>
      <c r="P50" s="93">
        <v>27.9</v>
      </c>
      <c r="Q50" s="104">
        <v>0.098</v>
      </c>
      <c r="R50" s="89">
        <v>4.75</v>
      </c>
      <c r="S50" s="87">
        <v>65</v>
      </c>
      <c r="T50" s="87">
        <v>230</v>
      </c>
      <c r="U50" s="210" t="s">
        <v>187</v>
      </c>
    </row>
    <row r="51" spans="1:21" ht="16.5" customHeight="1">
      <c r="A51" s="547"/>
      <c r="B51" s="86" t="s">
        <v>95</v>
      </c>
      <c r="C51" s="86" t="s">
        <v>546</v>
      </c>
      <c r="D51" s="86" t="s">
        <v>547</v>
      </c>
      <c r="E51" s="96">
        <v>7.6</v>
      </c>
      <c r="F51" s="208">
        <v>184</v>
      </c>
      <c r="G51" s="93">
        <v>19.9</v>
      </c>
      <c r="H51" s="93">
        <v>1</v>
      </c>
      <c r="I51" s="207">
        <v>0.9</v>
      </c>
      <c r="J51" s="97">
        <v>2.737</v>
      </c>
      <c r="K51" s="93">
        <v>0</v>
      </c>
      <c r="L51" s="93">
        <v>0.7</v>
      </c>
      <c r="M51" s="93">
        <v>58.8</v>
      </c>
      <c r="N51" s="93">
        <v>36.6</v>
      </c>
      <c r="O51" s="93">
        <v>0.1</v>
      </c>
      <c r="P51" s="93">
        <v>3.8</v>
      </c>
      <c r="Q51" s="90">
        <v>0.27</v>
      </c>
      <c r="R51" s="95">
        <v>2</v>
      </c>
      <c r="S51" s="92">
        <v>2.6</v>
      </c>
      <c r="T51" s="92">
        <v>8.9</v>
      </c>
      <c r="U51" s="210" t="s">
        <v>570</v>
      </c>
    </row>
    <row r="52" spans="1:21" ht="16.5" customHeight="1">
      <c r="A52" s="547"/>
      <c r="B52" s="86" t="s">
        <v>96</v>
      </c>
      <c r="C52" s="86" t="s">
        <v>548</v>
      </c>
      <c r="D52" s="86" t="s">
        <v>549</v>
      </c>
      <c r="E52" s="96">
        <v>7.9</v>
      </c>
      <c r="F52" s="88">
        <v>84</v>
      </c>
      <c r="G52" s="93">
        <v>21</v>
      </c>
      <c r="H52" s="93">
        <v>1.3</v>
      </c>
      <c r="I52" s="207">
        <v>1.1</v>
      </c>
      <c r="J52" s="97">
        <v>2.731</v>
      </c>
      <c r="K52" s="93">
        <v>0</v>
      </c>
      <c r="L52" s="93">
        <v>0.8</v>
      </c>
      <c r="M52" s="93">
        <v>54.6</v>
      </c>
      <c r="N52" s="93">
        <v>38.9</v>
      </c>
      <c r="O52" s="93">
        <v>1.8</v>
      </c>
      <c r="P52" s="93">
        <v>3.9</v>
      </c>
      <c r="Q52" s="90">
        <v>0.27</v>
      </c>
      <c r="R52" s="95">
        <v>2</v>
      </c>
      <c r="S52" s="92">
        <v>5.4</v>
      </c>
      <c r="T52" s="87">
        <v>17</v>
      </c>
      <c r="U52" s="210" t="s">
        <v>557</v>
      </c>
    </row>
    <row r="53" spans="1:21" ht="16.5" customHeight="1">
      <c r="A53" s="546" t="s">
        <v>149</v>
      </c>
      <c r="B53" s="86" t="s">
        <v>158</v>
      </c>
      <c r="C53" s="86" t="s">
        <v>550</v>
      </c>
      <c r="D53" s="86" t="s">
        <v>551</v>
      </c>
      <c r="E53" s="93">
        <v>8.1</v>
      </c>
      <c r="F53" s="88">
        <v>191</v>
      </c>
      <c r="G53" s="93">
        <v>26.4</v>
      </c>
      <c r="H53" s="93">
        <v>2.1</v>
      </c>
      <c r="I53" s="207">
        <v>1.6</v>
      </c>
      <c r="J53" s="97">
        <v>2.766</v>
      </c>
      <c r="K53" s="96">
        <v>0</v>
      </c>
      <c r="L53" s="96">
        <v>0.6</v>
      </c>
      <c r="M53" s="96">
        <v>1.7</v>
      </c>
      <c r="N53" s="96">
        <v>85</v>
      </c>
      <c r="O53" s="96">
        <v>6.5</v>
      </c>
      <c r="P53" s="96">
        <v>6.2</v>
      </c>
      <c r="Q53" s="90">
        <v>0.15</v>
      </c>
      <c r="R53" s="95">
        <v>2</v>
      </c>
      <c r="S53" s="87">
        <v>22</v>
      </c>
      <c r="T53" s="87">
        <v>72</v>
      </c>
      <c r="U53" s="210" t="s">
        <v>187</v>
      </c>
    </row>
    <row r="54" spans="1:21" ht="16.5" customHeight="1">
      <c r="A54" s="547"/>
      <c r="B54" s="86" t="s">
        <v>159</v>
      </c>
      <c r="C54" s="86" t="s">
        <v>552</v>
      </c>
      <c r="D54" s="86" t="s">
        <v>553</v>
      </c>
      <c r="E54" s="93">
        <v>8.2</v>
      </c>
      <c r="F54" s="88">
        <v>257</v>
      </c>
      <c r="G54" s="93">
        <v>25.7</v>
      </c>
      <c r="H54" s="93">
        <v>2</v>
      </c>
      <c r="I54" s="207">
        <v>1.5</v>
      </c>
      <c r="J54" s="97">
        <v>2.797</v>
      </c>
      <c r="K54" s="96">
        <v>0</v>
      </c>
      <c r="L54" s="96">
        <v>2.6</v>
      </c>
      <c r="M54" s="96">
        <v>3.7</v>
      </c>
      <c r="N54" s="96">
        <v>88.1</v>
      </c>
      <c r="O54" s="96">
        <v>1.4</v>
      </c>
      <c r="P54" s="96">
        <v>4.2</v>
      </c>
      <c r="Q54" s="90">
        <v>0.16</v>
      </c>
      <c r="R54" s="95">
        <v>2</v>
      </c>
      <c r="S54" s="87">
        <v>10</v>
      </c>
      <c r="T54" s="87">
        <v>39</v>
      </c>
      <c r="U54" s="210" t="s">
        <v>571</v>
      </c>
    </row>
    <row r="55" spans="1:21" ht="16.5" customHeight="1">
      <c r="A55" s="547"/>
      <c r="B55" s="86" t="s">
        <v>160</v>
      </c>
      <c r="C55" s="86" t="s">
        <v>554</v>
      </c>
      <c r="D55" s="86" t="s">
        <v>555</v>
      </c>
      <c r="E55" s="93">
        <v>8.2</v>
      </c>
      <c r="F55" s="88">
        <v>254</v>
      </c>
      <c r="G55" s="93">
        <v>26.2</v>
      </c>
      <c r="H55" s="93">
        <v>2.1</v>
      </c>
      <c r="I55" s="207">
        <v>1.2</v>
      </c>
      <c r="J55" s="97">
        <v>2.793</v>
      </c>
      <c r="K55" s="96">
        <v>0</v>
      </c>
      <c r="L55" s="96">
        <v>4.1</v>
      </c>
      <c r="M55" s="96">
        <v>5.2</v>
      </c>
      <c r="N55" s="96">
        <v>84.7</v>
      </c>
      <c r="O55" s="96">
        <v>1.8</v>
      </c>
      <c r="P55" s="96">
        <v>4.2</v>
      </c>
      <c r="Q55" s="90">
        <v>0.16</v>
      </c>
      <c r="R55" s="95">
        <v>2</v>
      </c>
      <c r="S55" s="87">
        <v>22</v>
      </c>
      <c r="T55" s="87">
        <v>74</v>
      </c>
      <c r="U55" s="212" t="s">
        <v>187</v>
      </c>
    </row>
    <row r="56" spans="1:5" ht="16.5" customHeight="1">
      <c r="A56" s="15" t="s">
        <v>411</v>
      </c>
      <c r="E56" s="51"/>
    </row>
    <row r="57" spans="1:5" ht="13.5" customHeight="1">
      <c r="A57" s="44"/>
      <c r="B57" s="9"/>
      <c r="E57" s="51"/>
    </row>
    <row r="58" spans="1:16" ht="13.5">
      <c r="A58" s="44"/>
      <c r="B58" s="9"/>
      <c r="E58" s="51"/>
      <c r="P58" s="54"/>
    </row>
    <row r="61" spans="1:8" ht="13.5">
      <c r="A61" s="59"/>
      <c r="B61" s="2"/>
      <c r="E61" s="55"/>
      <c r="F61" s="56"/>
      <c r="G61" s="11"/>
      <c r="H61" s="11"/>
    </row>
    <row r="62" spans="1:8" ht="13.5">
      <c r="A62" s="59"/>
      <c r="B62" s="2"/>
      <c r="E62" s="55"/>
      <c r="F62" s="56"/>
      <c r="G62" s="11"/>
      <c r="H62" s="11"/>
    </row>
    <row r="63" spans="1:8" ht="13.5">
      <c r="A63" s="59"/>
      <c r="B63" s="2"/>
      <c r="E63" s="55"/>
      <c r="F63" s="56"/>
      <c r="G63" s="11"/>
      <c r="H63" s="11"/>
    </row>
    <row r="64" spans="1:8" ht="13.5">
      <c r="A64" s="59"/>
      <c r="B64" s="2"/>
      <c r="E64" s="55"/>
      <c r="F64" s="56"/>
      <c r="G64" s="11"/>
      <c r="H64" s="11"/>
    </row>
    <row r="65" spans="1:8" ht="13.5">
      <c r="A65" s="59"/>
      <c r="B65" s="2"/>
      <c r="E65" s="55"/>
      <c r="F65" s="56"/>
      <c r="G65" s="11"/>
      <c r="H65" s="11"/>
    </row>
    <row r="66" spans="1:8" ht="13.5">
      <c r="A66" s="59"/>
      <c r="B66" s="2"/>
      <c r="E66" s="55"/>
      <c r="F66" s="56"/>
      <c r="G66" s="11"/>
      <c r="H66" s="11"/>
    </row>
    <row r="67" spans="1:8" ht="13.5">
      <c r="A67" s="59"/>
      <c r="B67" s="2"/>
      <c r="E67" s="55"/>
      <c r="F67" s="56"/>
      <c r="G67" s="11"/>
      <c r="H67" s="11"/>
    </row>
    <row r="68" spans="1:8" ht="13.5">
      <c r="A68" s="59"/>
      <c r="B68" s="2"/>
      <c r="E68" s="55"/>
      <c r="F68" s="56"/>
      <c r="G68" s="11"/>
      <c r="H68" s="11"/>
    </row>
    <row r="69" spans="1:8" ht="13.5">
      <c r="A69" s="59"/>
      <c r="B69" s="2"/>
      <c r="E69" s="55"/>
      <c r="F69" s="56"/>
      <c r="G69" s="11"/>
      <c r="H69" s="11"/>
    </row>
    <row r="70" spans="1:8" ht="13.5">
      <c r="A70" s="59"/>
      <c r="B70" s="2"/>
      <c r="E70" s="55"/>
      <c r="F70" s="56"/>
      <c r="G70" s="11"/>
      <c r="H70" s="11"/>
    </row>
    <row r="71" spans="1:8" ht="13.5">
      <c r="A71" s="59"/>
      <c r="B71" s="2"/>
      <c r="E71" s="55"/>
      <c r="F71" s="56"/>
      <c r="G71" s="11"/>
      <c r="H71" s="11"/>
    </row>
    <row r="72" spans="1:8" ht="13.5">
      <c r="A72" s="59"/>
      <c r="B72" s="2"/>
      <c r="E72" s="55"/>
      <c r="F72" s="56"/>
      <c r="G72" s="11"/>
      <c r="H72" s="11"/>
    </row>
    <row r="73" spans="1:8" ht="13.5">
      <c r="A73" s="59"/>
      <c r="B73" s="2"/>
      <c r="E73" s="55"/>
      <c r="F73" s="56"/>
      <c r="G73" s="11"/>
      <c r="H73" s="11"/>
    </row>
    <row r="74" spans="1:8" ht="13.5">
      <c r="A74" s="59"/>
      <c r="B74" s="2"/>
      <c r="E74" s="55"/>
      <c r="F74" s="56"/>
      <c r="G74" s="11"/>
      <c r="H74" s="11"/>
    </row>
    <row r="75" spans="1:8" ht="13.5">
      <c r="A75" s="59"/>
      <c r="B75" s="2"/>
      <c r="E75" s="55"/>
      <c r="F75" s="56"/>
      <c r="G75" s="11"/>
      <c r="H75" s="11"/>
    </row>
    <row r="76" spans="1:8" ht="13.5">
      <c r="A76" s="59"/>
      <c r="B76" s="2"/>
      <c r="E76" s="55"/>
      <c r="F76" s="56"/>
      <c r="G76" s="11"/>
      <c r="H76" s="11"/>
    </row>
    <row r="77" spans="1:8" ht="13.5">
      <c r="A77" s="59"/>
      <c r="B77" s="2"/>
      <c r="E77" s="55"/>
      <c r="F77" s="56"/>
      <c r="G77" s="11"/>
      <c r="H77" s="11"/>
    </row>
    <row r="78" spans="1:8" ht="13.5">
      <c r="A78" s="59"/>
      <c r="B78" s="2"/>
      <c r="E78" s="55"/>
      <c r="F78" s="56"/>
      <c r="G78" s="11"/>
      <c r="H78" s="11"/>
    </row>
    <row r="79" spans="1:8" ht="13.5">
      <c r="A79" s="59"/>
      <c r="B79" s="2"/>
      <c r="E79" s="55"/>
      <c r="F79" s="56"/>
      <c r="G79" s="11"/>
      <c r="H79" s="11"/>
    </row>
    <row r="80" spans="1:8" ht="13.5">
      <c r="A80" s="59"/>
      <c r="B80" s="2"/>
      <c r="E80" s="55"/>
      <c r="F80" s="56"/>
      <c r="G80" s="11"/>
      <c r="H80" s="11"/>
    </row>
    <row r="81" spans="1:8" ht="13.5">
      <c r="A81" s="59"/>
      <c r="B81" s="2"/>
      <c r="E81" s="55"/>
      <c r="F81" s="56"/>
      <c r="G81" s="11"/>
      <c r="H81" s="11"/>
    </row>
    <row r="82" spans="1:8" ht="13.5">
      <c r="A82" s="59"/>
      <c r="B82" s="2"/>
      <c r="E82" s="55"/>
      <c r="F82" s="56"/>
      <c r="G82" s="11"/>
      <c r="H82" s="11"/>
    </row>
    <row r="83" spans="1:8" ht="13.5">
      <c r="A83" s="59"/>
      <c r="B83" s="2"/>
      <c r="E83" s="55"/>
      <c r="F83" s="56"/>
      <c r="G83" s="11"/>
      <c r="H83" s="11"/>
    </row>
    <row r="84" spans="1:8" ht="13.5">
      <c r="A84" s="59"/>
      <c r="B84" s="2"/>
      <c r="E84" s="55"/>
      <c r="F84" s="56"/>
      <c r="G84" s="11"/>
      <c r="H84" s="11"/>
    </row>
    <row r="85" spans="1:8" ht="13.5">
      <c r="A85" s="59"/>
      <c r="B85" s="2"/>
      <c r="E85" s="55"/>
      <c r="F85" s="56"/>
      <c r="G85" s="11"/>
      <c r="H85" s="11"/>
    </row>
    <row r="86" spans="1:8" ht="13.5">
      <c r="A86" s="59"/>
      <c r="B86" s="2"/>
      <c r="E86" s="55"/>
      <c r="F86" s="56"/>
      <c r="G86" s="11"/>
      <c r="H86" s="11"/>
    </row>
    <row r="87" spans="1:8" ht="13.5">
      <c r="A87" s="59"/>
      <c r="B87" s="2"/>
      <c r="E87" s="55"/>
      <c r="F87" s="56"/>
      <c r="G87" s="11"/>
      <c r="H87" s="11"/>
    </row>
    <row r="88" spans="1:8" ht="13.5">
      <c r="A88" s="59"/>
      <c r="B88" s="2"/>
      <c r="E88" s="55"/>
      <c r="F88" s="56"/>
      <c r="G88" s="11"/>
      <c r="H88" s="11"/>
    </row>
    <row r="89" spans="1:8" ht="13.5">
      <c r="A89" s="59"/>
      <c r="B89" s="2"/>
      <c r="E89" s="55"/>
      <c r="F89" s="56"/>
      <c r="G89" s="11"/>
      <c r="H89" s="11"/>
    </row>
    <row r="90" spans="1:8" ht="13.5">
      <c r="A90" s="59"/>
      <c r="B90" s="2"/>
      <c r="E90" s="55"/>
      <c r="F90" s="56"/>
      <c r="G90" s="11"/>
      <c r="H90" s="11"/>
    </row>
    <row r="91" spans="1:8" ht="13.5">
      <c r="A91" s="59"/>
      <c r="B91" s="2"/>
      <c r="E91" s="55"/>
      <c r="F91" s="56"/>
      <c r="G91" s="11"/>
      <c r="H91" s="11"/>
    </row>
    <row r="92" spans="1:8" ht="13.5">
      <c r="A92" s="59"/>
      <c r="B92" s="2"/>
      <c r="E92" s="55"/>
      <c r="F92" s="56"/>
      <c r="G92" s="11"/>
      <c r="H92" s="11"/>
    </row>
    <row r="93" spans="1:8" ht="13.5">
      <c r="A93" s="59"/>
      <c r="B93" s="2"/>
      <c r="E93" s="55"/>
      <c r="F93" s="56"/>
      <c r="G93" s="11"/>
      <c r="H93" s="11"/>
    </row>
    <row r="94" spans="1:8" ht="13.5">
      <c r="A94" s="59"/>
      <c r="B94" s="2"/>
      <c r="E94" s="55"/>
      <c r="F94" s="56"/>
      <c r="G94" s="11"/>
      <c r="H94" s="11"/>
    </row>
    <row r="95" spans="1:8" ht="13.5">
      <c r="A95" s="59"/>
      <c r="B95" s="2"/>
      <c r="E95" s="55"/>
      <c r="F95" s="56"/>
      <c r="G95" s="11"/>
      <c r="H95" s="11"/>
    </row>
    <row r="96" spans="1:8" ht="13.5">
      <c r="A96" s="59"/>
      <c r="B96" s="2"/>
      <c r="E96" s="55"/>
      <c r="F96" s="56"/>
      <c r="G96" s="11"/>
      <c r="H96" s="11"/>
    </row>
    <row r="97" spans="1:7" ht="13.5">
      <c r="A97" s="576"/>
      <c r="B97" s="9"/>
      <c r="E97" s="51"/>
      <c r="F97" s="51"/>
      <c r="G97" s="12"/>
    </row>
    <row r="98" spans="1:8" ht="13.5">
      <c r="A98" s="576"/>
      <c r="B98" s="9"/>
      <c r="E98" s="51"/>
      <c r="F98" s="51"/>
      <c r="G98" s="12"/>
      <c r="H98" s="26"/>
    </row>
    <row r="99" spans="1:8" ht="13.5">
      <c r="A99" s="576"/>
      <c r="B99" s="9"/>
      <c r="E99" s="51"/>
      <c r="F99" s="51"/>
      <c r="G99" s="12"/>
      <c r="H99" s="26"/>
    </row>
    <row r="100" spans="1:8" ht="13.5">
      <c r="A100" s="576"/>
      <c r="B100" s="9"/>
      <c r="E100" s="51"/>
      <c r="F100" s="51"/>
      <c r="G100" s="12"/>
      <c r="H100" s="26"/>
    </row>
    <row r="101" spans="1:8" ht="13.5">
      <c r="A101" s="576"/>
      <c r="B101" s="9"/>
      <c r="E101" s="51"/>
      <c r="F101" s="51"/>
      <c r="G101" s="12"/>
      <c r="H101" s="26"/>
    </row>
    <row r="102" spans="1:8" ht="13.5">
      <c r="A102" s="576"/>
      <c r="B102" s="9"/>
      <c r="E102" s="51"/>
      <c r="F102" s="51"/>
      <c r="G102" s="12"/>
      <c r="H102" s="26"/>
    </row>
    <row r="103" spans="1:7" ht="13.5">
      <c r="A103" s="576"/>
      <c r="B103" s="9"/>
      <c r="E103" s="51"/>
      <c r="F103" s="51"/>
      <c r="G103" s="12"/>
    </row>
    <row r="104" spans="1:7" ht="13.5">
      <c r="A104" s="576"/>
      <c r="B104" s="9"/>
      <c r="E104" s="51"/>
      <c r="F104" s="51"/>
      <c r="G104" s="12"/>
    </row>
    <row r="105" spans="1:7" ht="13.5">
      <c r="A105" s="576"/>
      <c r="B105" s="9"/>
      <c r="E105" s="51"/>
      <c r="F105" s="51"/>
      <c r="G105" s="12"/>
    </row>
    <row r="106" spans="1:7" ht="13.5">
      <c r="A106" s="576"/>
      <c r="B106" s="9"/>
      <c r="E106" s="51"/>
      <c r="F106" s="51"/>
      <c r="G106" s="12"/>
    </row>
    <row r="107" spans="1:7" ht="13.5">
      <c r="A107" s="44"/>
      <c r="B107" s="13"/>
      <c r="E107" s="51"/>
      <c r="F107" s="57"/>
      <c r="G107" s="14"/>
    </row>
    <row r="108" spans="1:7" ht="13.5">
      <c r="A108" s="44"/>
      <c r="B108" s="13"/>
      <c r="E108" s="51"/>
      <c r="F108" s="57"/>
      <c r="G108" s="14"/>
    </row>
    <row r="109" spans="1:7" ht="13.5">
      <c r="A109" s="44"/>
      <c r="B109" s="13"/>
      <c r="E109" s="51"/>
      <c r="F109" s="57"/>
      <c r="G109" s="14"/>
    </row>
    <row r="110" spans="1:7" ht="13.5">
      <c r="A110" s="44"/>
      <c r="B110" s="13"/>
      <c r="E110" s="51"/>
      <c r="F110" s="57"/>
      <c r="G110" s="14"/>
    </row>
    <row r="111" spans="1:7" ht="13.5">
      <c r="A111" s="44"/>
      <c r="B111" s="13"/>
      <c r="E111" s="51"/>
      <c r="F111" s="57"/>
      <c r="G111" s="14"/>
    </row>
    <row r="112" spans="1:7" ht="13.5">
      <c r="A112" s="44"/>
      <c r="B112" s="13"/>
      <c r="E112" s="51"/>
      <c r="F112" s="57"/>
      <c r="G112" s="14"/>
    </row>
    <row r="113" spans="1:7" ht="13.5">
      <c r="A113" s="44"/>
      <c r="B113" s="13"/>
      <c r="E113" s="51"/>
      <c r="F113" s="57"/>
      <c r="G113" s="14"/>
    </row>
    <row r="114" spans="1:7" ht="13.5">
      <c r="A114" s="44"/>
      <c r="B114" s="13"/>
      <c r="E114" s="51"/>
      <c r="F114" s="57"/>
      <c r="G114" s="14"/>
    </row>
    <row r="115" spans="1:7" ht="13.5">
      <c r="A115" s="44"/>
      <c r="B115" s="13"/>
      <c r="E115" s="51"/>
      <c r="F115" s="57"/>
      <c r="G115" s="14"/>
    </row>
    <row r="116" spans="1:7" ht="13.5">
      <c r="A116" s="44"/>
      <c r="B116" s="13"/>
      <c r="E116" s="51"/>
      <c r="F116" s="57"/>
      <c r="G116" s="14"/>
    </row>
    <row r="117" spans="1:7" ht="13.5">
      <c r="A117" s="44"/>
      <c r="B117" s="13"/>
      <c r="E117" s="51"/>
      <c r="F117" s="57"/>
      <c r="G117" s="14"/>
    </row>
    <row r="118" spans="1:7" ht="13.5">
      <c r="A118" s="44"/>
      <c r="B118" s="13"/>
      <c r="E118" s="51"/>
      <c r="F118" s="57"/>
      <c r="G118" s="14"/>
    </row>
    <row r="119" spans="1:7" ht="13.5">
      <c r="A119" s="44"/>
      <c r="B119" s="13"/>
      <c r="E119" s="51"/>
      <c r="F119" s="57"/>
      <c r="G119" s="14"/>
    </row>
  </sheetData>
  <sheetProtection/>
  <mergeCells count="18">
    <mergeCell ref="C3:C6"/>
    <mergeCell ref="D3:D6"/>
    <mergeCell ref="A97:A106"/>
    <mergeCell ref="A37:A41"/>
    <mergeCell ref="A42:A46"/>
    <mergeCell ref="A32:A36"/>
    <mergeCell ref="A53:A55"/>
    <mergeCell ref="A7:A11"/>
    <mergeCell ref="A2:D2"/>
    <mergeCell ref="E2:U2"/>
    <mergeCell ref="A50:A52"/>
    <mergeCell ref="A47:A49"/>
    <mergeCell ref="A22:A26"/>
    <mergeCell ref="A17:A21"/>
    <mergeCell ref="A27:A31"/>
    <mergeCell ref="A12:A16"/>
    <mergeCell ref="K3:R3"/>
    <mergeCell ref="A3:B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76"/>
  <sheetViews>
    <sheetView view="pageBreakPreview" zoomScaleSheetLayoutView="100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48" sqref="N148"/>
    </sheetView>
  </sheetViews>
  <sheetFormatPr defaultColWidth="9.00390625" defaultRowHeight="13.5"/>
  <cols>
    <col min="1" max="1" width="2.875" style="31" customWidth="1"/>
    <col min="2" max="2" width="16.75390625" style="31" customWidth="1"/>
    <col min="3" max="3" width="12.625" style="31" customWidth="1"/>
    <col min="4" max="4" width="9.125" style="32" customWidth="1"/>
    <col min="5" max="7" width="9.00390625" style="15" customWidth="1"/>
    <col min="8" max="8" width="14.625" style="15" customWidth="1"/>
    <col min="9" max="9" width="28.875" style="33" customWidth="1"/>
    <col min="10" max="10" width="20.375" style="33" customWidth="1"/>
    <col min="11" max="11" width="8.625" style="34" customWidth="1"/>
    <col min="12" max="12" width="11.125" style="35" customWidth="1"/>
    <col min="13" max="13" width="15.625" style="36" customWidth="1"/>
    <col min="14" max="14" width="21.625" style="37" customWidth="1"/>
    <col min="15" max="15" width="9.875" style="37" customWidth="1"/>
    <col min="16" max="16" width="11.125" style="35" customWidth="1"/>
    <col min="17" max="18" width="11.125" style="33" customWidth="1"/>
    <col min="19" max="19" width="12.625" style="33" customWidth="1"/>
  </cols>
  <sheetData>
    <row r="1" spans="1:19" s="15" customFormat="1" ht="18" customHeight="1">
      <c r="A1" s="597" t="s">
        <v>1</v>
      </c>
      <c r="B1" s="598"/>
      <c r="C1" s="556" t="s">
        <v>341</v>
      </c>
      <c r="D1" s="629" t="s">
        <v>161</v>
      </c>
      <c r="E1" s="630" t="s">
        <v>175</v>
      </c>
      <c r="F1" s="630" t="s">
        <v>176</v>
      </c>
      <c r="G1" s="556" t="s">
        <v>177</v>
      </c>
      <c r="H1" s="556" t="s">
        <v>178</v>
      </c>
      <c r="I1" s="556" t="s">
        <v>179</v>
      </c>
      <c r="J1" s="556" t="s">
        <v>180</v>
      </c>
      <c r="K1" s="642" t="s">
        <v>162</v>
      </c>
      <c r="L1" s="635" t="s">
        <v>163</v>
      </c>
      <c r="M1" s="633" t="s">
        <v>181</v>
      </c>
      <c r="N1" s="633"/>
      <c r="O1" s="634"/>
      <c r="P1" s="638" t="s">
        <v>165</v>
      </c>
      <c r="Q1" s="633"/>
      <c r="R1" s="633"/>
      <c r="S1" s="633" t="s">
        <v>182</v>
      </c>
    </row>
    <row r="2" spans="1:22" s="15" customFormat="1" ht="18" customHeight="1">
      <c r="A2" s="599"/>
      <c r="B2" s="600"/>
      <c r="C2" s="556"/>
      <c r="D2" s="629"/>
      <c r="E2" s="631"/>
      <c r="F2" s="631"/>
      <c r="G2" s="556"/>
      <c r="H2" s="556"/>
      <c r="I2" s="556"/>
      <c r="J2" s="556"/>
      <c r="K2" s="643"/>
      <c r="L2" s="636"/>
      <c r="M2" s="271" t="s">
        <v>164</v>
      </c>
      <c r="N2" s="252" t="s">
        <v>166</v>
      </c>
      <c r="O2" s="252" t="s">
        <v>340</v>
      </c>
      <c r="P2" s="272" t="s">
        <v>167</v>
      </c>
      <c r="Q2" s="273" t="s">
        <v>18</v>
      </c>
      <c r="R2" s="273" t="s">
        <v>19</v>
      </c>
      <c r="S2" s="556"/>
      <c r="U2" s="81"/>
      <c r="V2" s="81"/>
    </row>
    <row r="3" spans="1:19" s="76" customFormat="1" ht="13.5" customHeight="1">
      <c r="A3" s="653" t="s">
        <v>635</v>
      </c>
      <c r="B3" s="588" t="s">
        <v>342</v>
      </c>
      <c r="C3" s="588" t="s">
        <v>343</v>
      </c>
      <c r="D3" s="647">
        <v>41976</v>
      </c>
      <c r="E3" s="274" t="s">
        <v>299</v>
      </c>
      <c r="F3" s="269" t="s">
        <v>300</v>
      </c>
      <c r="G3" s="269" t="s">
        <v>300</v>
      </c>
      <c r="H3" s="269" t="s">
        <v>300</v>
      </c>
      <c r="I3" s="275" t="s">
        <v>188</v>
      </c>
      <c r="J3" s="274" t="s">
        <v>330</v>
      </c>
      <c r="K3" s="276" t="s">
        <v>331</v>
      </c>
      <c r="L3" s="437">
        <f>73.7/1000</f>
        <v>0.0737</v>
      </c>
      <c r="M3" s="275" t="s">
        <v>188</v>
      </c>
      <c r="N3" s="269" t="s">
        <v>188</v>
      </c>
      <c r="O3" s="269" t="s">
        <v>188</v>
      </c>
      <c r="P3" s="384">
        <f>+Q3+R3</f>
        <v>333</v>
      </c>
      <c r="Q3" s="426">
        <v>73</v>
      </c>
      <c r="R3" s="412">
        <v>260</v>
      </c>
      <c r="S3" s="269" t="s">
        <v>188</v>
      </c>
    </row>
    <row r="4" spans="1:19" s="76" customFormat="1" ht="13.5">
      <c r="A4" s="654"/>
      <c r="B4" s="594"/>
      <c r="C4" s="594"/>
      <c r="D4" s="648"/>
      <c r="E4" s="279" t="s">
        <v>243</v>
      </c>
      <c r="F4" s="279" t="s">
        <v>259</v>
      </c>
      <c r="G4" s="279" t="s">
        <v>260</v>
      </c>
      <c r="H4" s="279" t="s">
        <v>261</v>
      </c>
      <c r="I4" s="280" t="s">
        <v>262</v>
      </c>
      <c r="J4" s="279" t="s">
        <v>194</v>
      </c>
      <c r="K4" s="281">
        <v>134</v>
      </c>
      <c r="L4" s="282">
        <f>10.3/1000</f>
        <v>0.0103</v>
      </c>
      <c r="M4" s="283" t="s">
        <v>332</v>
      </c>
      <c r="N4" s="270" t="s">
        <v>188</v>
      </c>
      <c r="O4" s="270" t="s">
        <v>188</v>
      </c>
      <c r="P4" s="375">
        <f>+Q4+R4</f>
        <v>149</v>
      </c>
      <c r="Q4" s="444">
        <v>39</v>
      </c>
      <c r="R4" s="377">
        <v>110</v>
      </c>
      <c r="S4" s="484" t="s">
        <v>188</v>
      </c>
    </row>
    <row r="5" spans="1:19" s="76" customFormat="1" ht="13.5">
      <c r="A5" s="654"/>
      <c r="B5" s="594"/>
      <c r="C5" s="594"/>
      <c r="D5" s="648"/>
      <c r="E5" s="279" t="s">
        <v>243</v>
      </c>
      <c r="F5" s="279" t="s">
        <v>259</v>
      </c>
      <c r="G5" s="279" t="s">
        <v>668</v>
      </c>
      <c r="H5" s="279" t="s">
        <v>669</v>
      </c>
      <c r="I5" s="280" t="s">
        <v>670</v>
      </c>
      <c r="J5" s="279" t="s">
        <v>676</v>
      </c>
      <c r="K5" s="622">
        <v>70</v>
      </c>
      <c r="L5" s="607">
        <f>37.6/1000</f>
        <v>0.0376</v>
      </c>
      <c r="M5" s="608" t="s">
        <v>681</v>
      </c>
      <c r="N5" s="609" t="s">
        <v>188</v>
      </c>
      <c r="O5" s="609" t="s">
        <v>188</v>
      </c>
      <c r="P5" s="623">
        <f aca="true" t="shared" si="0" ref="P5:P19">SUM(Q5:R5)</f>
        <v>16.8</v>
      </c>
      <c r="Q5" s="628">
        <v>3.8</v>
      </c>
      <c r="R5" s="601">
        <v>13</v>
      </c>
      <c r="S5" s="621" t="s">
        <v>188</v>
      </c>
    </row>
    <row r="6" spans="1:19" s="76" customFormat="1" ht="13.5">
      <c r="A6" s="654"/>
      <c r="B6" s="594"/>
      <c r="C6" s="594"/>
      <c r="D6" s="648"/>
      <c r="E6" s="279" t="s">
        <v>243</v>
      </c>
      <c r="F6" s="279" t="s">
        <v>259</v>
      </c>
      <c r="G6" s="279" t="s">
        <v>274</v>
      </c>
      <c r="H6" s="279" t="s">
        <v>275</v>
      </c>
      <c r="I6" s="280" t="s">
        <v>276</v>
      </c>
      <c r="J6" s="279" t="s">
        <v>680</v>
      </c>
      <c r="K6" s="602"/>
      <c r="L6" s="602"/>
      <c r="M6" s="602"/>
      <c r="N6" s="602"/>
      <c r="O6" s="602"/>
      <c r="P6" s="624"/>
      <c r="Q6" s="602"/>
      <c r="R6" s="602"/>
      <c r="S6" s="618"/>
    </row>
    <row r="7" spans="1:19" s="76" customFormat="1" ht="13.5">
      <c r="A7" s="654"/>
      <c r="B7" s="594"/>
      <c r="C7" s="594"/>
      <c r="D7" s="648"/>
      <c r="E7" s="279" t="s">
        <v>243</v>
      </c>
      <c r="F7" s="279" t="s">
        <v>259</v>
      </c>
      <c r="G7" s="279" t="s">
        <v>668</v>
      </c>
      <c r="H7" s="279" t="s">
        <v>672</v>
      </c>
      <c r="I7" s="280" t="s">
        <v>673</v>
      </c>
      <c r="J7" s="458" t="s">
        <v>677</v>
      </c>
      <c r="K7" s="602"/>
      <c r="L7" s="602"/>
      <c r="M7" s="602"/>
      <c r="N7" s="602"/>
      <c r="O7" s="602"/>
      <c r="P7" s="624"/>
      <c r="Q7" s="602"/>
      <c r="R7" s="602"/>
      <c r="S7" s="618"/>
    </row>
    <row r="8" spans="1:19" s="76" customFormat="1" ht="13.5">
      <c r="A8" s="654"/>
      <c r="B8" s="594"/>
      <c r="C8" s="594"/>
      <c r="D8" s="648"/>
      <c r="E8" s="279" t="s">
        <v>243</v>
      </c>
      <c r="F8" s="279" t="s">
        <v>259</v>
      </c>
      <c r="G8" s="279" t="s">
        <v>274</v>
      </c>
      <c r="H8" s="279" t="s">
        <v>671</v>
      </c>
      <c r="I8" s="280" t="s">
        <v>675</v>
      </c>
      <c r="J8" s="279" t="s">
        <v>679</v>
      </c>
      <c r="K8" s="602"/>
      <c r="L8" s="602"/>
      <c r="M8" s="602"/>
      <c r="N8" s="602"/>
      <c r="O8" s="602"/>
      <c r="P8" s="624"/>
      <c r="Q8" s="602"/>
      <c r="R8" s="602"/>
      <c r="S8" s="618"/>
    </row>
    <row r="9" spans="1:19" s="76" customFormat="1" ht="13.5">
      <c r="A9" s="654"/>
      <c r="B9" s="594"/>
      <c r="C9" s="594"/>
      <c r="D9" s="648"/>
      <c r="E9" s="279" t="s">
        <v>243</v>
      </c>
      <c r="F9" s="279" t="s">
        <v>259</v>
      </c>
      <c r="G9" s="279" t="s">
        <v>668</v>
      </c>
      <c r="H9" s="279" t="s">
        <v>672</v>
      </c>
      <c r="I9" s="280" t="s">
        <v>674</v>
      </c>
      <c r="J9" s="279" t="s">
        <v>678</v>
      </c>
      <c r="K9" s="573"/>
      <c r="L9" s="573"/>
      <c r="M9" s="573"/>
      <c r="N9" s="573"/>
      <c r="O9" s="573"/>
      <c r="P9" s="625"/>
      <c r="Q9" s="573"/>
      <c r="R9" s="573"/>
      <c r="S9" s="619"/>
    </row>
    <row r="10" spans="1:19" s="76" customFormat="1" ht="13.5">
      <c r="A10" s="654"/>
      <c r="B10" s="594"/>
      <c r="C10" s="594"/>
      <c r="D10" s="648"/>
      <c r="E10" s="244" t="s">
        <v>243</v>
      </c>
      <c r="F10" s="237" t="s">
        <v>244</v>
      </c>
      <c r="G10" s="237" t="s">
        <v>245</v>
      </c>
      <c r="H10" s="237" t="s">
        <v>658</v>
      </c>
      <c r="I10" s="287" t="s">
        <v>659</v>
      </c>
      <c r="J10" s="244" t="s">
        <v>573</v>
      </c>
      <c r="K10" s="288">
        <v>494</v>
      </c>
      <c r="L10" s="289">
        <f>75.1/1000</f>
        <v>0.0751</v>
      </c>
      <c r="M10" s="254" t="s">
        <v>335</v>
      </c>
      <c r="N10" s="86" t="s">
        <v>188</v>
      </c>
      <c r="O10" s="86" t="s">
        <v>188</v>
      </c>
      <c r="P10" s="391">
        <f t="shared" si="0"/>
        <v>21.7</v>
      </c>
      <c r="Q10" s="379">
        <v>5.7</v>
      </c>
      <c r="R10" s="380">
        <v>16</v>
      </c>
      <c r="S10" s="86" t="s">
        <v>188</v>
      </c>
    </row>
    <row r="11" spans="1:19" s="76" customFormat="1" ht="13.5">
      <c r="A11" s="654"/>
      <c r="B11" s="594"/>
      <c r="C11" s="594"/>
      <c r="D11" s="648"/>
      <c r="E11" s="244" t="s">
        <v>252</v>
      </c>
      <c r="F11" s="237" t="s">
        <v>253</v>
      </c>
      <c r="G11" s="237" t="s">
        <v>254</v>
      </c>
      <c r="H11" s="237" t="s">
        <v>255</v>
      </c>
      <c r="I11" s="287" t="s">
        <v>256</v>
      </c>
      <c r="J11" s="244" t="s">
        <v>198</v>
      </c>
      <c r="K11" s="88">
        <v>65</v>
      </c>
      <c r="L11" s="290">
        <v>0.086</v>
      </c>
      <c r="M11" s="254" t="s">
        <v>335</v>
      </c>
      <c r="N11" s="291" t="s">
        <v>188</v>
      </c>
      <c r="O11" s="367" t="s">
        <v>346</v>
      </c>
      <c r="P11" s="391">
        <f t="shared" si="0"/>
        <v>31.2</v>
      </c>
      <c r="Q11" s="379">
        <v>7.2</v>
      </c>
      <c r="R11" s="381">
        <v>24</v>
      </c>
      <c r="S11" s="212" t="s">
        <v>188</v>
      </c>
    </row>
    <row r="12" spans="1:19" s="76" customFormat="1" ht="13.5">
      <c r="A12" s="654"/>
      <c r="B12" s="594"/>
      <c r="C12" s="594"/>
      <c r="D12" s="648"/>
      <c r="E12" s="244" t="s">
        <v>226</v>
      </c>
      <c r="F12" s="237" t="s">
        <v>230</v>
      </c>
      <c r="G12" s="237" t="s">
        <v>231</v>
      </c>
      <c r="H12" s="237" t="s">
        <v>231</v>
      </c>
      <c r="I12" s="287" t="s">
        <v>232</v>
      </c>
      <c r="J12" s="244" t="s">
        <v>196</v>
      </c>
      <c r="K12" s="288">
        <v>6</v>
      </c>
      <c r="L12" s="293">
        <f>19.9/1000</f>
        <v>0.019899999999999998</v>
      </c>
      <c r="M12" s="254" t="s">
        <v>574</v>
      </c>
      <c r="N12" s="86" t="s">
        <v>188</v>
      </c>
      <c r="O12" s="86" t="s">
        <v>188</v>
      </c>
      <c r="P12" s="391">
        <f t="shared" si="0"/>
        <v>19.3</v>
      </c>
      <c r="Q12" s="379">
        <v>5.3</v>
      </c>
      <c r="R12" s="381">
        <v>14</v>
      </c>
      <c r="S12" s="477" t="s">
        <v>188</v>
      </c>
    </row>
    <row r="13" spans="1:19" s="76" customFormat="1" ht="13.5">
      <c r="A13" s="654"/>
      <c r="B13" s="594"/>
      <c r="C13" s="594"/>
      <c r="D13" s="648"/>
      <c r="E13" s="234" t="s">
        <v>226</v>
      </c>
      <c r="F13" s="235" t="s">
        <v>230</v>
      </c>
      <c r="G13" s="235" t="s">
        <v>228</v>
      </c>
      <c r="H13" s="235" t="s">
        <v>228</v>
      </c>
      <c r="I13" s="236" t="s">
        <v>238</v>
      </c>
      <c r="J13" s="292" t="s">
        <v>203</v>
      </c>
      <c r="K13" s="288">
        <v>7</v>
      </c>
      <c r="L13" s="289">
        <f>11.2/1000</f>
        <v>0.0112</v>
      </c>
      <c r="M13" s="254" t="s">
        <v>336</v>
      </c>
      <c r="N13" s="291" t="s">
        <v>188</v>
      </c>
      <c r="O13" s="86" t="s">
        <v>188</v>
      </c>
      <c r="P13" s="378">
        <f t="shared" si="0"/>
        <v>14</v>
      </c>
      <c r="Q13" s="382" t="s">
        <v>645</v>
      </c>
      <c r="R13" s="381">
        <v>14</v>
      </c>
      <c r="S13" s="477" t="s">
        <v>188</v>
      </c>
    </row>
    <row r="14" spans="1:19" s="76" customFormat="1" ht="13.5" customHeight="1">
      <c r="A14" s="654"/>
      <c r="B14" s="594"/>
      <c r="C14" s="594"/>
      <c r="D14" s="648"/>
      <c r="E14" s="234" t="s">
        <v>226</v>
      </c>
      <c r="F14" s="237" t="s">
        <v>230</v>
      </c>
      <c r="G14" s="237" t="s">
        <v>231</v>
      </c>
      <c r="H14" s="237" t="s">
        <v>248</v>
      </c>
      <c r="I14" s="287" t="s">
        <v>249</v>
      </c>
      <c r="J14" s="244" t="s">
        <v>197</v>
      </c>
      <c r="K14" s="245">
        <v>38</v>
      </c>
      <c r="L14" s="289">
        <f>44.6/1000</f>
        <v>0.0446</v>
      </c>
      <c r="M14" s="254" t="s">
        <v>574</v>
      </c>
      <c r="N14" s="291" t="s">
        <v>188</v>
      </c>
      <c r="O14" s="86" t="s">
        <v>188</v>
      </c>
      <c r="P14" s="391">
        <f t="shared" si="0"/>
        <v>13.8</v>
      </c>
      <c r="Q14" s="383">
        <v>2.8</v>
      </c>
      <c r="R14" s="378">
        <v>11</v>
      </c>
      <c r="S14" s="477" t="s">
        <v>188</v>
      </c>
    </row>
    <row r="15" spans="1:19" s="76" customFormat="1" ht="13.5" customHeight="1">
      <c r="A15" s="654"/>
      <c r="B15" s="594"/>
      <c r="C15" s="594"/>
      <c r="D15" s="648"/>
      <c r="E15" s="234" t="s">
        <v>226</v>
      </c>
      <c r="F15" s="235" t="s">
        <v>230</v>
      </c>
      <c r="G15" s="235" t="s">
        <v>233</v>
      </c>
      <c r="H15" s="235" t="s">
        <v>233</v>
      </c>
      <c r="I15" s="287" t="s">
        <v>234</v>
      </c>
      <c r="J15" s="292" t="s">
        <v>404</v>
      </c>
      <c r="K15" s="245">
        <v>1</v>
      </c>
      <c r="L15" s="289">
        <f>89.6/1000</f>
        <v>0.0896</v>
      </c>
      <c r="M15" s="254" t="s">
        <v>574</v>
      </c>
      <c r="N15" s="255" t="s">
        <v>363</v>
      </c>
      <c r="O15" s="367" t="s">
        <v>774</v>
      </c>
      <c r="P15" s="378">
        <f t="shared" si="0"/>
        <v>43</v>
      </c>
      <c r="Q15" s="445">
        <v>11</v>
      </c>
      <c r="R15" s="378">
        <v>32</v>
      </c>
      <c r="S15" s="477" t="s">
        <v>188</v>
      </c>
    </row>
    <row r="16" spans="1:19" s="76" customFormat="1" ht="13.5">
      <c r="A16" s="654"/>
      <c r="B16" s="594"/>
      <c r="C16" s="594"/>
      <c r="D16" s="648"/>
      <c r="E16" s="518" t="s">
        <v>226</v>
      </c>
      <c r="F16" s="518" t="s">
        <v>281</v>
      </c>
      <c r="G16" s="518" t="s">
        <v>285</v>
      </c>
      <c r="H16" s="519" t="s">
        <v>286</v>
      </c>
      <c r="I16" s="520" t="s">
        <v>287</v>
      </c>
      <c r="J16" s="521" t="s">
        <v>195</v>
      </c>
      <c r="K16" s="522">
        <v>3</v>
      </c>
      <c r="L16" s="523">
        <f>14.5/1000</f>
        <v>0.0145</v>
      </c>
      <c r="M16" s="524" t="s">
        <v>335</v>
      </c>
      <c r="N16" s="525" t="s">
        <v>188</v>
      </c>
      <c r="O16" s="525" t="s">
        <v>188</v>
      </c>
      <c r="P16" s="526">
        <f t="shared" si="0"/>
        <v>15.9</v>
      </c>
      <c r="Q16" s="527">
        <v>2.9</v>
      </c>
      <c r="R16" s="528">
        <v>13</v>
      </c>
      <c r="S16" s="529" t="s">
        <v>188</v>
      </c>
    </row>
    <row r="17" spans="1:19" s="76" customFormat="1" ht="13.5">
      <c r="A17" s="654"/>
      <c r="B17" s="594"/>
      <c r="C17" s="594"/>
      <c r="D17" s="648"/>
      <c r="E17" s="518" t="s">
        <v>226</v>
      </c>
      <c r="F17" s="518" t="s">
        <v>281</v>
      </c>
      <c r="G17" s="518" t="s">
        <v>282</v>
      </c>
      <c r="H17" s="518" t="s">
        <v>283</v>
      </c>
      <c r="I17" s="520" t="s">
        <v>284</v>
      </c>
      <c r="J17" s="518" t="s">
        <v>199</v>
      </c>
      <c r="K17" s="530">
        <v>7</v>
      </c>
      <c r="L17" s="531">
        <f>46.5/1000</f>
        <v>0.0465</v>
      </c>
      <c r="M17" s="519" t="s">
        <v>335</v>
      </c>
      <c r="N17" s="525" t="s">
        <v>188</v>
      </c>
      <c r="O17" s="525" t="s">
        <v>188</v>
      </c>
      <c r="P17" s="526">
        <f t="shared" si="0"/>
        <v>17.9</v>
      </c>
      <c r="Q17" s="527">
        <v>4.9</v>
      </c>
      <c r="R17" s="528">
        <v>13</v>
      </c>
      <c r="S17" s="525" t="s">
        <v>188</v>
      </c>
    </row>
    <row r="18" spans="1:19" s="76" customFormat="1" ht="13.5">
      <c r="A18" s="654"/>
      <c r="B18" s="595"/>
      <c r="C18" s="595"/>
      <c r="D18" s="649"/>
      <c r="E18" s="228" t="s">
        <v>297</v>
      </c>
      <c r="F18" s="229" t="s">
        <v>298</v>
      </c>
      <c r="G18" s="229" t="s">
        <v>298</v>
      </c>
      <c r="H18" s="229" t="s">
        <v>298</v>
      </c>
      <c r="I18" s="229" t="s">
        <v>188</v>
      </c>
      <c r="J18" s="230" t="s">
        <v>401</v>
      </c>
      <c r="K18" s="277" t="s">
        <v>331</v>
      </c>
      <c r="L18" s="455">
        <v>0.238</v>
      </c>
      <c r="M18" s="229" t="s">
        <v>188</v>
      </c>
      <c r="N18" s="278" t="s">
        <v>188</v>
      </c>
      <c r="O18" s="278" t="s">
        <v>188</v>
      </c>
      <c r="P18" s="231">
        <f t="shared" si="0"/>
        <v>51</v>
      </c>
      <c r="Q18" s="232">
        <v>12</v>
      </c>
      <c r="R18" s="233">
        <v>39</v>
      </c>
      <c r="S18" s="278" t="s">
        <v>188</v>
      </c>
    </row>
    <row r="19" spans="1:19" s="76" customFormat="1" ht="13.5" customHeight="1">
      <c r="A19" s="654"/>
      <c r="B19" s="588" t="s">
        <v>344</v>
      </c>
      <c r="C19" s="588" t="s">
        <v>345</v>
      </c>
      <c r="D19" s="650" t="s">
        <v>575</v>
      </c>
      <c r="E19" s="274" t="s">
        <v>299</v>
      </c>
      <c r="F19" s="269" t="s">
        <v>300</v>
      </c>
      <c r="G19" s="269" t="s">
        <v>300</v>
      </c>
      <c r="H19" s="269" t="s">
        <v>300</v>
      </c>
      <c r="I19" s="275" t="s">
        <v>187</v>
      </c>
      <c r="J19" s="274" t="s">
        <v>330</v>
      </c>
      <c r="K19" s="276" t="s">
        <v>331</v>
      </c>
      <c r="L19" s="438">
        <f>57.4/1000</f>
        <v>0.0574</v>
      </c>
      <c r="M19" s="275" t="s">
        <v>188</v>
      </c>
      <c r="N19" s="269" t="s">
        <v>188</v>
      </c>
      <c r="O19" s="269" t="s">
        <v>188</v>
      </c>
      <c r="P19" s="384">
        <f t="shared" si="0"/>
        <v>91</v>
      </c>
      <c r="Q19" s="427">
        <v>23</v>
      </c>
      <c r="R19" s="384">
        <v>68</v>
      </c>
      <c r="S19" s="483" t="s">
        <v>406</v>
      </c>
    </row>
    <row r="20" spans="1:19" s="76" customFormat="1" ht="13.5">
      <c r="A20" s="654"/>
      <c r="B20" s="589"/>
      <c r="C20" s="589"/>
      <c r="D20" s="651"/>
      <c r="E20" s="284" t="s">
        <v>243</v>
      </c>
      <c r="F20" s="285" t="s">
        <v>259</v>
      </c>
      <c r="G20" s="284" t="s">
        <v>581</v>
      </c>
      <c r="H20" s="284" t="s">
        <v>582</v>
      </c>
      <c r="I20" s="305" t="s">
        <v>583</v>
      </c>
      <c r="J20" s="284" t="s">
        <v>584</v>
      </c>
      <c r="K20" s="281">
        <v>600</v>
      </c>
      <c r="L20" s="297">
        <f>29.6/1000</f>
        <v>0.0296</v>
      </c>
      <c r="M20" s="296" t="s">
        <v>332</v>
      </c>
      <c r="N20" s="270" t="s">
        <v>188</v>
      </c>
      <c r="O20" s="270" t="s">
        <v>188</v>
      </c>
      <c r="P20" s="497">
        <v>72</v>
      </c>
      <c r="Q20" s="385">
        <v>18</v>
      </c>
      <c r="R20" s="375">
        <v>54</v>
      </c>
      <c r="S20" s="484" t="s">
        <v>188</v>
      </c>
    </row>
    <row r="21" spans="1:19" s="76" customFormat="1" ht="13.5">
      <c r="A21" s="654"/>
      <c r="B21" s="589"/>
      <c r="C21" s="589"/>
      <c r="D21" s="651"/>
      <c r="E21" s="303" t="s">
        <v>243</v>
      </c>
      <c r="F21" s="304" t="s">
        <v>259</v>
      </c>
      <c r="G21" s="304" t="s">
        <v>580</v>
      </c>
      <c r="H21" s="304" t="s">
        <v>580</v>
      </c>
      <c r="I21" s="305" t="s">
        <v>704</v>
      </c>
      <c r="J21" s="284" t="s">
        <v>705</v>
      </c>
      <c r="K21" s="281">
        <v>292</v>
      </c>
      <c r="L21" s="282">
        <f>15.6/1000</f>
        <v>0.0156</v>
      </c>
      <c r="M21" s="283" t="s">
        <v>332</v>
      </c>
      <c r="N21" s="270" t="s">
        <v>188</v>
      </c>
      <c r="O21" s="270" t="s">
        <v>188</v>
      </c>
      <c r="P21" s="388" t="s">
        <v>186</v>
      </c>
      <c r="Q21" s="389" t="s">
        <v>412</v>
      </c>
      <c r="R21" s="390" t="s">
        <v>646</v>
      </c>
      <c r="S21" s="484" t="s">
        <v>188</v>
      </c>
    </row>
    <row r="22" spans="1:19" s="76" customFormat="1" ht="13.5">
      <c r="A22" s="654"/>
      <c r="B22" s="589"/>
      <c r="C22" s="589"/>
      <c r="D22" s="651"/>
      <c r="E22" s="279" t="s">
        <v>243</v>
      </c>
      <c r="F22" s="279" t="s">
        <v>259</v>
      </c>
      <c r="G22" s="279" t="s">
        <v>263</v>
      </c>
      <c r="H22" s="279" t="s">
        <v>264</v>
      </c>
      <c r="I22" s="280" t="s">
        <v>262</v>
      </c>
      <c r="J22" s="294" t="s">
        <v>194</v>
      </c>
      <c r="K22" s="295">
        <v>196</v>
      </c>
      <c r="L22" s="297">
        <f>61/1000</f>
        <v>0.061</v>
      </c>
      <c r="M22" s="296" t="s">
        <v>332</v>
      </c>
      <c r="N22" s="270" t="s">
        <v>188</v>
      </c>
      <c r="O22" s="270" t="s">
        <v>188</v>
      </c>
      <c r="P22" s="450">
        <f>SUM(Q22:R22)</f>
        <v>8.399999999999999</v>
      </c>
      <c r="Q22" s="450">
        <v>2.3</v>
      </c>
      <c r="R22" s="450">
        <v>6.1</v>
      </c>
      <c r="S22" s="484" t="s">
        <v>406</v>
      </c>
    </row>
    <row r="23" spans="1:19" s="76" customFormat="1" ht="13.5">
      <c r="A23" s="654"/>
      <c r="B23" s="589"/>
      <c r="C23" s="589"/>
      <c r="D23" s="651"/>
      <c r="E23" s="279" t="s">
        <v>243</v>
      </c>
      <c r="F23" s="279" t="s">
        <v>259</v>
      </c>
      <c r="G23" s="279" t="s">
        <v>260</v>
      </c>
      <c r="H23" s="279" t="s">
        <v>261</v>
      </c>
      <c r="I23" s="280" t="s">
        <v>262</v>
      </c>
      <c r="J23" s="294" t="s">
        <v>194</v>
      </c>
      <c r="K23" s="301">
        <v>340</v>
      </c>
      <c r="L23" s="302">
        <f>58.1/1000</f>
        <v>0.0581</v>
      </c>
      <c r="M23" s="296" t="s">
        <v>332</v>
      </c>
      <c r="N23" s="270" t="s">
        <v>188</v>
      </c>
      <c r="O23" s="270" t="s">
        <v>188</v>
      </c>
      <c r="P23" s="509">
        <f>SUM(Q23:R23)</f>
        <v>31.4</v>
      </c>
      <c r="Q23" s="386">
        <v>7.4</v>
      </c>
      <c r="R23" s="387">
        <v>24</v>
      </c>
      <c r="S23" s="485" t="s">
        <v>188</v>
      </c>
    </row>
    <row r="24" spans="1:19" s="76" customFormat="1" ht="13.5">
      <c r="A24" s="654"/>
      <c r="B24" s="589"/>
      <c r="C24" s="589"/>
      <c r="D24" s="651"/>
      <c r="E24" s="303" t="s">
        <v>243</v>
      </c>
      <c r="F24" s="313" t="s">
        <v>259</v>
      </c>
      <c r="G24" s="313" t="s">
        <v>753</v>
      </c>
      <c r="H24" s="279" t="s">
        <v>754</v>
      </c>
      <c r="I24" s="280" t="s">
        <v>670</v>
      </c>
      <c r="J24" s="294" t="s">
        <v>755</v>
      </c>
      <c r="K24" s="606">
        <v>113</v>
      </c>
      <c r="L24" s="607">
        <f>34.4/1000</f>
        <v>0.0344</v>
      </c>
      <c r="M24" s="608" t="s">
        <v>681</v>
      </c>
      <c r="N24" s="609" t="s">
        <v>188</v>
      </c>
      <c r="O24" s="609" t="s">
        <v>188</v>
      </c>
      <c r="P24" s="610">
        <f>+R24+Q24</f>
        <v>44</v>
      </c>
      <c r="Q24" s="684">
        <v>11</v>
      </c>
      <c r="R24" s="601">
        <v>33</v>
      </c>
      <c r="S24" s="621" t="s">
        <v>188</v>
      </c>
    </row>
    <row r="25" spans="1:19" s="76" customFormat="1" ht="13.5">
      <c r="A25" s="654"/>
      <c r="B25" s="589"/>
      <c r="C25" s="589"/>
      <c r="D25" s="651"/>
      <c r="E25" s="303" t="s">
        <v>243</v>
      </c>
      <c r="F25" s="279" t="s">
        <v>259</v>
      </c>
      <c r="G25" s="279" t="s">
        <v>751</v>
      </c>
      <c r="H25" s="279" t="s">
        <v>752</v>
      </c>
      <c r="I25" s="280" t="s">
        <v>276</v>
      </c>
      <c r="J25" s="279" t="s">
        <v>209</v>
      </c>
      <c r="K25" s="602"/>
      <c r="L25" s="602"/>
      <c r="M25" s="675"/>
      <c r="N25" s="677"/>
      <c r="O25" s="677"/>
      <c r="P25" s="602"/>
      <c r="Q25" s="602"/>
      <c r="R25" s="602"/>
      <c r="S25" s="677"/>
    </row>
    <row r="26" spans="1:19" s="76" customFormat="1" ht="13.5">
      <c r="A26" s="654"/>
      <c r="B26" s="589"/>
      <c r="C26" s="589"/>
      <c r="D26" s="651"/>
      <c r="E26" s="303" t="s">
        <v>243</v>
      </c>
      <c r="F26" s="313" t="s">
        <v>259</v>
      </c>
      <c r="G26" s="313" t="s">
        <v>749</v>
      </c>
      <c r="H26" s="279" t="s">
        <v>750</v>
      </c>
      <c r="I26" s="280" t="s">
        <v>673</v>
      </c>
      <c r="J26" s="476" t="s">
        <v>756</v>
      </c>
      <c r="K26" s="602"/>
      <c r="L26" s="602"/>
      <c r="M26" s="675"/>
      <c r="N26" s="677"/>
      <c r="O26" s="677"/>
      <c r="P26" s="602"/>
      <c r="Q26" s="602"/>
      <c r="R26" s="602"/>
      <c r="S26" s="677"/>
    </row>
    <row r="27" spans="1:19" s="76" customFormat="1" ht="13.5">
      <c r="A27" s="654"/>
      <c r="B27" s="589"/>
      <c r="C27" s="589"/>
      <c r="D27" s="651"/>
      <c r="E27" s="303" t="s">
        <v>243</v>
      </c>
      <c r="F27" s="279" t="s">
        <v>259</v>
      </c>
      <c r="G27" s="279" t="s">
        <v>274</v>
      </c>
      <c r="H27" s="279" t="s">
        <v>671</v>
      </c>
      <c r="I27" s="280" t="s">
        <v>675</v>
      </c>
      <c r="J27" s="279" t="s">
        <v>723</v>
      </c>
      <c r="K27" s="602"/>
      <c r="L27" s="602"/>
      <c r="M27" s="675"/>
      <c r="N27" s="677"/>
      <c r="O27" s="677"/>
      <c r="P27" s="602"/>
      <c r="Q27" s="602"/>
      <c r="R27" s="602"/>
      <c r="S27" s="677"/>
    </row>
    <row r="28" spans="1:19" s="76" customFormat="1" ht="13.5">
      <c r="A28" s="654"/>
      <c r="B28" s="589"/>
      <c r="C28" s="589"/>
      <c r="D28" s="651"/>
      <c r="E28" s="303" t="s">
        <v>243</v>
      </c>
      <c r="F28" s="313" t="s">
        <v>259</v>
      </c>
      <c r="G28" s="313" t="s">
        <v>757</v>
      </c>
      <c r="H28" s="279" t="s">
        <v>758</v>
      </c>
      <c r="I28" s="280" t="s">
        <v>685</v>
      </c>
      <c r="J28" s="279" t="s">
        <v>759</v>
      </c>
      <c r="K28" s="602"/>
      <c r="L28" s="602"/>
      <c r="M28" s="675"/>
      <c r="N28" s="677"/>
      <c r="O28" s="677"/>
      <c r="P28" s="602"/>
      <c r="Q28" s="602"/>
      <c r="R28" s="602"/>
      <c r="S28" s="677"/>
    </row>
    <row r="29" spans="1:19" s="76" customFormat="1" ht="13.5">
      <c r="A29" s="654"/>
      <c r="B29" s="589"/>
      <c r="C29" s="589"/>
      <c r="D29" s="651"/>
      <c r="E29" s="303" t="s">
        <v>243</v>
      </c>
      <c r="F29" s="279" t="s">
        <v>259</v>
      </c>
      <c r="G29" s="279" t="s">
        <v>751</v>
      </c>
      <c r="H29" s="279" t="s">
        <v>760</v>
      </c>
      <c r="I29" s="280" t="s">
        <v>761</v>
      </c>
      <c r="J29" s="279" t="s">
        <v>693</v>
      </c>
      <c r="K29" s="573"/>
      <c r="L29" s="573"/>
      <c r="M29" s="676"/>
      <c r="N29" s="559"/>
      <c r="O29" s="559"/>
      <c r="P29" s="573"/>
      <c r="Q29" s="573"/>
      <c r="R29" s="573"/>
      <c r="S29" s="559"/>
    </row>
    <row r="30" spans="1:19" s="76" customFormat="1" ht="13.5">
      <c r="A30" s="654"/>
      <c r="B30" s="589"/>
      <c r="C30" s="589"/>
      <c r="D30" s="651"/>
      <c r="E30" s="237" t="s">
        <v>243</v>
      </c>
      <c r="F30" s="244" t="s">
        <v>244</v>
      </c>
      <c r="G30" s="235" t="s">
        <v>245</v>
      </c>
      <c r="H30" s="235" t="s">
        <v>246</v>
      </c>
      <c r="I30" s="236" t="s">
        <v>247</v>
      </c>
      <c r="J30" s="244" t="s">
        <v>200</v>
      </c>
      <c r="K30" s="288">
        <v>1</v>
      </c>
      <c r="L30" s="293">
        <f>10.9/1000</f>
        <v>0.0109</v>
      </c>
      <c r="M30" s="254" t="s">
        <v>335</v>
      </c>
      <c r="N30" s="291" t="s">
        <v>188</v>
      </c>
      <c r="O30" s="369" t="s">
        <v>188</v>
      </c>
      <c r="P30" s="391">
        <f aca="true" t="shared" si="1" ref="P30:P36">SUM(Q30:R30)</f>
        <v>15.4</v>
      </c>
      <c r="Q30" s="379">
        <v>4.4</v>
      </c>
      <c r="R30" s="381">
        <v>11</v>
      </c>
      <c r="S30" s="86" t="s">
        <v>406</v>
      </c>
    </row>
    <row r="31" spans="1:19" s="76" customFormat="1" ht="13.5">
      <c r="A31" s="654"/>
      <c r="B31" s="589"/>
      <c r="C31" s="589"/>
      <c r="D31" s="651"/>
      <c r="E31" s="244" t="s">
        <v>226</v>
      </c>
      <c r="F31" s="237" t="s">
        <v>230</v>
      </c>
      <c r="G31" s="237" t="s">
        <v>231</v>
      </c>
      <c r="H31" s="237" t="s">
        <v>231</v>
      </c>
      <c r="I31" s="287" t="s">
        <v>235</v>
      </c>
      <c r="J31" s="292" t="s">
        <v>190</v>
      </c>
      <c r="K31" s="288">
        <v>2</v>
      </c>
      <c r="L31" s="299">
        <v>0.064</v>
      </c>
      <c r="M31" s="254" t="s">
        <v>634</v>
      </c>
      <c r="N31" s="255" t="s">
        <v>577</v>
      </c>
      <c r="O31" s="367" t="s">
        <v>774</v>
      </c>
      <c r="P31" s="391">
        <f t="shared" si="1"/>
        <v>25.8</v>
      </c>
      <c r="Q31" s="383">
        <v>6.8</v>
      </c>
      <c r="R31" s="378">
        <v>19</v>
      </c>
      <c r="S31" s="212" t="s">
        <v>406</v>
      </c>
    </row>
    <row r="32" spans="1:19" s="76" customFormat="1" ht="13.5">
      <c r="A32" s="654"/>
      <c r="B32" s="589"/>
      <c r="C32" s="589"/>
      <c r="D32" s="651"/>
      <c r="E32" s="244" t="s">
        <v>226</v>
      </c>
      <c r="F32" s="237" t="s">
        <v>230</v>
      </c>
      <c r="G32" s="237" t="s">
        <v>231</v>
      </c>
      <c r="H32" s="237" t="s">
        <v>248</v>
      </c>
      <c r="I32" s="287" t="s">
        <v>249</v>
      </c>
      <c r="J32" s="244" t="s">
        <v>197</v>
      </c>
      <c r="K32" s="288">
        <v>10</v>
      </c>
      <c r="L32" s="289">
        <f>41.2/1000</f>
        <v>0.0412</v>
      </c>
      <c r="M32" s="254" t="s">
        <v>574</v>
      </c>
      <c r="N32" s="291" t="s">
        <v>188</v>
      </c>
      <c r="O32" s="369" t="s">
        <v>188</v>
      </c>
      <c r="P32" s="391">
        <f t="shared" si="1"/>
        <v>16</v>
      </c>
      <c r="Q32" s="379">
        <v>4</v>
      </c>
      <c r="R32" s="381">
        <v>12</v>
      </c>
      <c r="S32" s="86" t="s">
        <v>406</v>
      </c>
    </row>
    <row r="33" spans="1:19" s="76" customFormat="1" ht="13.5">
      <c r="A33" s="654"/>
      <c r="B33" s="589"/>
      <c r="C33" s="589"/>
      <c r="D33" s="651"/>
      <c r="E33" s="234" t="s">
        <v>226</v>
      </c>
      <c r="F33" s="235" t="s">
        <v>230</v>
      </c>
      <c r="G33" s="235" t="s">
        <v>233</v>
      </c>
      <c r="H33" s="235" t="s">
        <v>233</v>
      </c>
      <c r="I33" s="287" t="s">
        <v>234</v>
      </c>
      <c r="J33" s="292" t="s">
        <v>404</v>
      </c>
      <c r="K33" s="288">
        <v>2</v>
      </c>
      <c r="L33" s="298">
        <v>0.106</v>
      </c>
      <c r="M33" s="254" t="s">
        <v>634</v>
      </c>
      <c r="N33" s="255" t="s">
        <v>576</v>
      </c>
      <c r="O33" s="367" t="s">
        <v>774</v>
      </c>
      <c r="P33" s="391">
        <f t="shared" si="1"/>
        <v>11.399999999999999</v>
      </c>
      <c r="Q33" s="383">
        <v>2.8</v>
      </c>
      <c r="R33" s="391">
        <v>8.6</v>
      </c>
      <c r="S33" s="212" t="s">
        <v>406</v>
      </c>
    </row>
    <row r="34" spans="1:19" s="76" customFormat="1" ht="13.5">
      <c r="A34" s="654"/>
      <c r="B34" s="589"/>
      <c r="C34" s="589"/>
      <c r="D34" s="651"/>
      <c r="E34" s="518" t="s">
        <v>226</v>
      </c>
      <c r="F34" s="518" t="s">
        <v>281</v>
      </c>
      <c r="G34" s="518" t="s">
        <v>285</v>
      </c>
      <c r="H34" s="525" t="s">
        <v>188</v>
      </c>
      <c r="I34" s="532" t="s">
        <v>187</v>
      </c>
      <c r="J34" s="521" t="s">
        <v>333</v>
      </c>
      <c r="K34" s="522">
        <v>32</v>
      </c>
      <c r="L34" s="523">
        <f>25.6/1000</f>
        <v>0.0256</v>
      </c>
      <c r="M34" s="524" t="s">
        <v>334</v>
      </c>
      <c r="N34" s="525" t="s">
        <v>188</v>
      </c>
      <c r="O34" s="525" t="s">
        <v>188</v>
      </c>
      <c r="P34" s="533">
        <f t="shared" si="1"/>
        <v>99</v>
      </c>
      <c r="Q34" s="534">
        <v>24</v>
      </c>
      <c r="R34" s="528">
        <v>75</v>
      </c>
      <c r="S34" s="529" t="s">
        <v>406</v>
      </c>
    </row>
    <row r="35" spans="1:19" s="76" customFormat="1" ht="13.5">
      <c r="A35" s="654"/>
      <c r="B35" s="589"/>
      <c r="C35" s="589"/>
      <c r="D35" s="651"/>
      <c r="E35" s="518" t="s">
        <v>226</v>
      </c>
      <c r="F35" s="518" t="s">
        <v>281</v>
      </c>
      <c r="G35" s="518" t="s">
        <v>285</v>
      </c>
      <c r="H35" s="535" t="s">
        <v>286</v>
      </c>
      <c r="I35" s="536" t="s">
        <v>302</v>
      </c>
      <c r="J35" s="521" t="s">
        <v>202</v>
      </c>
      <c r="K35" s="522">
        <v>1</v>
      </c>
      <c r="L35" s="537">
        <f>29.2/1000</f>
        <v>0.0292</v>
      </c>
      <c r="M35" s="519" t="s">
        <v>335</v>
      </c>
      <c r="N35" s="525" t="s">
        <v>188</v>
      </c>
      <c r="O35" s="525" t="s">
        <v>188</v>
      </c>
      <c r="P35" s="526">
        <f t="shared" si="1"/>
        <v>12.4</v>
      </c>
      <c r="Q35" s="538">
        <v>3.9</v>
      </c>
      <c r="R35" s="526">
        <v>8.5</v>
      </c>
      <c r="S35" s="529" t="s">
        <v>406</v>
      </c>
    </row>
    <row r="36" spans="1:19" s="76" customFormat="1" ht="13.5">
      <c r="A36" s="655"/>
      <c r="B36" s="590"/>
      <c r="C36" s="590"/>
      <c r="D36" s="652"/>
      <c r="E36" s="228" t="s">
        <v>297</v>
      </c>
      <c r="F36" s="229" t="s">
        <v>298</v>
      </c>
      <c r="G36" s="229" t="s">
        <v>298</v>
      </c>
      <c r="H36" s="229" t="s">
        <v>298</v>
      </c>
      <c r="I36" s="229" t="s">
        <v>298</v>
      </c>
      <c r="J36" s="230" t="s">
        <v>401</v>
      </c>
      <c r="K36" s="277" t="s">
        <v>331</v>
      </c>
      <c r="L36" s="436">
        <v>0.475</v>
      </c>
      <c r="M36" s="229" t="s">
        <v>188</v>
      </c>
      <c r="N36" s="278" t="s">
        <v>188</v>
      </c>
      <c r="O36" s="278" t="s">
        <v>188</v>
      </c>
      <c r="P36" s="508">
        <f t="shared" si="1"/>
        <v>42.8</v>
      </c>
      <c r="Q36" s="393">
        <v>9.8</v>
      </c>
      <c r="R36" s="392">
        <v>33</v>
      </c>
      <c r="S36" s="486" t="s">
        <v>406</v>
      </c>
    </row>
    <row r="37" spans="1:23" s="120" customFormat="1" ht="17.25" customHeight="1">
      <c r="A37" s="186"/>
      <c r="B37" s="368" t="s">
        <v>390</v>
      </c>
      <c r="C37" s="146"/>
      <c r="D37" s="188"/>
      <c r="E37" s="188"/>
      <c r="F37" s="189"/>
      <c r="G37" s="189"/>
      <c r="H37" s="189"/>
      <c r="I37" s="150"/>
      <c r="J37" s="146"/>
      <c r="K37" s="147"/>
      <c r="L37" s="148"/>
      <c r="M37" s="149"/>
      <c r="N37" s="150"/>
      <c r="O37" s="149"/>
      <c r="P37" s="146"/>
      <c r="Q37" s="146"/>
      <c r="R37" s="146"/>
      <c r="S37" s="146"/>
      <c r="T37" s="76"/>
      <c r="U37" s="76"/>
      <c r="V37" s="76"/>
      <c r="W37" s="76"/>
    </row>
    <row r="38" spans="1:23" s="120" customFormat="1" ht="17.25" customHeight="1">
      <c r="A38" s="186"/>
      <c r="B38" s="368" t="s">
        <v>391</v>
      </c>
      <c r="C38" s="146"/>
      <c r="D38" s="188"/>
      <c r="E38" s="188"/>
      <c r="F38" s="189"/>
      <c r="G38" s="189"/>
      <c r="H38" s="189"/>
      <c r="I38" s="150"/>
      <c r="J38" s="146"/>
      <c r="K38" s="147"/>
      <c r="L38" s="148"/>
      <c r="M38" s="149"/>
      <c r="N38" s="150"/>
      <c r="O38" s="149"/>
      <c r="P38" s="146"/>
      <c r="Q38" s="146"/>
      <c r="R38" s="146"/>
      <c r="S38" s="146"/>
      <c r="T38" s="76"/>
      <c r="U38" s="76"/>
      <c r="V38" s="76"/>
      <c r="W38" s="76"/>
    </row>
    <row r="39" spans="1:23" s="120" customFormat="1" ht="17.25" customHeight="1">
      <c r="A39" s="186"/>
      <c r="B39" s="368" t="s">
        <v>402</v>
      </c>
      <c r="C39" s="146"/>
      <c r="D39" s="188"/>
      <c r="E39" s="188"/>
      <c r="F39" s="189"/>
      <c r="G39" s="189"/>
      <c r="H39" s="189"/>
      <c r="I39" s="150"/>
      <c r="J39" s="146"/>
      <c r="K39" s="147"/>
      <c r="L39" s="148"/>
      <c r="M39" s="149"/>
      <c r="N39" s="151"/>
      <c r="O39" s="152"/>
      <c r="P39" s="146"/>
      <c r="Q39" s="146"/>
      <c r="R39" s="146"/>
      <c r="S39" s="146"/>
      <c r="T39" s="76"/>
      <c r="U39" s="76"/>
      <c r="V39" s="76"/>
      <c r="W39" s="76"/>
    </row>
    <row r="40" spans="1:23" s="120" customFormat="1" ht="17.25" customHeight="1">
      <c r="A40" s="186"/>
      <c r="B40" s="368" t="s">
        <v>392</v>
      </c>
      <c r="C40" s="146"/>
      <c r="D40" s="188"/>
      <c r="E40" s="188"/>
      <c r="F40" s="189"/>
      <c r="G40" s="189"/>
      <c r="H40" s="189"/>
      <c r="I40" s="150"/>
      <c r="J40" s="146"/>
      <c r="K40" s="147"/>
      <c r="L40" s="148"/>
      <c r="M40" s="149"/>
      <c r="N40" s="151"/>
      <c r="O40" s="149"/>
      <c r="P40" s="146"/>
      <c r="Q40" s="146"/>
      <c r="R40" s="146"/>
      <c r="S40" s="146"/>
      <c r="T40" s="76"/>
      <c r="U40" s="76"/>
      <c r="V40" s="76"/>
      <c r="W40" s="76"/>
    </row>
    <row r="41" spans="1:23" s="120" customFormat="1" ht="17.25" customHeight="1">
      <c r="A41" s="186"/>
      <c r="B41" s="368" t="s">
        <v>393</v>
      </c>
      <c r="C41" s="146"/>
      <c r="D41" s="188"/>
      <c r="E41" s="188"/>
      <c r="F41" s="189"/>
      <c r="G41" s="189"/>
      <c r="H41" s="189"/>
      <c r="I41" s="150"/>
      <c r="J41" s="146"/>
      <c r="K41" s="147"/>
      <c r="L41" s="148"/>
      <c r="M41" s="149"/>
      <c r="N41" s="151"/>
      <c r="O41" s="149"/>
      <c r="P41" s="146"/>
      <c r="Q41" s="146"/>
      <c r="R41" s="146"/>
      <c r="S41" s="146"/>
      <c r="T41" s="76"/>
      <c r="U41" s="76"/>
      <c r="V41" s="76"/>
      <c r="W41" s="76"/>
    </row>
    <row r="42" spans="1:23" s="120" customFormat="1" ht="17.25" customHeight="1">
      <c r="A42" s="186"/>
      <c r="B42" s="368" t="s">
        <v>394</v>
      </c>
      <c r="C42" s="146"/>
      <c r="D42" s="188"/>
      <c r="E42" s="188"/>
      <c r="F42" s="189"/>
      <c r="G42" s="189"/>
      <c r="H42" s="189"/>
      <c r="I42" s="150"/>
      <c r="J42" s="146"/>
      <c r="K42" s="147"/>
      <c r="L42" s="148"/>
      <c r="M42" s="149"/>
      <c r="N42" s="150"/>
      <c r="O42" s="149"/>
      <c r="P42" s="146"/>
      <c r="Q42" s="146"/>
      <c r="R42" s="146"/>
      <c r="S42" s="146"/>
      <c r="T42" s="76"/>
      <c r="U42" s="76"/>
      <c r="V42" s="76"/>
      <c r="W42" s="76"/>
    </row>
    <row r="43" spans="1:23" s="120" customFormat="1" ht="17.25" customHeight="1">
      <c r="A43" s="186"/>
      <c r="B43" s="368" t="s">
        <v>395</v>
      </c>
      <c r="C43" s="146"/>
      <c r="D43" s="188"/>
      <c r="E43" s="188"/>
      <c r="F43" s="189"/>
      <c r="G43" s="189"/>
      <c r="H43" s="189"/>
      <c r="I43" s="150"/>
      <c r="J43" s="146"/>
      <c r="K43" s="147"/>
      <c r="L43" s="148"/>
      <c r="M43" s="149"/>
      <c r="N43" s="150"/>
      <c r="O43" s="149"/>
      <c r="P43" s="146"/>
      <c r="Q43" s="146"/>
      <c r="R43" s="146"/>
      <c r="S43" s="146"/>
      <c r="T43" s="76"/>
      <c r="U43" s="76"/>
      <c r="V43" s="76"/>
      <c r="W43" s="76"/>
    </row>
    <row r="44" spans="1:23" s="120" customFormat="1" ht="17.25" customHeight="1">
      <c r="A44" s="186"/>
      <c r="B44" s="368" t="s">
        <v>396</v>
      </c>
      <c r="C44" s="146"/>
      <c r="D44" s="188"/>
      <c r="E44" s="188"/>
      <c r="F44" s="189"/>
      <c r="G44" s="189"/>
      <c r="H44" s="189"/>
      <c r="I44" s="150"/>
      <c r="J44" s="146"/>
      <c r="K44" s="147"/>
      <c r="L44" s="148"/>
      <c r="M44" s="149"/>
      <c r="N44" s="150"/>
      <c r="O44" s="149"/>
      <c r="P44" s="146"/>
      <c r="Q44" s="146"/>
      <c r="R44" s="146"/>
      <c r="S44" s="146"/>
      <c r="T44" s="76"/>
      <c r="U44" s="76"/>
      <c r="V44" s="76"/>
      <c r="W44" s="76"/>
    </row>
    <row r="45" spans="1:23" s="120" customFormat="1" ht="17.25" customHeight="1">
      <c r="A45" s="186"/>
      <c r="B45" s="368" t="s">
        <v>398</v>
      </c>
      <c r="C45" s="146"/>
      <c r="D45" s="188"/>
      <c r="E45" s="188"/>
      <c r="F45" s="189"/>
      <c r="G45" s="189"/>
      <c r="H45" s="189"/>
      <c r="I45" s="150"/>
      <c r="J45" s="146"/>
      <c r="K45" s="147"/>
      <c r="L45" s="148"/>
      <c r="M45" s="149"/>
      <c r="N45" s="150"/>
      <c r="O45" s="149"/>
      <c r="P45" s="153"/>
      <c r="Q45" s="154"/>
      <c r="R45" s="155"/>
      <c r="S45" s="156"/>
      <c r="T45" s="121"/>
      <c r="U45" s="122"/>
      <c r="V45" s="121"/>
      <c r="W45" s="76"/>
    </row>
    <row r="46" spans="1:26" s="76" customFormat="1" ht="13.5">
      <c r="A46" s="190"/>
      <c r="B46" s="169"/>
      <c r="C46" s="169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82"/>
      <c r="U46" s="82"/>
      <c r="V46" s="83"/>
      <c r="W46" s="81"/>
      <c r="X46" s="83"/>
      <c r="Y46" s="83"/>
      <c r="Z46" s="13"/>
    </row>
    <row r="47" spans="1:19" s="15" customFormat="1" ht="18" customHeight="1">
      <c r="A47" s="597" t="s">
        <v>1</v>
      </c>
      <c r="B47" s="598"/>
      <c r="C47" s="556" t="s">
        <v>341</v>
      </c>
      <c r="D47" s="629" t="s">
        <v>161</v>
      </c>
      <c r="E47" s="630" t="s">
        <v>175</v>
      </c>
      <c r="F47" s="630" t="s">
        <v>176</v>
      </c>
      <c r="G47" s="556" t="s">
        <v>177</v>
      </c>
      <c r="H47" s="556" t="s">
        <v>178</v>
      </c>
      <c r="I47" s="556" t="s">
        <v>179</v>
      </c>
      <c r="J47" s="556" t="s">
        <v>180</v>
      </c>
      <c r="K47" s="642" t="s">
        <v>162</v>
      </c>
      <c r="L47" s="635" t="s">
        <v>163</v>
      </c>
      <c r="M47" s="633" t="s">
        <v>181</v>
      </c>
      <c r="N47" s="633"/>
      <c r="O47" s="634"/>
      <c r="P47" s="638" t="s">
        <v>165</v>
      </c>
      <c r="Q47" s="633"/>
      <c r="R47" s="633"/>
      <c r="S47" s="633" t="s">
        <v>182</v>
      </c>
    </row>
    <row r="48" spans="1:22" s="15" customFormat="1" ht="18" customHeight="1">
      <c r="A48" s="599"/>
      <c r="B48" s="600"/>
      <c r="C48" s="556"/>
      <c r="D48" s="629"/>
      <c r="E48" s="631"/>
      <c r="F48" s="631"/>
      <c r="G48" s="556"/>
      <c r="H48" s="556"/>
      <c r="I48" s="556"/>
      <c r="J48" s="556"/>
      <c r="K48" s="643"/>
      <c r="L48" s="636"/>
      <c r="M48" s="271" t="s">
        <v>164</v>
      </c>
      <c r="N48" s="252" t="s">
        <v>166</v>
      </c>
      <c r="O48" s="252" t="s">
        <v>340</v>
      </c>
      <c r="P48" s="272" t="s">
        <v>167</v>
      </c>
      <c r="Q48" s="273" t="s">
        <v>18</v>
      </c>
      <c r="R48" s="273" t="s">
        <v>19</v>
      </c>
      <c r="S48" s="556"/>
      <c r="U48" s="81"/>
      <c r="V48" s="81"/>
    </row>
    <row r="49" spans="1:19" s="76" customFormat="1" ht="13.5" customHeight="1">
      <c r="A49" s="656" t="s">
        <v>171</v>
      </c>
      <c r="B49" s="603" t="s">
        <v>767</v>
      </c>
      <c r="C49" s="560" t="s">
        <v>188</v>
      </c>
      <c r="D49" s="591">
        <v>41980</v>
      </c>
      <c r="E49" s="274" t="s">
        <v>299</v>
      </c>
      <c r="F49" s="269" t="s">
        <v>188</v>
      </c>
      <c r="G49" s="269" t="s">
        <v>188</v>
      </c>
      <c r="H49" s="269" t="s">
        <v>188</v>
      </c>
      <c r="I49" s="275" t="s">
        <v>187</v>
      </c>
      <c r="J49" s="274" t="s">
        <v>330</v>
      </c>
      <c r="K49" s="276" t="s">
        <v>331</v>
      </c>
      <c r="L49" s="439">
        <f>47.4/1000</f>
        <v>0.0474</v>
      </c>
      <c r="M49" s="275" t="s">
        <v>188</v>
      </c>
      <c r="N49" s="269" t="s">
        <v>188</v>
      </c>
      <c r="O49" s="269" t="s">
        <v>188</v>
      </c>
      <c r="P49" s="384">
        <f aca="true" t="shared" si="2" ref="P49:P63">SUM(Q49:R49)</f>
        <v>76</v>
      </c>
      <c r="Q49" s="427">
        <v>17</v>
      </c>
      <c r="R49" s="384">
        <v>59</v>
      </c>
      <c r="S49" s="483" t="s">
        <v>188</v>
      </c>
    </row>
    <row r="50" spans="1:19" s="76" customFormat="1" ht="13.5" customHeight="1">
      <c r="A50" s="618"/>
      <c r="B50" s="672"/>
      <c r="C50" s="594"/>
      <c r="D50" s="618"/>
      <c r="E50" s="279" t="s">
        <v>243</v>
      </c>
      <c r="F50" s="279" t="s">
        <v>259</v>
      </c>
      <c r="G50" s="279" t="s">
        <v>265</v>
      </c>
      <c r="H50" s="279" t="s">
        <v>266</v>
      </c>
      <c r="I50" s="280" t="s">
        <v>262</v>
      </c>
      <c r="J50" s="294" t="s">
        <v>194</v>
      </c>
      <c r="K50" s="281">
        <v>179</v>
      </c>
      <c r="L50" s="282">
        <f>21.2/1000</f>
        <v>0.0212</v>
      </c>
      <c r="M50" s="283" t="s">
        <v>332</v>
      </c>
      <c r="N50" s="270" t="s">
        <v>188</v>
      </c>
      <c r="O50" s="270" t="s">
        <v>188</v>
      </c>
      <c r="P50" s="375">
        <f t="shared" si="2"/>
        <v>91</v>
      </c>
      <c r="Q50" s="385">
        <v>23</v>
      </c>
      <c r="R50" s="375">
        <v>68</v>
      </c>
      <c r="S50" s="484" t="s">
        <v>188</v>
      </c>
    </row>
    <row r="51" spans="1:19" s="76" customFormat="1" ht="13.5" customHeight="1">
      <c r="A51" s="618"/>
      <c r="B51" s="672"/>
      <c r="C51" s="594"/>
      <c r="D51" s="618"/>
      <c r="E51" s="279" t="s">
        <v>243</v>
      </c>
      <c r="F51" s="279" t="s">
        <v>259</v>
      </c>
      <c r="G51" s="279" t="s">
        <v>668</v>
      </c>
      <c r="H51" s="279" t="s">
        <v>669</v>
      </c>
      <c r="I51" s="280" t="s">
        <v>670</v>
      </c>
      <c r="J51" s="279" t="s">
        <v>676</v>
      </c>
      <c r="K51" s="622">
        <v>58</v>
      </c>
      <c r="L51" s="607">
        <f>11.5/1000</f>
        <v>0.0115</v>
      </c>
      <c r="M51" s="608" t="s">
        <v>681</v>
      </c>
      <c r="N51" s="609" t="s">
        <v>188</v>
      </c>
      <c r="O51" s="609" t="s">
        <v>188</v>
      </c>
      <c r="P51" s="623">
        <f t="shared" si="2"/>
        <v>15.7</v>
      </c>
      <c r="Q51" s="623">
        <v>4.7</v>
      </c>
      <c r="R51" s="610">
        <v>11</v>
      </c>
      <c r="S51" s="621" t="s">
        <v>188</v>
      </c>
    </row>
    <row r="52" spans="1:19" s="76" customFormat="1" ht="13.5" customHeight="1">
      <c r="A52" s="618"/>
      <c r="B52" s="672"/>
      <c r="C52" s="594"/>
      <c r="D52" s="618"/>
      <c r="E52" s="279" t="s">
        <v>243</v>
      </c>
      <c r="F52" s="279" t="s">
        <v>259</v>
      </c>
      <c r="G52" s="279" t="s">
        <v>274</v>
      </c>
      <c r="H52" s="279" t="s">
        <v>275</v>
      </c>
      <c r="I52" s="280" t="s">
        <v>276</v>
      </c>
      <c r="J52" s="279" t="s">
        <v>680</v>
      </c>
      <c r="K52" s="602"/>
      <c r="L52" s="602"/>
      <c r="M52" s="602"/>
      <c r="N52" s="602"/>
      <c r="O52" s="602"/>
      <c r="P52" s="624"/>
      <c r="Q52" s="602"/>
      <c r="R52" s="602"/>
      <c r="S52" s="626"/>
    </row>
    <row r="53" spans="1:19" s="76" customFormat="1" ht="13.5" customHeight="1">
      <c r="A53" s="618"/>
      <c r="B53" s="672"/>
      <c r="C53" s="594"/>
      <c r="D53" s="618"/>
      <c r="E53" s="279" t="s">
        <v>243</v>
      </c>
      <c r="F53" s="279" t="s">
        <v>259</v>
      </c>
      <c r="G53" s="279" t="s">
        <v>683</v>
      </c>
      <c r="H53" s="279" t="s">
        <v>684</v>
      </c>
      <c r="I53" s="280" t="s">
        <v>682</v>
      </c>
      <c r="J53" s="279" t="s">
        <v>694</v>
      </c>
      <c r="K53" s="602"/>
      <c r="L53" s="602"/>
      <c r="M53" s="602"/>
      <c r="N53" s="602"/>
      <c r="O53" s="602"/>
      <c r="P53" s="624"/>
      <c r="Q53" s="602"/>
      <c r="R53" s="602"/>
      <c r="S53" s="626"/>
    </row>
    <row r="54" spans="1:19" s="76" customFormat="1" ht="13.5" customHeight="1">
      <c r="A54" s="618"/>
      <c r="B54" s="672"/>
      <c r="C54" s="594"/>
      <c r="D54" s="618"/>
      <c r="E54" s="279" t="s">
        <v>243</v>
      </c>
      <c r="F54" s="279" t="s">
        <v>259</v>
      </c>
      <c r="G54" s="279" t="s">
        <v>274</v>
      </c>
      <c r="H54" s="279" t="s">
        <v>671</v>
      </c>
      <c r="I54" s="280" t="s">
        <v>673</v>
      </c>
      <c r="J54" s="458" t="s">
        <v>677</v>
      </c>
      <c r="K54" s="602"/>
      <c r="L54" s="602"/>
      <c r="M54" s="602"/>
      <c r="N54" s="602"/>
      <c r="O54" s="602"/>
      <c r="P54" s="624"/>
      <c r="Q54" s="602"/>
      <c r="R54" s="602"/>
      <c r="S54" s="626"/>
    </row>
    <row r="55" spans="1:19" s="76" customFormat="1" ht="13.5" customHeight="1">
      <c r="A55" s="618"/>
      <c r="B55" s="672"/>
      <c r="C55" s="594"/>
      <c r="D55" s="618"/>
      <c r="E55" s="279" t="s">
        <v>243</v>
      </c>
      <c r="F55" s="279" t="s">
        <v>259</v>
      </c>
      <c r="G55" s="279" t="s">
        <v>274</v>
      </c>
      <c r="H55" s="279" t="s">
        <v>671</v>
      </c>
      <c r="I55" s="280" t="s">
        <v>675</v>
      </c>
      <c r="J55" s="279" t="s">
        <v>679</v>
      </c>
      <c r="K55" s="602"/>
      <c r="L55" s="602"/>
      <c r="M55" s="602"/>
      <c r="N55" s="602"/>
      <c r="O55" s="602"/>
      <c r="P55" s="624"/>
      <c r="Q55" s="602"/>
      <c r="R55" s="602"/>
      <c r="S55" s="626"/>
    </row>
    <row r="56" spans="1:19" s="76" customFormat="1" ht="13.5" customHeight="1">
      <c r="A56" s="618"/>
      <c r="B56" s="672"/>
      <c r="C56" s="594"/>
      <c r="D56" s="618"/>
      <c r="E56" s="279" t="s">
        <v>243</v>
      </c>
      <c r="F56" s="313" t="s">
        <v>259</v>
      </c>
      <c r="G56" s="313" t="s">
        <v>274</v>
      </c>
      <c r="H56" s="279" t="s">
        <v>671</v>
      </c>
      <c r="I56" s="280" t="s">
        <v>685</v>
      </c>
      <c r="J56" s="279" t="s">
        <v>686</v>
      </c>
      <c r="K56" s="602"/>
      <c r="L56" s="602"/>
      <c r="M56" s="602"/>
      <c r="N56" s="602"/>
      <c r="O56" s="602"/>
      <c r="P56" s="624"/>
      <c r="Q56" s="602"/>
      <c r="R56" s="602"/>
      <c r="S56" s="626"/>
    </row>
    <row r="57" spans="1:19" s="76" customFormat="1" ht="13.5" customHeight="1">
      <c r="A57" s="618"/>
      <c r="B57" s="672"/>
      <c r="C57" s="594"/>
      <c r="D57" s="618"/>
      <c r="E57" s="279" t="s">
        <v>243</v>
      </c>
      <c r="F57" s="279" t="s">
        <v>259</v>
      </c>
      <c r="G57" s="279" t="s">
        <v>274</v>
      </c>
      <c r="H57" s="279" t="s">
        <v>671</v>
      </c>
      <c r="I57" s="280" t="s">
        <v>688</v>
      </c>
      <c r="J57" s="279" t="s">
        <v>693</v>
      </c>
      <c r="K57" s="602"/>
      <c r="L57" s="602"/>
      <c r="M57" s="602"/>
      <c r="N57" s="602"/>
      <c r="O57" s="602"/>
      <c r="P57" s="624"/>
      <c r="Q57" s="602"/>
      <c r="R57" s="602"/>
      <c r="S57" s="626"/>
    </row>
    <row r="58" spans="1:19" s="76" customFormat="1" ht="13.5" customHeight="1">
      <c r="A58" s="618"/>
      <c r="B58" s="672"/>
      <c r="C58" s="594"/>
      <c r="D58" s="618"/>
      <c r="E58" s="459" t="s">
        <v>243</v>
      </c>
      <c r="F58" s="459" t="s">
        <v>259</v>
      </c>
      <c r="G58" s="459" t="s">
        <v>690</v>
      </c>
      <c r="H58" s="459" t="s">
        <v>689</v>
      </c>
      <c r="I58" s="460" t="s">
        <v>691</v>
      </c>
      <c r="J58" s="461" t="s">
        <v>692</v>
      </c>
      <c r="K58" s="573"/>
      <c r="L58" s="573"/>
      <c r="M58" s="573"/>
      <c r="N58" s="573"/>
      <c r="O58" s="573"/>
      <c r="P58" s="625"/>
      <c r="Q58" s="573"/>
      <c r="R58" s="573"/>
      <c r="S58" s="627"/>
    </row>
    <row r="59" spans="1:19" s="76" customFormat="1" ht="13.5" customHeight="1">
      <c r="A59" s="618"/>
      <c r="B59" s="672"/>
      <c r="C59" s="594"/>
      <c r="D59" s="618"/>
      <c r="E59" s="306" t="s">
        <v>243</v>
      </c>
      <c r="F59" s="306" t="s">
        <v>244</v>
      </c>
      <c r="G59" s="307" t="s">
        <v>245</v>
      </c>
      <c r="H59" s="244" t="s">
        <v>586</v>
      </c>
      <c r="I59" s="308" t="s">
        <v>585</v>
      </c>
      <c r="J59" s="244" t="s">
        <v>587</v>
      </c>
      <c r="K59" s="309">
        <v>571</v>
      </c>
      <c r="L59" s="289">
        <v>0.078</v>
      </c>
      <c r="M59" s="254" t="s">
        <v>335</v>
      </c>
      <c r="N59" s="291" t="s">
        <v>188</v>
      </c>
      <c r="O59" s="86" t="s">
        <v>188</v>
      </c>
      <c r="P59" s="391">
        <f t="shared" si="2"/>
        <v>22.2</v>
      </c>
      <c r="Q59" s="383">
        <v>5.2</v>
      </c>
      <c r="R59" s="378">
        <v>17</v>
      </c>
      <c r="S59" s="86" t="s">
        <v>188</v>
      </c>
    </row>
    <row r="60" spans="1:19" s="76" customFormat="1" ht="13.5" customHeight="1">
      <c r="A60" s="618"/>
      <c r="B60" s="672"/>
      <c r="C60" s="594"/>
      <c r="D60" s="618"/>
      <c r="E60" s="244" t="s">
        <v>243</v>
      </c>
      <c r="F60" s="237" t="s">
        <v>244</v>
      </c>
      <c r="G60" s="237" t="s">
        <v>245</v>
      </c>
      <c r="H60" s="235" t="s">
        <v>250</v>
      </c>
      <c r="I60" s="236" t="s">
        <v>251</v>
      </c>
      <c r="J60" s="244" t="s">
        <v>207</v>
      </c>
      <c r="K60" s="288">
        <v>2</v>
      </c>
      <c r="L60" s="289">
        <f>39.4/1000</f>
        <v>0.0394</v>
      </c>
      <c r="M60" s="254" t="s">
        <v>335</v>
      </c>
      <c r="N60" s="291" t="s">
        <v>188</v>
      </c>
      <c r="O60" s="291" t="s">
        <v>188</v>
      </c>
      <c r="P60" s="391">
        <f t="shared" si="2"/>
        <v>30.1</v>
      </c>
      <c r="Q60" s="379">
        <v>7.1</v>
      </c>
      <c r="R60" s="381">
        <v>23</v>
      </c>
      <c r="S60" s="86" t="s">
        <v>188</v>
      </c>
    </row>
    <row r="61" spans="1:19" s="76" customFormat="1" ht="13.5" customHeight="1">
      <c r="A61" s="618"/>
      <c r="B61" s="672"/>
      <c r="C61" s="594"/>
      <c r="D61" s="618"/>
      <c r="E61" s="234" t="s">
        <v>226</v>
      </c>
      <c r="F61" s="235" t="s">
        <v>227</v>
      </c>
      <c r="G61" s="237" t="s">
        <v>228</v>
      </c>
      <c r="H61" s="237" t="s">
        <v>228</v>
      </c>
      <c r="I61" s="236" t="s">
        <v>229</v>
      </c>
      <c r="J61" s="244" t="s">
        <v>189</v>
      </c>
      <c r="K61" s="288">
        <v>6</v>
      </c>
      <c r="L61" s="289">
        <f>19.2/1000</f>
        <v>0.0192</v>
      </c>
      <c r="M61" s="254" t="s">
        <v>574</v>
      </c>
      <c r="N61" s="291" t="s">
        <v>188</v>
      </c>
      <c r="O61" s="291" t="s">
        <v>188</v>
      </c>
      <c r="P61" s="391">
        <f t="shared" si="2"/>
        <v>25.7</v>
      </c>
      <c r="Q61" s="379">
        <v>6.7</v>
      </c>
      <c r="R61" s="381">
        <v>19</v>
      </c>
      <c r="S61" s="86" t="s">
        <v>188</v>
      </c>
    </row>
    <row r="62" spans="1:19" s="76" customFormat="1" ht="13.5" customHeight="1">
      <c r="A62" s="618"/>
      <c r="B62" s="672"/>
      <c r="C62" s="594"/>
      <c r="D62" s="618"/>
      <c r="E62" s="234" t="s">
        <v>226</v>
      </c>
      <c r="F62" s="235" t="s">
        <v>230</v>
      </c>
      <c r="G62" s="235" t="s">
        <v>231</v>
      </c>
      <c r="H62" s="235" t="s">
        <v>231</v>
      </c>
      <c r="I62" s="236" t="s">
        <v>238</v>
      </c>
      <c r="J62" s="244" t="s">
        <v>203</v>
      </c>
      <c r="K62" s="288">
        <v>186</v>
      </c>
      <c r="L62" s="310">
        <f>67.3/1000</f>
        <v>0.0673</v>
      </c>
      <c r="M62" s="254" t="s">
        <v>336</v>
      </c>
      <c r="N62" s="86" t="s">
        <v>188</v>
      </c>
      <c r="O62" s="291" t="s">
        <v>188</v>
      </c>
      <c r="P62" s="391">
        <f t="shared" si="2"/>
        <v>24.2</v>
      </c>
      <c r="Q62" s="379">
        <v>5.2</v>
      </c>
      <c r="R62" s="381">
        <v>19</v>
      </c>
      <c r="S62" s="86" t="s">
        <v>188</v>
      </c>
    </row>
    <row r="63" spans="1:19" s="76" customFormat="1" ht="13.5" customHeight="1">
      <c r="A63" s="618"/>
      <c r="B63" s="672"/>
      <c r="C63" s="594"/>
      <c r="D63" s="618"/>
      <c r="E63" s="234" t="s">
        <v>226</v>
      </c>
      <c r="F63" s="235" t="s">
        <v>230</v>
      </c>
      <c r="G63" s="235" t="s">
        <v>239</v>
      </c>
      <c r="H63" s="235" t="s">
        <v>242</v>
      </c>
      <c r="I63" s="236" t="s">
        <v>588</v>
      </c>
      <c r="J63" s="244" t="s">
        <v>206</v>
      </c>
      <c r="K63" s="288">
        <v>19</v>
      </c>
      <c r="L63" s="310">
        <f>53.5/1000</f>
        <v>0.0535</v>
      </c>
      <c r="M63" s="254" t="s">
        <v>329</v>
      </c>
      <c r="N63" s="291" t="s">
        <v>188</v>
      </c>
      <c r="O63" s="291" t="s">
        <v>188</v>
      </c>
      <c r="P63" s="391">
        <f t="shared" si="2"/>
        <v>34.5</v>
      </c>
      <c r="Q63" s="379">
        <v>8.5</v>
      </c>
      <c r="R63" s="381">
        <v>26</v>
      </c>
      <c r="S63" s="86" t="s">
        <v>188</v>
      </c>
    </row>
    <row r="64" spans="1:19" s="76" customFormat="1" ht="13.5" customHeight="1">
      <c r="A64" s="619"/>
      <c r="B64" s="673"/>
      <c r="C64" s="595"/>
      <c r="D64" s="619"/>
      <c r="E64" s="228" t="s">
        <v>297</v>
      </c>
      <c r="F64" s="229" t="s">
        <v>188</v>
      </c>
      <c r="G64" s="229" t="s">
        <v>188</v>
      </c>
      <c r="H64" s="229" t="s">
        <v>188</v>
      </c>
      <c r="I64" s="229" t="s">
        <v>188</v>
      </c>
      <c r="J64" s="230" t="s">
        <v>401</v>
      </c>
      <c r="K64" s="277" t="s">
        <v>331</v>
      </c>
      <c r="L64" s="456">
        <v>0.214</v>
      </c>
      <c r="M64" s="229" t="s">
        <v>188</v>
      </c>
      <c r="N64" s="278" t="s">
        <v>188</v>
      </c>
      <c r="O64" s="278" t="s">
        <v>188</v>
      </c>
      <c r="P64" s="231">
        <f>+Q64+R64</f>
        <v>223</v>
      </c>
      <c r="Q64" s="262">
        <v>53</v>
      </c>
      <c r="R64" s="231">
        <v>170</v>
      </c>
      <c r="S64" s="486" t="s">
        <v>188</v>
      </c>
    </row>
    <row r="65" spans="1:19" s="76" customFormat="1" ht="13.5">
      <c r="A65" s="191"/>
      <c r="B65" s="173"/>
      <c r="C65" s="173"/>
      <c r="D65" s="192"/>
      <c r="E65" s="157"/>
      <c r="F65" s="157"/>
      <c r="G65" s="157"/>
      <c r="H65" s="157"/>
      <c r="I65" s="193"/>
      <c r="J65" s="157"/>
      <c r="K65" s="146"/>
      <c r="L65" s="146"/>
      <c r="M65" s="146"/>
      <c r="N65" s="146"/>
      <c r="O65" s="146"/>
      <c r="P65" s="146"/>
      <c r="Q65" s="146"/>
      <c r="R65" s="146"/>
      <c r="S65" s="158"/>
    </row>
    <row r="66" spans="1:19" s="15" customFormat="1" ht="18" customHeight="1">
      <c r="A66" s="597" t="s">
        <v>1</v>
      </c>
      <c r="B66" s="598"/>
      <c r="C66" s="556" t="s">
        <v>341</v>
      </c>
      <c r="D66" s="629" t="s">
        <v>161</v>
      </c>
      <c r="E66" s="630" t="s">
        <v>175</v>
      </c>
      <c r="F66" s="630" t="s">
        <v>176</v>
      </c>
      <c r="G66" s="556" t="s">
        <v>177</v>
      </c>
      <c r="H66" s="556" t="s">
        <v>178</v>
      </c>
      <c r="I66" s="556" t="s">
        <v>179</v>
      </c>
      <c r="J66" s="556" t="s">
        <v>180</v>
      </c>
      <c r="K66" s="642" t="s">
        <v>162</v>
      </c>
      <c r="L66" s="635" t="s">
        <v>163</v>
      </c>
      <c r="M66" s="633" t="s">
        <v>181</v>
      </c>
      <c r="N66" s="633"/>
      <c r="O66" s="634"/>
      <c r="P66" s="638" t="s">
        <v>165</v>
      </c>
      <c r="Q66" s="633"/>
      <c r="R66" s="633"/>
      <c r="S66" s="633" t="s">
        <v>182</v>
      </c>
    </row>
    <row r="67" spans="1:22" s="15" customFormat="1" ht="18" customHeight="1">
      <c r="A67" s="599"/>
      <c r="B67" s="600"/>
      <c r="C67" s="556"/>
      <c r="D67" s="629"/>
      <c r="E67" s="631"/>
      <c r="F67" s="631"/>
      <c r="G67" s="556"/>
      <c r="H67" s="556"/>
      <c r="I67" s="556"/>
      <c r="J67" s="556"/>
      <c r="K67" s="643"/>
      <c r="L67" s="636"/>
      <c r="M67" s="271" t="s">
        <v>164</v>
      </c>
      <c r="N67" s="252" t="s">
        <v>166</v>
      </c>
      <c r="O67" s="252" t="s">
        <v>340</v>
      </c>
      <c r="P67" s="272" t="s">
        <v>167</v>
      </c>
      <c r="Q67" s="273" t="s">
        <v>18</v>
      </c>
      <c r="R67" s="273" t="s">
        <v>19</v>
      </c>
      <c r="S67" s="556"/>
      <c r="U67" s="81"/>
      <c r="V67" s="81"/>
    </row>
    <row r="68" spans="1:22" s="15" customFormat="1" ht="13.5" customHeight="1">
      <c r="A68" s="585" t="s">
        <v>169</v>
      </c>
      <c r="B68" s="603" t="s">
        <v>355</v>
      </c>
      <c r="C68" s="588" t="s">
        <v>188</v>
      </c>
      <c r="D68" s="644" t="s">
        <v>589</v>
      </c>
      <c r="E68" s="274" t="s">
        <v>299</v>
      </c>
      <c r="F68" s="269" t="s">
        <v>188</v>
      </c>
      <c r="G68" s="269" t="s">
        <v>188</v>
      </c>
      <c r="H68" s="269" t="s">
        <v>188</v>
      </c>
      <c r="I68" s="275" t="s">
        <v>187</v>
      </c>
      <c r="J68" s="274" t="s">
        <v>330</v>
      </c>
      <c r="K68" s="276" t="s">
        <v>331</v>
      </c>
      <c r="L68" s="437">
        <f>43.1/1000</f>
        <v>0.0431</v>
      </c>
      <c r="M68" s="275" t="s">
        <v>347</v>
      </c>
      <c r="N68" s="269" t="s">
        <v>188</v>
      </c>
      <c r="O68" s="269" t="s">
        <v>188</v>
      </c>
      <c r="P68" s="410">
        <f>+Q68+R68</f>
        <v>338</v>
      </c>
      <c r="Q68" s="411">
        <v>78</v>
      </c>
      <c r="R68" s="412">
        <v>260</v>
      </c>
      <c r="S68" s="269" t="s">
        <v>188</v>
      </c>
      <c r="U68" s="81"/>
      <c r="V68" s="81"/>
    </row>
    <row r="69" spans="1:22" s="15" customFormat="1" ht="13.5" customHeight="1">
      <c r="A69" s="586"/>
      <c r="B69" s="604"/>
      <c r="C69" s="589"/>
      <c r="D69" s="645"/>
      <c r="E69" s="284" t="s">
        <v>243</v>
      </c>
      <c r="F69" s="285" t="s">
        <v>259</v>
      </c>
      <c r="G69" s="284" t="s">
        <v>581</v>
      </c>
      <c r="H69" s="284" t="s">
        <v>590</v>
      </c>
      <c r="I69" s="314" t="s">
        <v>357</v>
      </c>
      <c r="J69" s="284" t="s">
        <v>591</v>
      </c>
      <c r="K69" s="311">
        <v>309</v>
      </c>
      <c r="L69" s="312">
        <v>0.011</v>
      </c>
      <c r="M69" s="283" t="s">
        <v>332</v>
      </c>
      <c r="N69" s="270" t="s">
        <v>188</v>
      </c>
      <c r="O69" s="270" t="s">
        <v>188</v>
      </c>
      <c r="P69" s="414">
        <f aca="true" t="shared" si="3" ref="P69:P83">SUM(Q69:R69)</f>
        <v>100</v>
      </c>
      <c r="Q69" s="415">
        <v>24</v>
      </c>
      <c r="R69" s="416">
        <v>76</v>
      </c>
      <c r="S69" s="270" t="s">
        <v>188</v>
      </c>
      <c r="U69" s="81"/>
      <c r="V69" s="81"/>
    </row>
    <row r="70" spans="1:22" s="15" customFormat="1" ht="13.5" customHeight="1">
      <c r="A70" s="586"/>
      <c r="B70" s="604"/>
      <c r="C70" s="589"/>
      <c r="D70" s="645"/>
      <c r="E70" s="303" t="s">
        <v>243</v>
      </c>
      <c r="F70" s="304" t="s">
        <v>259</v>
      </c>
      <c r="G70" s="304" t="s">
        <v>580</v>
      </c>
      <c r="H70" s="304" t="s">
        <v>580</v>
      </c>
      <c r="I70" s="305" t="s">
        <v>704</v>
      </c>
      <c r="J70" s="284" t="s">
        <v>705</v>
      </c>
      <c r="K70" s="311">
        <v>410</v>
      </c>
      <c r="L70" s="312">
        <f>21.4/1000</f>
        <v>0.0214</v>
      </c>
      <c r="M70" s="283" t="s">
        <v>332</v>
      </c>
      <c r="N70" s="270" t="s">
        <v>188</v>
      </c>
      <c r="O70" s="270" t="s">
        <v>188</v>
      </c>
      <c r="P70" s="510">
        <f>SUM(Q70:R70)</f>
        <v>12.6</v>
      </c>
      <c r="Q70" s="409">
        <v>2.9</v>
      </c>
      <c r="R70" s="376">
        <v>9.7</v>
      </c>
      <c r="S70" s="270" t="s">
        <v>188</v>
      </c>
      <c r="U70" s="81"/>
      <c r="V70" s="81"/>
    </row>
    <row r="71" spans="1:22" s="15" customFormat="1" ht="13.5" customHeight="1">
      <c r="A71" s="586"/>
      <c r="B71" s="604"/>
      <c r="C71" s="589"/>
      <c r="D71" s="645"/>
      <c r="E71" s="279" t="s">
        <v>243</v>
      </c>
      <c r="F71" s="279" t="s">
        <v>259</v>
      </c>
      <c r="G71" s="279" t="s">
        <v>267</v>
      </c>
      <c r="H71" s="279" t="s">
        <v>268</v>
      </c>
      <c r="I71" s="280" t="s">
        <v>262</v>
      </c>
      <c r="J71" s="279" t="s">
        <v>194</v>
      </c>
      <c r="K71" s="311">
        <v>256</v>
      </c>
      <c r="L71" s="312">
        <f>20.2/1000</f>
        <v>0.0202</v>
      </c>
      <c r="M71" s="283" t="s">
        <v>332</v>
      </c>
      <c r="N71" s="270" t="s">
        <v>188</v>
      </c>
      <c r="O71" s="270" t="s">
        <v>188</v>
      </c>
      <c r="P71" s="407">
        <f>+Q71+R71</f>
        <v>183</v>
      </c>
      <c r="Q71" s="408">
        <v>43</v>
      </c>
      <c r="R71" s="377">
        <v>140</v>
      </c>
      <c r="S71" s="270" t="s">
        <v>188</v>
      </c>
      <c r="U71" s="81"/>
      <c r="V71" s="81"/>
    </row>
    <row r="72" spans="1:22" s="15" customFormat="1" ht="13.5" customHeight="1">
      <c r="A72" s="586"/>
      <c r="B72" s="604"/>
      <c r="C72" s="589"/>
      <c r="D72" s="645"/>
      <c r="E72" s="284" t="s">
        <v>243</v>
      </c>
      <c r="F72" s="279" t="s">
        <v>259</v>
      </c>
      <c r="G72" s="279" t="s">
        <v>751</v>
      </c>
      <c r="H72" s="279" t="s">
        <v>760</v>
      </c>
      <c r="I72" s="280" t="s">
        <v>675</v>
      </c>
      <c r="J72" s="279" t="s">
        <v>723</v>
      </c>
      <c r="K72" s="622">
        <v>43</v>
      </c>
      <c r="L72" s="607">
        <f>12.3/1000</f>
        <v>0.0123</v>
      </c>
      <c r="M72" s="608" t="s">
        <v>360</v>
      </c>
      <c r="N72" s="609" t="s">
        <v>188</v>
      </c>
      <c r="O72" s="609" t="s">
        <v>188</v>
      </c>
      <c r="P72" s="682">
        <f t="shared" si="3"/>
        <v>41.9</v>
      </c>
      <c r="Q72" s="683">
        <v>9.9</v>
      </c>
      <c r="R72" s="601">
        <v>32</v>
      </c>
      <c r="S72" s="609" t="s">
        <v>188</v>
      </c>
      <c r="U72" s="81"/>
      <c r="V72" s="81"/>
    </row>
    <row r="73" spans="1:22" s="15" customFormat="1" ht="13.5" customHeight="1">
      <c r="A73" s="586"/>
      <c r="B73" s="604"/>
      <c r="C73" s="589"/>
      <c r="D73" s="645"/>
      <c r="E73" s="284" t="s">
        <v>243</v>
      </c>
      <c r="F73" s="313" t="s">
        <v>259</v>
      </c>
      <c r="G73" s="313" t="s">
        <v>751</v>
      </c>
      <c r="H73" s="279" t="s">
        <v>760</v>
      </c>
      <c r="I73" s="280" t="s">
        <v>685</v>
      </c>
      <c r="J73" s="279" t="s">
        <v>766</v>
      </c>
      <c r="K73" s="602"/>
      <c r="L73" s="602"/>
      <c r="M73" s="675"/>
      <c r="N73" s="677"/>
      <c r="O73" s="677"/>
      <c r="P73" s="602"/>
      <c r="Q73" s="679"/>
      <c r="R73" s="602"/>
      <c r="S73" s="677"/>
      <c r="U73" s="81"/>
      <c r="V73" s="81"/>
    </row>
    <row r="74" spans="1:22" s="15" customFormat="1" ht="13.5" customHeight="1">
      <c r="A74" s="586"/>
      <c r="B74" s="604"/>
      <c r="C74" s="589"/>
      <c r="D74" s="645"/>
      <c r="E74" s="284" t="s">
        <v>243</v>
      </c>
      <c r="F74" s="279" t="s">
        <v>259</v>
      </c>
      <c r="G74" s="279" t="s">
        <v>751</v>
      </c>
      <c r="H74" s="279" t="s">
        <v>760</v>
      </c>
      <c r="I74" s="280" t="s">
        <v>761</v>
      </c>
      <c r="J74" s="458" t="s">
        <v>693</v>
      </c>
      <c r="K74" s="602"/>
      <c r="L74" s="602"/>
      <c r="M74" s="675"/>
      <c r="N74" s="677"/>
      <c r="O74" s="677"/>
      <c r="P74" s="602"/>
      <c r="Q74" s="679"/>
      <c r="R74" s="602"/>
      <c r="S74" s="677"/>
      <c r="U74" s="81"/>
      <c r="V74" s="81"/>
    </row>
    <row r="75" spans="1:22" s="15" customFormat="1" ht="13.5" customHeight="1">
      <c r="A75" s="586"/>
      <c r="B75" s="604"/>
      <c r="C75" s="589"/>
      <c r="D75" s="645"/>
      <c r="E75" s="284" t="s">
        <v>243</v>
      </c>
      <c r="F75" s="313" t="s">
        <v>259</v>
      </c>
      <c r="G75" s="279" t="s">
        <v>751</v>
      </c>
      <c r="H75" s="279" t="s">
        <v>763</v>
      </c>
      <c r="I75" s="280" t="s">
        <v>764</v>
      </c>
      <c r="J75" s="279" t="s">
        <v>765</v>
      </c>
      <c r="K75" s="602"/>
      <c r="L75" s="602"/>
      <c r="M75" s="675"/>
      <c r="N75" s="677"/>
      <c r="O75" s="677"/>
      <c r="P75" s="602"/>
      <c r="Q75" s="679"/>
      <c r="R75" s="602"/>
      <c r="S75" s="677"/>
      <c r="U75" s="81"/>
      <c r="V75" s="81"/>
    </row>
    <row r="76" spans="1:22" s="15" customFormat="1" ht="13.5" customHeight="1">
      <c r="A76" s="586"/>
      <c r="B76" s="604"/>
      <c r="C76" s="589"/>
      <c r="D76" s="645"/>
      <c r="E76" s="284" t="s">
        <v>243</v>
      </c>
      <c r="F76" s="313" t="s">
        <v>259</v>
      </c>
      <c r="G76" s="279" t="s">
        <v>751</v>
      </c>
      <c r="H76" s="279" t="s">
        <v>763</v>
      </c>
      <c r="I76" s="280" t="s">
        <v>696</v>
      </c>
      <c r="J76" s="279" t="s">
        <v>762</v>
      </c>
      <c r="K76" s="573"/>
      <c r="L76" s="573"/>
      <c r="M76" s="676"/>
      <c r="N76" s="559"/>
      <c r="O76" s="559"/>
      <c r="P76" s="573"/>
      <c r="Q76" s="680"/>
      <c r="R76" s="573"/>
      <c r="S76" s="559"/>
      <c r="U76" s="81"/>
      <c r="V76" s="81"/>
    </row>
    <row r="77" spans="1:19" s="76" customFormat="1" ht="13.5" customHeight="1">
      <c r="A77" s="586"/>
      <c r="B77" s="604"/>
      <c r="C77" s="589"/>
      <c r="D77" s="645"/>
      <c r="E77" s="279" t="s">
        <v>243</v>
      </c>
      <c r="F77" s="279" t="s">
        <v>259</v>
      </c>
      <c r="G77" s="279" t="s">
        <v>279</v>
      </c>
      <c r="H77" s="279" t="s">
        <v>279</v>
      </c>
      <c r="I77" s="280" t="s">
        <v>280</v>
      </c>
      <c r="J77" s="279" t="s">
        <v>204</v>
      </c>
      <c r="K77" s="311">
        <v>40</v>
      </c>
      <c r="L77" s="312">
        <f>23.6/1000</f>
        <v>0.023600000000000003</v>
      </c>
      <c r="M77" s="283" t="s">
        <v>332</v>
      </c>
      <c r="N77" s="270" t="s">
        <v>188</v>
      </c>
      <c r="O77" s="270" t="s">
        <v>188</v>
      </c>
      <c r="P77" s="407">
        <f t="shared" si="3"/>
        <v>75</v>
      </c>
      <c r="Q77" s="408">
        <v>20</v>
      </c>
      <c r="R77" s="377">
        <v>55</v>
      </c>
      <c r="S77" s="270" t="s">
        <v>188</v>
      </c>
    </row>
    <row r="78" spans="1:19" s="76" customFormat="1" ht="13.5" customHeight="1">
      <c r="A78" s="586"/>
      <c r="B78" s="604"/>
      <c r="C78" s="589"/>
      <c r="D78" s="645"/>
      <c r="E78" s="306" t="s">
        <v>243</v>
      </c>
      <c r="F78" s="306" t="s">
        <v>244</v>
      </c>
      <c r="G78" s="307" t="s">
        <v>245</v>
      </c>
      <c r="H78" s="244" t="s">
        <v>586</v>
      </c>
      <c r="I78" s="308" t="s">
        <v>585</v>
      </c>
      <c r="J78" s="244" t="s">
        <v>587</v>
      </c>
      <c r="K78" s="88">
        <v>150</v>
      </c>
      <c r="L78" s="290">
        <f>20.2/1000</f>
        <v>0.0202</v>
      </c>
      <c r="M78" s="254" t="s">
        <v>335</v>
      </c>
      <c r="N78" s="86" t="s">
        <v>188</v>
      </c>
      <c r="O78" s="86" t="s">
        <v>188</v>
      </c>
      <c r="P78" s="395">
        <f t="shared" si="3"/>
        <v>46</v>
      </c>
      <c r="Q78" s="397">
        <v>10</v>
      </c>
      <c r="R78" s="381">
        <v>36</v>
      </c>
      <c r="S78" s="86" t="s">
        <v>188</v>
      </c>
    </row>
    <row r="79" spans="1:19" s="76" customFormat="1" ht="13.5" customHeight="1">
      <c r="A79" s="586"/>
      <c r="B79" s="604"/>
      <c r="C79" s="589"/>
      <c r="D79" s="645"/>
      <c r="E79" s="244" t="s">
        <v>252</v>
      </c>
      <c r="F79" s="237" t="s">
        <v>253</v>
      </c>
      <c r="G79" s="237" t="s">
        <v>254</v>
      </c>
      <c r="H79" s="237" t="s">
        <v>255</v>
      </c>
      <c r="I79" s="287" t="s">
        <v>256</v>
      </c>
      <c r="J79" s="244" t="s">
        <v>198</v>
      </c>
      <c r="K79" s="88">
        <v>26</v>
      </c>
      <c r="L79" s="290">
        <f>33.6/1000</f>
        <v>0.033600000000000005</v>
      </c>
      <c r="M79" s="254" t="s">
        <v>335</v>
      </c>
      <c r="N79" s="86" t="s">
        <v>188</v>
      </c>
      <c r="O79" s="370" t="s">
        <v>346</v>
      </c>
      <c r="P79" s="395">
        <f t="shared" si="3"/>
        <v>62</v>
      </c>
      <c r="Q79" s="396">
        <v>15</v>
      </c>
      <c r="R79" s="381">
        <v>47</v>
      </c>
      <c r="S79" s="86" t="s">
        <v>188</v>
      </c>
    </row>
    <row r="80" spans="1:19" s="76" customFormat="1" ht="13.5" customHeight="1">
      <c r="A80" s="586"/>
      <c r="B80" s="604"/>
      <c r="C80" s="589"/>
      <c r="D80" s="645"/>
      <c r="E80" s="306" t="s">
        <v>226</v>
      </c>
      <c r="F80" s="318" t="s">
        <v>230</v>
      </c>
      <c r="G80" s="319" t="s">
        <v>593</v>
      </c>
      <c r="H80" s="319" t="s">
        <v>593</v>
      </c>
      <c r="I80" s="320" t="s">
        <v>594</v>
      </c>
      <c r="J80" s="321" t="s">
        <v>595</v>
      </c>
      <c r="K80" s="315">
        <v>20</v>
      </c>
      <c r="L80" s="322">
        <v>0.018</v>
      </c>
      <c r="M80" s="317" t="s">
        <v>329</v>
      </c>
      <c r="N80" s="86" t="s">
        <v>188</v>
      </c>
      <c r="O80" s="86" t="s">
        <v>188</v>
      </c>
      <c r="P80" s="399">
        <f t="shared" si="3"/>
        <v>10.8</v>
      </c>
      <c r="Q80" s="447">
        <v>2.5</v>
      </c>
      <c r="R80" s="448">
        <v>8.3</v>
      </c>
      <c r="S80" s="86" t="s">
        <v>188</v>
      </c>
    </row>
    <row r="81" spans="1:19" s="76" customFormat="1" ht="13.5" customHeight="1">
      <c r="A81" s="586"/>
      <c r="B81" s="604"/>
      <c r="C81" s="589"/>
      <c r="D81" s="645"/>
      <c r="E81" s="244" t="s">
        <v>226</v>
      </c>
      <c r="F81" s="237" t="s">
        <v>230</v>
      </c>
      <c r="G81" s="237" t="s">
        <v>228</v>
      </c>
      <c r="H81" s="237" t="s">
        <v>228</v>
      </c>
      <c r="I81" s="287" t="s">
        <v>235</v>
      </c>
      <c r="J81" s="244" t="s">
        <v>190</v>
      </c>
      <c r="K81" s="245">
        <v>1</v>
      </c>
      <c r="L81" s="289">
        <v>0.019</v>
      </c>
      <c r="M81" s="317" t="s">
        <v>329</v>
      </c>
      <c r="N81" s="255" t="s">
        <v>596</v>
      </c>
      <c r="O81" s="367" t="s">
        <v>774</v>
      </c>
      <c r="P81" s="395">
        <f>+Q81+R81</f>
        <v>104</v>
      </c>
      <c r="Q81" s="449">
        <v>24</v>
      </c>
      <c r="R81" s="378">
        <v>80</v>
      </c>
      <c r="S81" s="86" t="s">
        <v>188</v>
      </c>
    </row>
    <row r="82" spans="1:19" s="76" customFormat="1" ht="13.5" customHeight="1">
      <c r="A82" s="586"/>
      <c r="B82" s="604"/>
      <c r="C82" s="589"/>
      <c r="D82" s="645"/>
      <c r="E82" s="234" t="s">
        <v>226</v>
      </c>
      <c r="F82" s="235" t="s">
        <v>230</v>
      </c>
      <c r="G82" s="235" t="s">
        <v>231</v>
      </c>
      <c r="H82" s="235" t="s">
        <v>231</v>
      </c>
      <c r="I82" s="236" t="s">
        <v>236</v>
      </c>
      <c r="J82" s="237" t="s">
        <v>192</v>
      </c>
      <c r="K82" s="315">
        <v>3</v>
      </c>
      <c r="L82" s="316">
        <v>1.515</v>
      </c>
      <c r="M82" s="317" t="s">
        <v>329</v>
      </c>
      <c r="N82" s="255" t="s">
        <v>577</v>
      </c>
      <c r="O82" s="367" t="s">
        <v>774</v>
      </c>
      <c r="P82" s="238">
        <f t="shared" si="3"/>
        <v>44</v>
      </c>
      <c r="Q82" s="239">
        <v>11</v>
      </c>
      <c r="R82" s="240">
        <v>33</v>
      </c>
      <c r="S82" s="207">
        <v>1.3</v>
      </c>
    </row>
    <row r="83" spans="1:19" s="76" customFormat="1" ht="13.5" customHeight="1">
      <c r="A83" s="586"/>
      <c r="B83" s="604"/>
      <c r="C83" s="589"/>
      <c r="D83" s="645"/>
      <c r="E83" s="234" t="s">
        <v>226</v>
      </c>
      <c r="F83" s="235" t="s">
        <v>230</v>
      </c>
      <c r="G83" s="235" t="s">
        <v>239</v>
      </c>
      <c r="H83" s="235" t="s">
        <v>242</v>
      </c>
      <c r="I83" s="236" t="s">
        <v>588</v>
      </c>
      <c r="J83" s="244" t="s">
        <v>206</v>
      </c>
      <c r="K83" s="88">
        <v>9</v>
      </c>
      <c r="L83" s="290">
        <f>25.8/1000</f>
        <v>0.0258</v>
      </c>
      <c r="M83" s="254" t="s">
        <v>329</v>
      </c>
      <c r="N83" s="86" t="s">
        <v>188</v>
      </c>
      <c r="O83" s="86" t="s">
        <v>188</v>
      </c>
      <c r="P83" s="395">
        <f t="shared" si="3"/>
        <v>88</v>
      </c>
      <c r="Q83" s="397">
        <v>23</v>
      </c>
      <c r="R83" s="381">
        <v>65</v>
      </c>
      <c r="S83" s="86" t="s">
        <v>188</v>
      </c>
    </row>
    <row r="84" spans="1:19" s="76" customFormat="1" ht="13.5" customHeight="1">
      <c r="A84" s="587"/>
      <c r="B84" s="605"/>
      <c r="C84" s="590"/>
      <c r="D84" s="646"/>
      <c r="E84" s="228" t="s">
        <v>297</v>
      </c>
      <c r="F84" s="229" t="s">
        <v>188</v>
      </c>
      <c r="G84" s="229" t="s">
        <v>188</v>
      </c>
      <c r="H84" s="229" t="s">
        <v>188</v>
      </c>
      <c r="I84" s="229" t="s">
        <v>188</v>
      </c>
      <c r="J84" s="230" t="s">
        <v>401</v>
      </c>
      <c r="K84" s="277" t="s">
        <v>331</v>
      </c>
      <c r="L84" s="324">
        <f>226.7/1000</f>
        <v>0.22669999999999998</v>
      </c>
      <c r="M84" s="229" t="s">
        <v>188</v>
      </c>
      <c r="N84" s="278" t="s">
        <v>188</v>
      </c>
      <c r="O84" s="278" t="s">
        <v>188</v>
      </c>
      <c r="P84" s="417">
        <f>+Q84+R84</f>
        <v>224</v>
      </c>
      <c r="Q84" s="418">
        <v>54</v>
      </c>
      <c r="R84" s="419">
        <v>170</v>
      </c>
      <c r="S84" s="278" t="s">
        <v>188</v>
      </c>
    </row>
    <row r="85" spans="1:23" s="120" customFormat="1" ht="17.25" customHeight="1">
      <c r="A85" s="186"/>
      <c r="B85" s="368" t="s">
        <v>390</v>
      </c>
      <c r="C85" s="146"/>
      <c r="D85" s="188"/>
      <c r="E85" s="188"/>
      <c r="F85" s="189"/>
      <c r="G85" s="189"/>
      <c r="H85" s="189"/>
      <c r="I85" s="150"/>
      <c r="J85" s="146"/>
      <c r="K85" s="147"/>
      <c r="L85" s="148"/>
      <c r="M85" s="149"/>
      <c r="N85" s="150"/>
      <c r="O85" s="149"/>
      <c r="P85" s="146"/>
      <c r="Q85" s="146"/>
      <c r="R85" s="146"/>
      <c r="S85" s="158"/>
      <c r="T85" s="76"/>
      <c r="U85" s="76"/>
      <c r="V85" s="76"/>
      <c r="W85" s="76"/>
    </row>
    <row r="86" spans="1:23" s="120" customFormat="1" ht="17.25" customHeight="1">
      <c r="A86" s="186"/>
      <c r="B86" s="368" t="s">
        <v>391</v>
      </c>
      <c r="C86" s="146"/>
      <c r="D86" s="188"/>
      <c r="E86" s="188"/>
      <c r="F86" s="189"/>
      <c r="G86" s="189"/>
      <c r="H86" s="189"/>
      <c r="I86" s="150"/>
      <c r="J86" s="146"/>
      <c r="K86" s="147"/>
      <c r="L86" s="148"/>
      <c r="M86" s="149"/>
      <c r="N86" s="150"/>
      <c r="O86" s="149"/>
      <c r="P86" s="146"/>
      <c r="Q86" s="146"/>
      <c r="R86" s="146"/>
      <c r="S86" s="158"/>
      <c r="T86" s="76"/>
      <c r="U86" s="76"/>
      <c r="V86" s="76"/>
      <c r="W86" s="76"/>
    </row>
    <row r="87" spans="1:23" s="120" customFormat="1" ht="17.25" customHeight="1">
      <c r="A87" s="186"/>
      <c r="B87" s="368" t="s">
        <v>402</v>
      </c>
      <c r="C87" s="146"/>
      <c r="D87" s="188"/>
      <c r="E87" s="188"/>
      <c r="F87" s="189"/>
      <c r="G87" s="189"/>
      <c r="H87" s="189"/>
      <c r="I87" s="150"/>
      <c r="J87" s="146"/>
      <c r="K87" s="147"/>
      <c r="L87" s="148"/>
      <c r="M87" s="149"/>
      <c r="N87" s="151"/>
      <c r="O87" s="152"/>
      <c r="P87" s="146"/>
      <c r="Q87" s="146"/>
      <c r="R87" s="146"/>
      <c r="S87" s="158"/>
      <c r="T87" s="76"/>
      <c r="U87" s="76"/>
      <c r="V87" s="76"/>
      <c r="W87" s="76"/>
    </row>
    <row r="88" spans="1:23" s="120" customFormat="1" ht="17.25" customHeight="1">
      <c r="A88" s="186"/>
      <c r="B88" s="368" t="s">
        <v>392</v>
      </c>
      <c r="C88" s="146"/>
      <c r="D88" s="188"/>
      <c r="E88" s="188"/>
      <c r="F88" s="189"/>
      <c r="G88" s="189"/>
      <c r="H88" s="189"/>
      <c r="I88" s="150"/>
      <c r="J88" s="146"/>
      <c r="K88" s="147"/>
      <c r="L88" s="148"/>
      <c r="M88" s="149"/>
      <c r="N88" s="151"/>
      <c r="O88" s="149"/>
      <c r="P88" s="146"/>
      <c r="Q88" s="146"/>
      <c r="R88" s="146"/>
      <c r="S88" s="158"/>
      <c r="T88" s="76"/>
      <c r="U88" s="76"/>
      <c r="V88" s="76"/>
      <c r="W88" s="76"/>
    </row>
    <row r="89" spans="1:23" s="120" customFormat="1" ht="17.25" customHeight="1">
      <c r="A89" s="186"/>
      <c r="B89" s="368" t="s">
        <v>393</v>
      </c>
      <c r="C89" s="146"/>
      <c r="D89" s="188"/>
      <c r="E89" s="188"/>
      <c r="F89" s="189"/>
      <c r="G89" s="189"/>
      <c r="H89" s="189"/>
      <c r="I89" s="150"/>
      <c r="J89" s="146"/>
      <c r="K89" s="147"/>
      <c r="L89" s="148"/>
      <c r="M89" s="149"/>
      <c r="N89" s="151"/>
      <c r="O89" s="149"/>
      <c r="P89" s="146"/>
      <c r="Q89" s="146"/>
      <c r="R89" s="146"/>
      <c r="S89" s="158"/>
      <c r="T89" s="76"/>
      <c r="U89" s="76"/>
      <c r="V89" s="76"/>
      <c r="W89" s="76"/>
    </row>
    <row r="90" spans="1:23" s="120" customFormat="1" ht="17.25" customHeight="1">
      <c r="A90" s="186"/>
      <c r="B90" s="368" t="s">
        <v>394</v>
      </c>
      <c r="C90" s="146"/>
      <c r="D90" s="188"/>
      <c r="E90" s="188"/>
      <c r="F90" s="189"/>
      <c r="G90" s="189"/>
      <c r="H90" s="189"/>
      <c r="I90" s="150"/>
      <c r="J90" s="146"/>
      <c r="K90" s="147"/>
      <c r="L90" s="148"/>
      <c r="M90" s="149"/>
      <c r="N90" s="150"/>
      <c r="O90" s="149"/>
      <c r="P90" s="146"/>
      <c r="Q90" s="146"/>
      <c r="R90" s="146"/>
      <c r="S90" s="158"/>
      <c r="T90" s="76"/>
      <c r="U90" s="76"/>
      <c r="V90" s="76"/>
      <c r="W90" s="76"/>
    </row>
    <row r="91" spans="1:23" s="120" customFormat="1" ht="17.25" customHeight="1">
      <c r="A91" s="186"/>
      <c r="B91" s="368" t="s">
        <v>395</v>
      </c>
      <c r="C91" s="146"/>
      <c r="D91" s="188"/>
      <c r="E91" s="188"/>
      <c r="F91" s="189"/>
      <c r="G91" s="189"/>
      <c r="H91" s="189"/>
      <c r="I91" s="150"/>
      <c r="J91" s="146"/>
      <c r="K91" s="147"/>
      <c r="L91" s="148"/>
      <c r="M91" s="149"/>
      <c r="N91" s="150"/>
      <c r="O91" s="149"/>
      <c r="P91" s="146"/>
      <c r="Q91" s="146"/>
      <c r="R91" s="146"/>
      <c r="S91" s="158"/>
      <c r="T91" s="76"/>
      <c r="U91" s="76"/>
      <c r="V91" s="76"/>
      <c r="W91" s="76"/>
    </row>
    <row r="92" spans="1:23" s="120" customFormat="1" ht="17.25" customHeight="1">
      <c r="A92" s="186"/>
      <c r="B92" s="368" t="s">
        <v>396</v>
      </c>
      <c r="C92" s="146"/>
      <c r="D92" s="188"/>
      <c r="E92" s="188"/>
      <c r="F92" s="189"/>
      <c r="G92" s="189"/>
      <c r="H92" s="189"/>
      <c r="I92" s="150"/>
      <c r="J92" s="146"/>
      <c r="K92" s="147"/>
      <c r="L92" s="148"/>
      <c r="M92" s="149"/>
      <c r="N92" s="150"/>
      <c r="O92" s="149"/>
      <c r="P92" s="146"/>
      <c r="Q92" s="146"/>
      <c r="R92" s="146"/>
      <c r="S92" s="158"/>
      <c r="T92" s="76"/>
      <c r="U92" s="76"/>
      <c r="V92" s="76"/>
      <c r="W92" s="76"/>
    </row>
    <row r="93" spans="1:23" s="120" customFormat="1" ht="17.25" customHeight="1">
      <c r="A93" s="186"/>
      <c r="B93" s="368" t="s">
        <v>397</v>
      </c>
      <c r="C93" s="146"/>
      <c r="D93" s="188"/>
      <c r="E93" s="188"/>
      <c r="F93" s="189"/>
      <c r="G93" s="189"/>
      <c r="H93" s="189"/>
      <c r="I93" s="150"/>
      <c r="J93" s="146"/>
      <c r="K93" s="147"/>
      <c r="L93" s="148"/>
      <c r="M93" s="149"/>
      <c r="N93" s="150"/>
      <c r="O93" s="149"/>
      <c r="P93" s="153"/>
      <c r="Q93" s="154"/>
      <c r="R93" s="155"/>
      <c r="S93" s="156"/>
      <c r="T93" s="121"/>
      <c r="U93" s="122"/>
      <c r="V93" s="121"/>
      <c r="W93" s="76"/>
    </row>
    <row r="94" spans="1:26" s="76" customFormat="1" ht="13.5">
      <c r="A94" s="190"/>
      <c r="B94" s="169"/>
      <c r="C94" s="169"/>
      <c r="D94" s="194"/>
      <c r="E94" s="157"/>
      <c r="F94" s="157"/>
      <c r="G94" s="195"/>
      <c r="H94" s="166"/>
      <c r="I94" s="167"/>
      <c r="J94" s="159"/>
      <c r="K94" s="160"/>
      <c r="L94" s="161"/>
      <c r="M94" s="162"/>
      <c r="N94" s="163"/>
      <c r="O94" s="163"/>
      <c r="P94" s="164"/>
      <c r="Q94" s="162"/>
      <c r="R94" s="162"/>
      <c r="S94" s="165"/>
      <c r="T94" s="82"/>
      <c r="U94" s="82"/>
      <c r="V94" s="83"/>
      <c r="W94" s="81"/>
      <c r="X94" s="83"/>
      <c r="Y94" s="83"/>
      <c r="Z94" s="13"/>
    </row>
    <row r="95" spans="1:19" s="15" customFormat="1" ht="18" customHeight="1">
      <c r="A95" s="597" t="s">
        <v>1</v>
      </c>
      <c r="B95" s="598"/>
      <c r="C95" s="556" t="s">
        <v>341</v>
      </c>
      <c r="D95" s="629" t="s">
        <v>161</v>
      </c>
      <c r="E95" s="630" t="s">
        <v>175</v>
      </c>
      <c r="F95" s="630" t="s">
        <v>176</v>
      </c>
      <c r="G95" s="556" t="s">
        <v>177</v>
      </c>
      <c r="H95" s="556" t="s">
        <v>178</v>
      </c>
      <c r="I95" s="556" t="s">
        <v>179</v>
      </c>
      <c r="J95" s="556" t="s">
        <v>180</v>
      </c>
      <c r="K95" s="642" t="s">
        <v>162</v>
      </c>
      <c r="L95" s="635" t="s">
        <v>163</v>
      </c>
      <c r="M95" s="633" t="s">
        <v>181</v>
      </c>
      <c r="N95" s="633"/>
      <c r="O95" s="634"/>
      <c r="P95" s="638" t="s">
        <v>165</v>
      </c>
      <c r="Q95" s="633"/>
      <c r="R95" s="633"/>
      <c r="S95" s="640" t="s">
        <v>182</v>
      </c>
    </row>
    <row r="96" spans="1:22" s="15" customFormat="1" ht="18" customHeight="1">
      <c r="A96" s="599"/>
      <c r="B96" s="600"/>
      <c r="C96" s="556"/>
      <c r="D96" s="629"/>
      <c r="E96" s="631"/>
      <c r="F96" s="631"/>
      <c r="G96" s="556"/>
      <c r="H96" s="556"/>
      <c r="I96" s="556"/>
      <c r="J96" s="556"/>
      <c r="K96" s="643"/>
      <c r="L96" s="636"/>
      <c r="M96" s="271" t="s">
        <v>164</v>
      </c>
      <c r="N96" s="252" t="s">
        <v>166</v>
      </c>
      <c r="O96" s="252" t="s">
        <v>340</v>
      </c>
      <c r="P96" s="272" t="s">
        <v>167</v>
      </c>
      <c r="Q96" s="273" t="s">
        <v>18</v>
      </c>
      <c r="R96" s="273" t="s">
        <v>19</v>
      </c>
      <c r="S96" s="641"/>
      <c r="U96" s="81"/>
      <c r="V96" s="81"/>
    </row>
    <row r="97" spans="1:19" s="76" customFormat="1" ht="13.5" customHeight="1">
      <c r="A97" s="585" t="s">
        <v>168</v>
      </c>
      <c r="B97" s="603" t="s">
        <v>348</v>
      </c>
      <c r="C97" s="588" t="s">
        <v>188</v>
      </c>
      <c r="D97" s="591">
        <v>41978</v>
      </c>
      <c r="E97" s="274" t="s">
        <v>299</v>
      </c>
      <c r="F97" s="269" t="s">
        <v>188</v>
      </c>
      <c r="G97" s="269" t="s">
        <v>188</v>
      </c>
      <c r="H97" s="269" t="s">
        <v>188</v>
      </c>
      <c r="I97" s="275" t="s">
        <v>187</v>
      </c>
      <c r="J97" s="274" t="s">
        <v>330</v>
      </c>
      <c r="K97" s="276" t="s">
        <v>331</v>
      </c>
      <c r="L97" s="439">
        <f>60.3/1000</f>
        <v>0.0603</v>
      </c>
      <c r="M97" s="275" t="s">
        <v>349</v>
      </c>
      <c r="N97" s="269" t="s">
        <v>188</v>
      </c>
      <c r="O97" s="269" t="s">
        <v>188</v>
      </c>
      <c r="P97" s="384">
        <f>+Q97+R97</f>
        <v>1230</v>
      </c>
      <c r="Q97" s="412">
        <v>290</v>
      </c>
      <c r="R97" s="412">
        <v>940</v>
      </c>
      <c r="S97" s="269" t="s">
        <v>188</v>
      </c>
    </row>
    <row r="98" spans="1:19" s="76" customFormat="1" ht="13.5" customHeight="1">
      <c r="A98" s="586"/>
      <c r="B98" s="604"/>
      <c r="C98" s="589"/>
      <c r="D98" s="592"/>
      <c r="E98" s="284" t="s">
        <v>243</v>
      </c>
      <c r="F98" s="285" t="s">
        <v>259</v>
      </c>
      <c r="G98" s="285" t="s">
        <v>581</v>
      </c>
      <c r="H98" s="285" t="s">
        <v>597</v>
      </c>
      <c r="I98" s="474" t="s">
        <v>706</v>
      </c>
      <c r="J98" s="475" t="s">
        <v>707</v>
      </c>
      <c r="K98" s="606">
        <v>1104</v>
      </c>
      <c r="L98" s="607">
        <f>11.7/1000</f>
        <v>0.011699999999999999</v>
      </c>
      <c r="M98" s="608" t="s">
        <v>332</v>
      </c>
      <c r="N98" s="609" t="s">
        <v>188</v>
      </c>
      <c r="O98" s="609" t="s">
        <v>188</v>
      </c>
      <c r="P98" s="610">
        <f>+Q98+R98</f>
        <v>232</v>
      </c>
      <c r="Q98" s="601">
        <v>62</v>
      </c>
      <c r="R98" s="601">
        <v>170</v>
      </c>
      <c r="S98" s="609" t="s">
        <v>188</v>
      </c>
    </row>
    <row r="99" spans="1:19" s="76" customFormat="1" ht="13.5" customHeight="1">
      <c r="A99" s="586"/>
      <c r="B99" s="604"/>
      <c r="C99" s="589"/>
      <c r="D99" s="592"/>
      <c r="E99" s="284" t="s">
        <v>243</v>
      </c>
      <c r="F99" s="285" t="s">
        <v>259</v>
      </c>
      <c r="G99" s="285" t="s">
        <v>581</v>
      </c>
      <c r="H99" s="285" t="s">
        <v>597</v>
      </c>
      <c r="I99" s="516" t="s">
        <v>769</v>
      </c>
      <c r="J99" s="469" t="s">
        <v>701</v>
      </c>
      <c r="K99" s="602"/>
      <c r="L99" s="602"/>
      <c r="M99" s="602"/>
      <c r="N99" s="602"/>
      <c r="O99" s="602"/>
      <c r="P99" s="602"/>
      <c r="Q99" s="602"/>
      <c r="R99" s="602"/>
      <c r="S99" s="618"/>
    </row>
    <row r="100" spans="1:19" s="76" customFormat="1" ht="13.5" customHeight="1">
      <c r="A100" s="586"/>
      <c r="B100" s="604"/>
      <c r="C100" s="589"/>
      <c r="D100" s="592"/>
      <c r="E100" s="284" t="s">
        <v>243</v>
      </c>
      <c r="F100" s="285" t="s">
        <v>259</v>
      </c>
      <c r="G100" s="285" t="s">
        <v>581</v>
      </c>
      <c r="H100" s="285" t="s">
        <v>597</v>
      </c>
      <c r="I100" s="516" t="s">
        <v>770</v>
      </c>
      <c r="J100" s="328" t="s">
        <v>702</v>
      </c>
      <c r="K100" s="602"/>
      <c r="L100" s="602"/>
      <c r="M100" s="602"/>
      <c r="N100" s="602"/>
      <c r="O100" s="602"/>
      <c r="P100" s="602"/>
      <c r="Q100" s="602"/>
      <c r="R100" s="602"/>
      <c r="S100" s="618"/>
    </row>
    <row r="101" spans="1:19" s="76" customFormat="1" ht="13.5" customHeight="1">
      <c r="A101" s="586"/>
      <c r="B101" s="604"/>
      <c r="C101" s="589"/>
      <c r="D101" s="592"/>
      <c r="E101" s="284" t="s">
        <v>243</v>
      </c>
      <c r="F101" s="285" t="s">
        <v>259</v>
      </c>
      <c r="G101" s="285" t="s">
        <v>581</v>
      </c>
      <c r="H101" s="285" t="s">
        <v>597</v>
      </c>
      <c r="I101" s="327" t="s">
        <v>598</v>
      </c>
      <c r="J101" s="328" t="s">
        <v>703</v>
      </c>
      <c r="K101" s="573"/>
      <c r="L101" s="573"/>
      <c r="M101" s="573"/>
      <c r="N101" s="573"/>
      <c r="O101" s="573"/>
      <c r="P101" s="573"/>
      <c r="Q101" s="573"/>
      <c r="R101" s="573"/>
      <c r="S101" s="619"/>
    </row>
    <row r="102" spans="1:19" s="76" customFormat="1" ht="13.5" customHeight="1">
      <c r="A102" s="586"/>
      <c r="B102" s="604"/>
      <c r="C102" s="589"/>
      <c r="D102" s="592"/>
      <c r="E102" s="303" t="s">
        <v>243</v>
      </c>
      <c r="F102" s="304" t="s">
        <v>259</v>
      </c>
      <c r="G102" s="304" t="s">
        <v>580</v>
      </c>
      <c r="H102" s="304" t="s">
        <v>580</v>
      </c>
      <c r="I102" s="305" t="s">
        <v>708</v>
      </c>
      <c r="J102" s="284" t="s">
        <v>709</v>
      </c>
      <c r="K102" s="325">
        <v>630</v>
      </c>
      <c r="L102" s="326">
        <f>33.2/1000</f>
        <v>0.0332</v>
      </c>
      <c r="M102" s="283" t="s">
        <v>332</v>
      </c>
      <c r="N102" s="270" t="s">
        <v>188</v>
      </c>
      <c r="O102" s="270" t="s">
        <v>188</v>
      </c>
      <c r="P102" s="375">
        <f>SUM(Q102:R102)</f>
        <v>62</v>
      </c>
      <c r="Q102" s="394">
        <v>13</v>
      </c>
      <c r="R102" s="394">
        <v>49</v>
      </c>
      <c r="S102" s="470" t="s">
        <v>188</v>
      </c>
    </row>
    <row r="103" spans="1:19" s="76" customFormat="1" ht="13.5" customHeight="1">
      <c r="A103" s="586"/>
      <c r="B103" s="604"/>
      <c r="C103" s="589"/>
      <c r="D103" s="592"/>
      <c r="E103" s="279" t="s">
        <v>243</v>
      </c>
      <c r="F103" s="279" t="s">
        <v>259</v>
      </c>
      <c r="G103" s="279" t="s">
        <v>269</v>
      </c>
      <c r="H103" s="279" t="s">
        <v>270</v>
      </c>
      <c r="I103" s="280" t="s">
        <v>262</v>
      </c>
      <c r="J103" s="279" t="s">
        <v>194</v>
      </c>
      <c r="K103" s="311">
        <v>164</v>
      </c>
      <c r="L103" s="312">
        <f>23.6/1000</f>
        <v>0.023600000000000003</v>
      </c>
      <c r="M103" s="283" t="s">
        <v>332</v>
      </c>
      <c r="N103" s="270" t="s">
        <v>188</v>
      </c>
      <c r="O103" s="270" t="s">
        <v>188</v>
      </c>
      <c r="P103" s="375">
        <f>+Q103+R103</f>
        <v>900</v>
      </c>
      <c r="Q103" s="377">
        <v>200</v>
      </c>
      <c r="R103" s="377">
        <v>700</v>
      </c>
      <c r="S103" s="270" t="s">
        <v>188</v>
      </c>
    </row>
    <row r="104" spans="1:19" s="76" customFormat="1" ht="13.5" customHeight="1">
      <c r="A104" s="586"/>
      <c r="B104" s="604"/>
      <c r="C104" s="589"/>
      <c r="D104" s="592"/>
      <c r="E104" s="284" t="s">
        <v>243</v>
      </c>
      <c r="F104" s="285" t="s">
        <v>259</v>
      </c>
      <c r="G104" s="313" t="s">
        <v>711</v>
      </c>
      <c r="H104" s="279" t="s">
        <v>712</v>
      </c>
      <c r="I104" s="280" t="s">
        <v>670</v>
      </c>
      <c r="J104" s="294" t="s">
        <v>713</v>
      </c>
      <c r="K104" s="622">
        <v>46</v>
      </c>
      <c r="L104" s="607">
        <f>10.6/1000</f>
        <v>0.0106</v>
      </c>
      <c r="M104" s="608" t="s">
        <v>360</v>
      </c>
      <c r="N104" s="609" t="s">
        <v>188</v>
      </c>
      <c r="O104" s="609" t="s">
        <v>188</v>
      </c>
      <c r="P104" s="610">
        <f>+Q104+R104</f>
        <v>156</v>
      </c>
      <c r="Q104" s="601">
        <v>36</v>
      </c>
      <c r="R104" s="601">
        <v>120</v>
      </c>
      <c r="S104" s="609" t="s">
        <v>188</v>
      </c>
    </row>
    <row r="105" spans="1:19" s="76" customFormat="1" ht="13.5" customHeight="1">
      <c r="A105" s="586"/>
      <c r="B105" s="604"/>
      <c r="C105" s="589"/>
      <c r="D105" s="592"/>
      <c r="E105" s="284" t="s">
        <v>243</v>
      </c>
      <c r="F105" s="313" t="s">
        <v>259</v>
      </c>
      <c r="G105" s="313" t="s">
        <v>274</v>
      </c>
      <c r="H105" s="279" t="s">
        <v>671</v>
      </c>
      <c r="I105" s="280" t="s">
        <v>673</v>
      </c>
      <c r="J105" s="476" t="s">
        <v>677</v>
      </c>
      <c r="K105" s="602"/>
      <c r="L105" s="602"/>
      <c r="M105" s="675"/>
      <c r="N105" s="677"/>
      <c r="O105" s="677"/>
      <c r="P105" s="602"/>
      <c r="Q105" s="602"/>
      <c r="R105" s="602"/>
      <c r="S105" s="594"/>
    </row>
    <row r="106" spans="1:19" s="76" customFormat="1" ht="13.5" customHeight="1">
      <c r="A106" s="586"/>
      <c r="B106" s="604"/>
      <c r="C106" s="589"/>
      <c r="D106" s="592"/>
      <c r="E106" s="284" t="s">
        <v>243</v>
      </c>
      <c r="F106" s="313" t="s">
        <v>259</v>
      </c>
      <c r="G106" s="313" t="s">
        <v>715</v>
      </c>
      <c r="H106" s="279" t="s">
        <v>716</v>
      </c>
      <c r="I106" s="280" t="s">
        <v>685</v>
      </c>
      <c r="J106" s="279" t="s">
        <v>717</v>
      </c>
      <c r="K106" s="602"/>
      <c r="L106" s="602"/>
      <c r="M106" s="675"/>
      <c r="N106" s="677"/>
      <c r="O106" s="677"/>
      <c r="P106" s="602"/>
      <c r="Q106" s="602"/>
      <c r="R106" s="602"/>
      <c r="S106" s="594"/>
    </row>
    <row r="107" spans="1:19" s="76" customFormat="1" ht="13.5" customHeight="1">
      <c r="A107" s="586"/>
      <c r="B107" s="604"/>
      <c r="C107" s="589"/>
      <c r="D107" s="592"/>
      <c r="E107" s="284" t="s">
        <v>243</v>
      </c>
      <c r="F107" s="279" t="s">
        <v>259</v>
      </c>
      <c r="G107" s="279" t="s">
        <v>715</v>
      </c>
      <c r="H107" s="279" t="s">
        <v>716</v>
      </c>
      <c r="I107" s="280" t="s">
        <v>718</v>
      </c>
      <c r="J107" s="279" t="s">
        <v>693</v>
      </c>
      <c r="K107" s="602"/>
      <c r="L107" s="602"/>
      <c r="M107" s="675"/>
      <c r="N107" s="677"/>
      <c r="O107" s="677"/>
      <c r="P107" s="602"/>
      <c r="Q107" s="602"/>
      <c r="R107" s="602"/>
      <c r="S107" s="594"/>
    </row>
    <row r="108" spans="1:19" s="76" customFormat="1" ht="13.5" customHeight="1">
      <c r="A108" s="586"/>
      <c r="B108" s="604"/>
      <c r="C108" s="589"/>
      <c r="D108" s="592"/>
      <c r="E108" s="284" t="s">
        <v>243</v>
      </c>
      <c r="F108" s="279" t="s">
        <v>259</v>
      </c>
      <c r="G108" s="279" t="s">
        <v>274</v>
      </c>
      <c r="H108" s="279" t="s">
        <v>671</v>
      </c>
      <c r="I108" s="280" t="s">
        <v>714</v>
      </c>
      <c r="J108" s="279" t="s">
        <v>722</v>
      </c>
      <c r="K108" s="602"/>
      <c r="L108" s="602"/>
      <c r="M108" s="675"/>
      <c r="N108" s="677"/>
      <c r="O108" s="677"/>
      <c r="P108" s="602"/>
      <c r="Q108" s="602"/>
      <c r="R108" s="602"/>
      <c r="S108" s="594"/>
    </row>
    <row r="109" spans="1:19" s="76" customFormat="1" ht="13.5" customHeight="1">
      <c r="A109" s="586"/>
      <c r="B109" s="604"/>
      <c r="C109" s="589"/>
      <c r="D109" s="592"/>
      <c r="E109" s="284" t="s">
        <v>243</v>
      </c>
      <c r="F109" s="313" t="s">
        <v>259</v>
      </c>
      <c r="G109" s="313" t="s">
        <v>274</v>
      </c>
      <c r="H109" s="279" t="s">
        <v>671</v>
      </c>
      <c r="I109" s="280" t="s">
        <v>674</v>
      </c>
      <c r="J109" s="279" t="s">
        <v>678</v>
      </c>
      <c r="K109" s="602"/>
      <c r="L109" s="602"/>
      <c r="M109" s="675"/>
      <c r="N109" s="677"/>
      <c r="O109" s="677"/>
      <c r="P109" s="602"/>
      <c r="Q109" s="602"/>
      <c r="R109" s="602"/>
      <c r="S109" s="594"/>
    </row>
    <row r="110" spans="1:19" s="76" customFormat="1" ht="13.5" customHeight="1">
      <c r="A110" s="586"/>
      <c r="B110" s="604"/>
      <c r="C110" s="589"/>
      <c r="D110" s="592"/>
      <c r="E110" s="284" t="s">
        <v>243</v>
      </c>
      <c r="F110" s="313" t="s">
        <v>259</v>
      </c>
      <c r="G110" s="279" t="s">
        <v>719</v>
      </c>
      <c r="H110" s="279" t="s">
        <v>720</v>
      </c>
      <c r="I110" s="280" t="s">
        <v>696</v>
      </c>
      <c r="J110" s="279" t="s">
        <v>721</v>
      </c>
      <c r="K110" s="573"/>
      <c r="L110" s="573"/>
      <c r="M110" s="676"/>
      <c r="N110" s="559"/>
      <c r="O110" s="559"/>
      <c r="P110" s="573"/>
      <c r="Q110" s="573"/>
      <c r="R110" s="573"/>
      <c r="S110" s="595"/>
    </row>
    <row r="111" spans="1:19" s="76" customFormat="1" ht="13.5" customHeight="1">
      <c r="A111" s="586"/>
      <c r="B111" s="604"/>
      <c r="C111" s="589"/>
      <c r="D111" s="592"/>
      <c r="E111" s="237" t="s">
        <v>243</v>
      </c>
      <c r="F111" s="244" t="s">
        <v>244</v>
      </c>
      <c r="G111" s="235" t="s">
        <v>245</v>
      </c>
      <c r="H111" s="235" t="s">
        <v>246</v>
      </c>
      <c r="I111" s="236" t="s">
        <v>247</v>
      </c>
      <c r="J111" s="244" t="s">
        <v>200</v>
      </c>
      <c r="K111" s="88">
        <v>29</v>
      </c>
      <c r="L111" s="290">
        <f>93.6/1000</f>
        <v>0.09359999999999999</v>
      </c>
      <c r="M111" s="254" t="s">
        <v>335</v>
      </c>
      <c r="N111" s="86" t="s">
        <v>188</v>
      </c>
      <c r="O111" s="86" t="s">
        <v>188</v>
      </c>
      <c r="P111" s="378">
        <f aca="true" t="shared" si="4" ref="P111:P117">SUM(Q111:R111)</f>
        <v>160</v>
      </c>
      <c r="Q111" s="381">
        <v>40</v>
      </c>
      <c r="R111" s="381">
        <v>120</v>
      </c>
      <c r="S111" s="86" t="s">
        <v>188</v>
      </c>
    </row>
    <row r="112" spans="1:19" s="76" customFormat="1" ht="13.5" customHeight="1">
      <c r="A112" s="586"/>
      <c r="B112" s="604"/>
      <c r="C112" s="589"/>
      <c r="D112" s="592"/>
      <c r="E112" s="306" t="s">
        <v>243</v>
      </c>
      <c r="F112" s="306" t="s">
        <v>244</v>
      </c>
      <c r="G112" s="307" t="s">
        <v>245</v>
      </c>
      <c r="H112" s="244" t="s">
        <v>403</v>
      </c>
      <c r="I112" s="308" t="s">
        <v>585</v>
      </c>
      <c r="J112" s="244" t="s">
        <v>587</v>
      </c>
      <c r="K112" s="88">
        <v>96</v>
      </c>
      <c r="L112" s="290">
        <f>14.6/1000</f>
        <v>0.0146</v>
      </c>
      <c r="M112" s="254" t="s">
        <v>335</v>
      </c>
      <c r="N112" s="86" t="s">
        <v>188</v>
      </c>
      <c r="O112" s="86" t="s">
        <v>188</v>
      </c>
      <c r="P112" s="378">
        <f t="shared" si="4"/>
        <v>171</v>
      </c>
      <c r="Q112" s="381">
        <v>41</v>
      </c>
      <c r="R112" s="381">
        <v>130</v>
      </c>
      <c r="S112" s="86" t="s">
        <v>188</v>
      </c>
    </row>
    <row r="113" spans="1:19" s="76" customFormat="1" ht="13.5" customHeight="1">
      <c r="A113" s="586"/>
      <c r="B113" s="604"/>
      <c r="C113" s="589"/>
      <c r="D113" s="592"/>
      <c r="E113" s="244" t="s">
        <v>243</v>
      </c>
      <c r="F113" s="237" t="s">
        <v>244</v>
      </c>
      <c r="G113" s="237" t="s">
        <v>245</v>
      </c>
      <c r="H113" s="235" t="s">
        <v>250</v>
      </c>
      <c r="I113" s="236" t="s">
        <v>251</v>
      </c>
      <c r="J113" s="244" t="s">
        <v>207</v>
      </c>
      <c r="K113" s="88">
        <v>4</v>
      </c>
      <c r="L113" s="290">
        <f>89.8/1000</f>
        <v>0.08979999999999999</v>
      </c>
      <c r="M113" s="254" t="s">
        <v>335</v>
      </c>
      <c r="N113" s="86" t="s">
        <v>188</v>
      </c>
      <c r="O113" s="86" t="s">
        <v>188</v>
      </c>
      <c r="P113" s="378">
        <f t="shared" si="4"/>
        <v>156</v>
      </c>
      <c r="Q113" s="381">
        <v>36</v>
      </c>
      <c r="R113" s="381">
        <v>120</v>
      </c>
      <c r="S113" s="86" t="s">
        <v>188</v>
      </c>
    </row>
    <row r="114" spans="1:19" s="76" customFormat="1" ht="13.5" customHeight="1">
      <c r="A114" s="586"/>
      <c r="B114" s="604"/>
      <c r="C114" s="589"/>
      <c r="D114" s="592"/>
      <c r="E114" s="244" t="s">
        <v>226</v>
      </c>
      <c r="F114" s="237" t="s">
        <v>230</v>
      </c>
      <c r="G114" s="237" t="s">
        <v>231</v>
      </c>
      <c r="H114" s="237" t="s">
        <v>231</v>
      </c>
      <c r="I114" s="287" t="s">
        <v>235</v>
      </c>
      <c r="J114" s="244" t="s">
        <v>190</v>
      </c>
      <c r="K114" s="88">
        <v>16</v>
      </c>
      <c r="L114" s="290">
        <f>35.6/1000</f>
        <v>0.0356</v>
      </c>
      <c r="M114" s="254" t="s">
        <v>773</v>
      </c>
      <c r="N114" s="86" t="s">
        <v>188</v>
      </c>
      <c r="O114" s="86" t="s">
        <v>188</v>
      </c>
      <c r="P114" s="378">
        <f t="shared" si="4"/>
        <v>124</v>
      </c>
      <c r="Q114" s="381">
        <v>29</v>
      </c>
      <c r="R114" s="381">
        <v>95</v>
      </c>
      <c r="S114" s="86" t="s">
        <v>188</v>
      </c>
    </row>
    <row r="115" spans="1:19" s="76" customFormat="1" ht="13.5" customHeight="1">
      <c r="A115" s="586"/>
      <c r="B115" s="604"/>
      <c r="C115" s="589"/>
      <c r="D115" s="592"/>
      <c r="E115" s="234" t="s">
        <v>226</v>
      </c>
      <c r="F115" s="235" t="s">
        <v>227</v>
      </c>
      <c r="G115" s="237" t="s">
        <v>228</v>
      </c>
      <c r="H115" s="237" t="s">
        <v>228</v>
      </c>
      <c r="I115" s="236" t="s">
        <v>229</v>
      </c>
      <c r="J115" s="244" t="s">
        <v>189</v>
      </c>
      <c r="K115" s="88">
        <v>6</v>
      </c>
      <c r="L115" s="290">
        <f>17.8/1000</f>
        <v>0.0178</v>
      </c>
      <c r="M115" s="254" t="s">
        <v>574</v>
      </c>
      <c r="N115" s="86" t="s">
        <v>188</v>
      </c>
      <c r="O115" s="86" t="s">
        <v>188</v>
      </c>
      <c r="P115" s="378">
        <f t="shared" si="4"/>
        <v>141</v>
      </c>
      <c r="Q115" s="381">
        <v>31</v>
      </c>
      <c r="R115" s="381">
        <v>110</v>
      </c>
      <c r="S115" s="86" t="s">
        <v>188</v>
      </c>
    </row>
    <row r="116" spans="1:19" s="76" customFormat="1" ht="13.5" customHeight="1">
      <c r="A116" s="586"/>
      <c r="B116" s="604"/>
      <c r="C116" s="589"/>
      <c r="D116" s="592"/>
      <c r="E116" s="331" t="s">
        <v>226</v>
      </c>
      <c r="F116" s="332" t="s">
        <v>230</v>
      </c>
      <c r="G116" s="332" t="s">
        <v>599</v>
      </c>
      <c r="H116" s="307" t="s">
        <v>600</v>
      </c>
      <c r="I116" s="330" t="s">
        <v>601</v>
      </c>
      <c r="J116" s="306" t="s">
        <v>206</v>
      </c>
      <c r="K116" s="88">
        <v>3</v>
      </c>
      <c r="L116" s="290">
        <f>10.3/1000</f>
        <v>0.0103</v>
      </c>
      <c r="M116" s="254" t="s">
        <v>329</v>
      </c>
      <c r="N116" s="86" t="s">
        <v>188</v>
      </c>
      <c r="O116" s="86" t="s">
        <v>188</v>
      </c>
      <c r="P116" s="378">
        <f t="shared" si="4"/>
        <v>286</v>
      </c>
      <c r="Q116" s="381">
        <v>76</v>
      </c>
      <c r="R116" s="381">
        <v>210</v>
      </c>
      <c r="S116" s="86" t="s">
        <v>188</v>
      </c>
    </row>
    <row r="117" spans="1:19" s="76" customFormat="1" ht="13.5" customHeight="1">
      <c r="A117" s="587"/>
      <c r="B117" s="605"/>
      <c r="C117" s="590"/>
      <c r="D117" s="593"/>
      <c r="E117" s="228" t="s">
        <v>297</v>
      </c>
      <c r="F117" s="229" t="s">
        <v>188</v>
      </c>
      <c r="G117" s="229" t="s">
        <v>188</v>
      </c>
      <c r="H117" s="229" t="s">
        <v>188</v>
      </c>
      <c r="I117" s="229" t="s">
        <v>188</v>
      </c>
      <c r="J117" s="230" t="s">
        <v>401</v>
      </c>
      <c r="K117" s="277" t="s">
        <v>331</v>
      </c>
      <c r="L117" s="456">
        <v>0.249</v>
      </c>
      <c r="M117" s="229" t="s">
        <v>188</v>
      </c>
      <c r="N117" s="278" t="s">
        <v>188</v>
      </c>
      <c r="O117" s="278" t="s">
        <v>188</v>
      </c>
      <c r="P117" s="231">
        <f t="shared" si="4"/>
        <v>520</v>
      </c>
      <c r="Q117" s="233">
        <v>130</v>
      </c>
      <c r="R117" s="233">
        <v>390</v>
      </c>
      <c r="S117" s="278" t="s">
        <v>188</v>
      </c>
    </row>
    <row r="118" spans="1:26" s="76" customFormat="1" ht="13.5" customHeight="1">
      <c r="A118" s="196"/>
      <c r="B118" s="197"/>
      <c r="C118" s="198"/>
      <c r="D118" s="198"/>
      <c r="E118" s="157"/>
      <c r="F118" s="157"/>
      <c r="G118" s="195"/>
      <c r="H118" s="166"/>
      <c r="I118" s="199"/>
      <c r="J118" s="166"/>
      <c r="K118" s="167"/>
      <c r="L118" s="159"/>
      <c r="M118" s="160"/>
      <c r="N118" s="163"/>
      <c r="O118" s="163"/>
      <c r="P118" s="161"/>
      <c r="Q118" s="168"/>
      <c r="R118" s="168"/>
      <c r="S118" s="169"/>
      <c r="T118" s="84"/>
      <c r="U118" s="84"/>
      <c r="V118" s="82"/>
      <c r="W118" s="81"/>
      <c r="X118" s="83"/>
      <c r="Y118" s="83"/>
      <c r="Z118" s="13"/>
    </row>
    <row r="119" spans="1:19" s="15" customFormat="1" ht="18" customHeight="1">
      <c r="A119" s="597" t="s">
        <v>1</v>
      </c>
      <c r="B119" s="598"/>
      <c r="C119" s="556" t="s">
        <v>341</v>
      </c>
      <c r="D119" s="629" t="s">
        <v>161</v>
      </c>
      <c r="E119" s="630" t="s">
        <v>175</v>
      </c>
      <c r="F119" s="630" t="s">
        <v>176</v>
      </c>
      <c r="G119" s="556" t="s">
        <v>177</v>
      </c>
      <c r="H119" s="556" t="s">
        <v>178</v>
      </c>
      <c r="I119" s="556" t="s">
        <v>179</v>
      </c>
      <c r="J119" s="556" t="s">
        <v>180</v>
      </c>
      <c r="K119" s="642" t="s">
        <v>162</v>
      </c>
      <c r="L119" s="635" t="s">
        <v>163</v>
      </c>
      <c r="M119" s="633" t="s">
        <v>181</v>
      </c>
      <c r="N119" s="633"/>
      <c r="O119" s="634"/>
      <c r="P119" s="638" t="s">
        <v>165</v>
      </c>
      <c r="Q119" s="633"/>
      <c r="R119" s="633"/>
      <c r="S119" s="633" t="s">
        <v>182</v>
      </c>
    </row>
    <row r="120" spans="1:22" s="15" customFormat="1" ht="18" customHeight="1">
      <c r="A120" s="599"/>
      <c r="B120" s="600"/>
      <c r="C120" s="556"/>
      <c r="D120" s="629"/>
      <c r="E120" s="631"/>
      <c r="F120" s="631"/>
      <c r="G120" s="556"/>
      <c r="H120" s="556"/>
      <c r="I120" s="556"/>
      <c r="J120" s="556"/>
      <c r="K120" s="643"/>
      <c r="L120" s="636"/>
      <c r="M120" s="271" t="s">
        <v>164</v>
      </c>
      <c r="N120" s="252" t="s">
        <v>166</v>
      </c>
      <c r="O120" s="252" t="s">
        <v>340</v>
      </c>
      <c r="P120" s="272" t="s">
        <v>167</v>
      </c>
      <c r="Q120" s="273" t="s">
        <v>18</v>
      </c>
      <c r="R120" s="430" t="s">
        <v>19</v>
      </c>
      <c r="S120" s="556"/>
      <c r="U120" s="81"/>
      <c r="V120" s="81"/>
    </row>
    <row r="121" spans="1:19" s="76" customFormat="1" ht="13.5" customHeight="1">
      <c r="A121" s="585" t="s">
        <v>170</v>
      </c>
      <c r="B121" s="582" t="s">
        <v>82</v>
      </c>
      <c r="C121" s="560" t="s">
        <v>350</v>
      </c>
      <c r="D121" s="577">
        <v>41979</v>
      </c>
      <c r="E121" s="274" t="s">
        <v>299</v>
      </c>
      <c r="F121" s="269" t="s">
        <v>188</v>
      </c>
      <c r="G121" s="269" t="s">
        <v>188</v>
      </c>
      <c r="H121" s="269" t="s">
        <v>188</v>
      </c>
      <c r="I121" s="275" t="s">
        <v>187</v>
      </c>
      <c r="J121" s="274" t="s">
        <v>330</v>
      </c>
      <c r="K121" s="276" t="s">
        <v>331</v>
      </c>
      <c r="L121" s="439">
        <v>0.051</v>
      </c>
      <c r="M121" s="275" t="s">
        <v>350</v>
      </c>
      <c r="N121" s="269" t="s">
        <v>350</v>
      </c>
      <c r="O121" s="269" t="s">
        <v>350</v>
      </c>
      <c r="P121" s="410">
        <f>+Q121+R121</f>
        <v>1840</v>
      </c>
      <c r="Q121" s="412">
        <v>440</v>
      </c>
      <c r="R121" s="412">
        <v>1400</v>
      </c>
      <c r="S121" s="269" t="s">
        <v>188</v>
      </c>
    </row>
    <row r="122" spans="1:19" s="76" customFormat="1" ht="13.5">
      <c r="A122" s="586"/>
      <c r="B122" s="583"/>
      <c r="C122" s="580"/>
      <c r="D122" s="578"/>
      <c r="E122" s="279" t="s">
        <v>243</v>
      </c>
      <c r="F122" s="313" t="s">
        <v>259</v>
      </c>
      <c r="G122" s="279" t="s">
        <v>328</v>
      </c>
      <c r="H122" s="279" t="s">
        <v>359</v>
      </c>
      <c r="I122" s="280" t="s">
        <v>358</v>
      </c>
      <c r="J122" s="279" t="s">
        <v>356</v>
      </c>
      <c r="K122" s="462">
        <v>272</v>
      </c>
      <c r="L122" s="463">
        <f>8.7/1000</f>
        <v>0.0087</v>
      </c>
      <c r="M122" s="346" t="s">
        <v>332</v>
      </c>
      <c r="N122" s="464" t="s">
        <v>188</v>
      </c>
      <c r="O122" s="464" t="s">
        <v>188</v>
      </c>
      <c r="P122" s="465">
        <f>+Q122+R122</f>
        <v>1450</v>
      </c>
      <c r="Q122" s="425">
        <v>350</v>
      </c>
      <c r="R122" s="425">
        <v>1100</v>
      </c>
      <c r="S122" s="471" t="s">
        <v>188</v>
      </c>
    </row>
    <row r="123" spans="1:19" s="76" customFormat="1" ht="13.5">
      <c r="A123" s="586"/>
      <c r="B123" s="583"/>
      <c r="C123" s="580"/>
      <c r="D123" s="578"/>
      <c r="E123" s="300" t="s">
        <v>578</v>
      </c>
      <c r="F123" s="300" t="s">
        <v>579</v>
      </c>
      <c r="G123" s="300" t="s">
        <v>580</v>
      </c>
      <c r="H123" s="279" t="s">
        <v>580</v>
      </c>
      <c r="I123" s="280" t="s">
        <v>772</v>
      </c>
      <c r="J123" s="279" t="s">
        <v>771</v>
      </c>
      <c r="K123" s="613">
        <v>144</v>
      </c>
      <c r="L123" s="674">
        <f>9.6/1000</f>
        <v>0.0096</v>
      </c>
      <c r="M123" s="615" t="s">
        <v>332</v>
      </c>
      <c r="N123" s="611" t="s">
        <v>188</v>
      </c>
      <c r="O123" s="611" t="s">
        <v>188</v>
      </c>
      <c r="P123" s="616">
        <f>+Q123+R123</f>
        <v>128</v>
      </c>
      <c r="Q123" s="617">
        <v>32</v>
      </c>
      <c r="R123" s="617">
        <v>96</v>
      </c>
      <c r="S123" s="611" t="s">
        <v>188</v>
      </c>
    </row>
    <row r="124" spans="1:19" s="76" customFormat="1" ht="13.5">
      <c r="A124" s="586"/>
      <c r="B124" s="583"/>
      <c r="C124" s="580"/>
      <c r="D124" s="578"/>
      <c r="E124" s="300" t="s">
        <v>578</v>
      </c>
      <c r="F124" s="300" t="s">
        <v>579</v>
      </c>
      <c r="G124" s="304" t="s">
        <v>580</v>
      </c>
      <c r="H124" s="304" t="s">
        <v>580</v>
      </c>
      <c r="I124" s="305" t="s">
        <v>704</v>
      </c>
      <c r="J124" s="473" t="s">
        <v>705</v>
      </c>
      <c r="K124" s="620"/>
      <c r="L124" s="620"/>
      <c r="M124" s="620"/>
      <c r="N124" s="620"/>
      <c r="O124" s="620"/>
      <c r="P124" s="620"/>
      <c r="Q124" s="620"/>
      <c r="R124" s="620"/>
      <c r="S124" s="612"/>
    </row>
    <row r="125" spans="1:19" s="76" customFormat="1" ht="13.5">
      <c r="A125" s="586"/>
      <c r="B125" s="583"/>
      <c r="C125" s="580"/>
      <c r="D125" s="578"/>
      <c r="E125" s="279" t="s">
        <v>243</v>
      </c>
      <c r="F125" s="279" t="s">
        <v>259</v>
      </c>
      <c r="G125" s="279" t="s">
        <v>260</v>
      </c>
      <c r="H125" s="279" t="s">
        <v>261</v>
      </c>
      <c r="I125" s="280" t="s">
        <v>262</v>
      </c>
      <c r="J125" s="279" t="s">
        <v>194</v>
      </c>
      <c r="K125" s="462">
        <v>112</v>
      </c>
      <c r="L125" s="466">
        <f>10.1/1000</f>
        <v>0.0101</v>
      </c>
      <c r="M125" s="346" t="s">
        <v>332</v>
      </c>
      <c r="N125" s="464" t="s">
        <v>188</v>
      </c>
      <c r="O125" s="464" t="s">
        <v>188</v>
      </c>
      <c r="P125" s="499">
        <f>+Q125+R125</f>
        <v>1190</v>
      </c>
      <c r="Q125" s="425">
        <v>280</v>
      </c>
      <c r="R125" s="425">
        <v>910</v>
      </c>
      <c r="S125" s="471" t="s">
        <v>188</v>
      </c>
    </row>
    <row r="126" spans="1:19" s="76" customFormat="1" ht="13.5">
      <c r="A126" s="586"/>
      <c r="B126" s="583"/>
      <c r="C126" s="580"/>
      <c r="D126" s="578"/>
      <c r="E126" s="279" t="s">
        <v>243</v>
      </c>
      <c r="F126" s="279" t="s">
        <v>259</v>
      </c>
      <c r="G126" s="279" t="s">
        <v>274</v>
      </c>
      <c r="H126" s="279" t="s">
        <v>669</v>
      </c>
      <c r="I126" s="280" t="s">
        <v>670</v>
      </c>
      <c r="J126" s="279" t="s">
        <v>676</v>
      </c>
      <c r="K126" s="613">
        <v>227</v>
      </c>
      <c r="L126" s="614">
        <f>74.8/1000</f>
        <v>0.07479999999999999</v>
      </c>
      <c r="M126" s="615" t="s">
        <v>681</v>
      </c>
      <c r="N126" s="611" t="s">
        <v>188</v>
      </c>
      <c r="O126" s="611" t="s">
        <v>188</v>
      </c>
      <c r="P126" s="616">
        <f>+Q126+R126</f>
        <v>660</v>
      </c>
      <c r="Q126" s="617">
        <v>160</v>
      </c>
      <c r="R126" s="617">
        <v>500</v>
      </c>
      <c r="S126" s="611" t="s">
        <v>188</v>
      </c>
    </row>
    <row r="127" spans="1:19" s="76" customFormat="1" ht="13.5">
      <c r="A127" s="586"/>
      <c r="B127" s="583"/>
      <c r="C127" s="580"/>
      <c r="D127" s="578"/>
      <c r="E127" s="279" t="s">
        <v>243</v>
      </c>
      <c r="F127" s="279" t="s">
        <v>259</v>
      </c>
      <c r="G127" s="279" t="s">
        <v>274</v>
      </c>
      <c r="H127" s="279" t="s">
        <v>275</v>
      </c>
      <c r="I127" s="280" t="s">
        <v>276</v>
      </c>
      <c r="J127" s="279" t="s">
        <v>680</v>
      </c>
      <c r="K127" s="602"/>
      <c r="L127" s="602"/>
      <c r="M127" s="602"/>
      <c r="N127" s="602"/>
      <c r="O127" s="602"/>
      <c r="P127" s="602"/>
      <c r="Q127" s="602"/>
      <c r="R127" s="602"/>
      <c r="S127" s="618"/>
    </row>
    <row r="128" spans="1:19" s="76" customFormat="1" ht="13.5">
      <c r="A128" s="586"/>
      <c r="B128" s="583"/>
      <c r="C128" s="580"/>
      <c r="D128" s="578"/>
      <c r="E128" s="279" t="s">
        <v>243</v>
      </c>
      <c r="F128" s="279" t="s">
        <v>259</v>
      </c>
      <c r="G128" s="279" t="s">
        <v>683</v>
      </c>
      <c r="H128" s="279" t="s">
        <v>684</v>
      </c>
      <c r="I128" s="280" t="s">
        <v>682</v>
      </c>
      <c r="J128" s="279" t="s">
        <v>694</v>
      </c>
      <c r="K128" s="602"/>
      <c r="L128" s="602"/>
      <c r="M128" s="602"/>
      <c r="N128" s="602"/>
      <c r="O128" s="602"/>
      <c r="P128" s="602"/>
      <c r="Q128" s="602"/>
      <c r="R128" s="602"/>
      <c r="S128" s="618"/>
    </row>
    <row r="129" spans="1:19" s="76" customFormat="1" ht="13.5">
      <c r="A129" s="586"/>
      <c r="B129" s="583"/>
      <c r="C129" s="580"/>
      <c r="D129" s="578"/>
      <c r="E129" s="279" t="s">
        <v>243</v>
      </c>
      <c r="F129" s="279" t="s">
        <v>259</v>
      </c>
      <c r="G129" s="279" t="s">
        <v>274</v>
      </c>
      <c r="H129" s="279" t="s">
        <v>671</v>
      </c>
      <c r="I129" s="280" t="s">
        <v>673</v>
      </c>
      <c r="J129" s="279" t="s">
        <v>677</v>
      </c>
      <c r="K129" s="602"/>
      <c r="L129" s="602"/>
      <c r="M129" s="602"/>
      <c r="N129" s="602"/>
      <c r="O129" s="602"/>
      <c r="P129" s="602"/>
      <c r="Q129" s="602"/>
      <c r="R129" s="602"/>
      <c r="S129" s="618"/>
    </row>
    <row r="130" spans="1:19" s="76" customFormat="1" ht="13.5">
      <c r="A130" s="586"/>
      <c r="B130" s="583"/>
      <c r="C130" s="580"/>
      <c r="D130" s="578"/>
      <c r="E130" s="279" t="s">
        <v>243</v>
      </c>
      <c r="F130" s="279" t="s">
        <v>259</v>
      </c>
      <c r="G130" s="279" t="s">
        <v>274</v>
      </c>
      <c r="H130" s="279" t="s">
        <v>671</v>
      </c>
      <c r="I130" s="280" t="s">
        <v>675</v>
      </c>
      <c r="J130" s="279" t="s">
        <v>679</v>
      </c>
      <c r="K130" s="602"/>
      <c r="L130" s="602"/>
      <c r="M130" s="602"/>
      <c r="N130" s="602"/>
      <c r="O130" s="602"/>
      <c r="P130" s="602"/>
      <c r="Q130" s="602"/>
      <c r="R130" s="602"/>
      <c r="S130" s="618"/>
    </row>
    <row r="131" spans="1:19" s="76" customFormat="1" ht="13.5">
      <c r="A131" s="586"/>
      <c r="B131" s="583"/>
      <c r="C131" s="580"/>
      <c r="D131" s="578"/>
      <c r="E131" s="279" t="s">
        <v>243</v>
      </c>
      <c r="F131" s="313" t="s">
        <v>259</v>
      </c>
      <c r="G131" s="313" t="s">
        <v>274</v>
      </c>
      <c r="H131" s="279" t="s">
        <v>671</v>
      </c>
      <c r="I131" s="280" t="s">
        <v>685</v>
      </c>
      <c r="J131" s="279" t="s">
        <v>687</v>
      </c>
      <c r="K131" s="602"/>
      <c r="L131" s="602"/>
      <c r="M131" s="602"/>
      <c r="N131" s="602"/>
      <c r="O131" s="602"/>
      <c r="P131" s="602"/>
      <c r="Q131" s="602"/>
      <c r="R131" s="602"/>
      <c r="S131" s="618"/>
    </row>
    <row r="132" spans="1:19" s="76" customFormat="1" ht="13.5">
      <c r="A132" s="586"/>
      <c r="B132" s="583"/>
      <c r="C132" s="580"/>
      <c r="D132" s="578"/>
      <c r="E132" s="279" t="s">
        <v>243</v>
      </c>
      <c r="F132" s="279" t="s">
        <v>259</v>
      </c>
      <c r="G132" s="279" t="s">
        <v>274</v>
      </c>
      <c r="H132" s="279" t="s">
        <v>671</v>
      </c>
      <c r="I132" s="280" t="s">
        <v>688</v>
      </c>
      <c r="J132" s="279" t="s">
        <v>693</v>
      </c>
      <c r="K132" s="602"/>
      <c r="L132" s="602"/>
      <c r="M132" s="602"/>
      <c r="N132" s="602"/>
      <c r="O132" s="602"/>
      <c r="P132" s="602"/>
      <c r="Q132" s="602"/>
      <c r="R132" s="602"/>
      <c r="S132" s="618"/>
    </row>
    <row r="133" spans="1:19" s="76" customFormat="1" ht="13.5">
      <c r="A133" s="586"/>
      <c r="B133" s="583"/>
      <c r="C133" s="580"/>
      <c r="D133" s="578"/>
      <c r="E133" s="279" t="s">
        <v>243</v>
      </c>
      <c r="F133" s="313" t="s">
        <v>259</v>
      </c>
      <c r="G133" s="313" t="s">
        <v>698</v>
      </c>
      <c r="H133" s="279" t="s">
        <v>699</v>
      </c>
      <c r="I133" s="280" t="s">
        <v>674</v>
      </c>
      <c r="J133" s="458" t="s">
        <v>700</v>
      </c>
      <c r="K133" s="602"/>
      <c r="L133" s="602"/>
      <c r="M133" s="602"/>
      <c r="N133" s="602"/>
      <c r="O133" s="602"/>
      <c r="P133" s="602"/>
      <c r="Q133" s="602"/>
      <c r="R133" s="602"/>
      <c r="S133" s="618"/>
    </row>
    <row r="134" spans="1:19" s="76" customFormat="1" ht="13.5">
      <c r="A134" s="586"/>
      <c r="B134" s="583"/>
      <c r="C134" s="580"/>
      <c r="D134" s="578"/>
      <c r="E134" s="284" t="s">
        <v>243</v>
      </c>
      <c r="F134" s="285" t="s">
        <v>259</v>
      </c>
      <c r="G134" s="284" t="s">
        <v>572</v>
      </c>
      <c r="H134" s="284" t="s">
        <v>695</v>
      </c>
      <c r="I134" s="305" t="s">
        <v>696</v>
      </c>
      <c r="J134" s="284" t="s">
        <v>697</v>
      </c>
      <c r="K134" s="573"/>
      <c r="L134" s="573"/>
      <c r="M134" s="573"/>
      <c r="N134" s="573"/>
      <c r="O134" s="573"/>
      <c r="P134" s="573"/>
      <c r="Q134" s="573"/>
      <c r="R134" s="573"/>
      <c r="S134" s="619"/>
    </row>
    <row r="135" spans="1:19" s="76" customFormat="1" ht="13.5">
      <c r="A135" s="586"/>
      <c r="B135" s="583"/>
      <c r="C135" s="580"/>
      <c r="D135" s="578"/>
      <c r="E135" s="279" t="s">
        <v>243</v>
      </c>
      <c r="F135" s="279" t="s">
        <v>259</v>
      </c>
      <c r="G135" s="279" t="s">
        <v>277</v>
      </c>
      <c r="H135" s="279" t="s">
        <v>277</v>
      </c>
      <c r="I135" s="280" t="s">
        <v>278</v>
      </c>
      <c r="J135" s="279" t="s">
        <v>204</v>
      </c>
      <c r="K135" s="467">
        <v>39</v>
      </c>
      <c r="L135" s="468">
        <f>24.7/1000</f>
        <v>0.0247</v>
      </c>
      <c r="M135" s="346" t="s">
        <v>332</v>
      </c>
      <c r="N135" s="464" t="s">
        <v>188</v>
      </c>
      <c r="O135" s="464" t="s">
        <v>188</v>
      </c>
      <c r="P135" s="465">
        <f>+Q135+R135</f>
        <v>288</v>
      </c>
      <c r="Q135" s="425">
        <v>78</v>
      </c>
      <c r="R135" s="425">
        <v>210</v>
      </c>
      <c r="S135" s="464" t="s">
        <v>188</v>
      </c>
    </row>
    <row r="136" spans="1:19" s="76" customFormat="1" ht="13.5" customHeight="1">
      <c r="A136" s="586"/>
      <c r="B136" s="583"/>
      <c r="C136" s="580"/>
      <c r="D136" s="578"/>
      <c r="E136" s="306" t="s">
        <v>243</v>
      </c>
      <c r="F136" s="306" t="s">
        <v>244</v>
      </c>
      <c r="G136" s="307" t="s">
        <v>245</v>
      </c>
      <c r="H136" s="244" t="s">
        <v>586</v>
      </c>
      <c r="I136" s="308" t="s">
        <v>585</v>
      </c>
      <c r="J136" s="244" t="s">
        <v>587</v>
      </c>
      <c r="K136" s="88">
        <v>607</v>
      </c>
      <c r="L136" s="89">
        <f>126.4/1000</f>
        <v>0.1264</v>
      </c>
      <c r="M136" s="254" t="s">
        <v>335</v>
      </c>
      <c r="N136" s="86" t="s">
        <v>188</v>
      </c>
      <c r="O136" s="86" t="s">
        <v>188</v>
      </c>
      <c r="P136" s="378">
        <f>+Q136+R136</f>
        <v>1030</v>
      </c>
      <c r="Q136" s="381">
        <v>230</v>
      </c>
      <c r="R136" s="381">
        <v>800</v>
      </c>
      <c r="S136" s="86" t="s">
        <v>188</v>
      </c>
    </row>
    <row r="137" spans="1:19" s="76" customFormat="1" ht="13.5">
      <c r="A137" s="586"/>
      <c r="B137" s="583"/>
      <c r="C137" s="580"/>
      <c r="D137" s="578"/>
      <c r="E137" s="306" t="s">
        <v>243</v>
      </c>
      <c r="F137" s="237" t="s">
        <v>244</v>
      </c>
      <c r="G137" s="237" t="s">
        <v>245</v>
      </c>
      <c r="H137" s="235" t="s">
        <v>250</v>
      </c>
      <c r="I137" s="236" t="s">
        <v>251</v>
      </c>
      <c r="J137" s="244" t="s">
        <v>207</v>
      </c>
      <c r="K137" s="88">
        <v>1</v>
      </c>
      <c r="L137" s="290">
        <f>97.6/1000</f>
        <v>0.09759999999999999</v>
      </c>
      <c r="M137" s="254" t="s">
        <v>335</v>
      </c>
      <c r="N137" s="86" t="s">
        <v>350</v>
      </c>
      <c r="O137" s="86" t="s">
        <v>350</v>
      </c>
      <c r="P137" s="378">
        <f aca="true" t="shared" si="5" ref="P137:P142">+Q137+R137</f>
        <v>780</v>
      </c>
      <c r="Q137" s="381">
        <v>190</v>
      </c>
      <c r="R137" s="381">
        <v>590</v>
      </c>
      <c r="S137" s="86" t="s">
        <v>188</v>
      </c>
    </row>
    <row r="138" spans="1:19" s="76" customFormat="1" ht="13.5">
      <c r="A138" s="586"/>
      <c r="B138" s="583"/>
      <c r="C138" s="580"/>
      <c r="D138" s="578"/>
      <c r="E138" s="244" t="s">
        <v>252</v>
      </c>
      <c r="F138" s="237" t="s">
        <v>253</v>
      </c>
      <c r="G138" s="237" t="s">
        <v>254</v>
      </c>
      <c r="H138" s="237" t="s">
        <v>255</v>
      </c>
      <c r="I138" s="287" t="s">
        <v>256</v>
      </c>
      <c r="J138" s="244" t="s">
        <v>198</v>
      </c>
      <c r="K138" s="309">
        <v>24</v>
      </c>
      <c r="L138" s="310">
        <f>30.7/1000</f>
        <v>0.030699999999999998</v>
      </c>
      <c r="M138" s="254" t="s">
        <v>335</v>
      </c>
      <c r="N138" s="86" t="s">
        <v>350</v>
      </c>
      <c r="O138" s="370" t="s">
        <v>346</v>
      </c>
      <c r="P138" s="378">
        <f t="shared" si="5"/>
        <v>267</v>
      </c>
      <c r="Q138" s="381">
        <v>67</v>
      </c>
      <c r="R138" s="381">
        <v>200</v>
      </c>
      <c r="S138" s="86" t="s">
        <v>188</v>
      </c>
    </row>
    <row r="139" spans="1:19" s="76" customFormat="1" ht="13.5">
      <c r="A139" s="586"/>
      <c r="B139" s="583"/>
      <c r="C139" s="580"/>
      <c r="D139" s="578"/>
      <c r="E139" s="244" t="s">
        <v>226</v>
      </c>
      <c r="F139" s="237" t="s">
        <v>230</v>
      </c>
      <c r="G139" s="237" t="s">
        <v>231</v>
      </c>
      <c r="H139" s="237" t="s">
        <v>231</v>
      </c>
      <c r="I139" s="287" t="s">
        <v>235</v>
      </c>
      <c r="J139" s="244" t="s">
        <v>190</v>
      </c>
      <c r="K139" s="88">
        <v>130</v>
      </c>
      <c r="L139" s="104">
        <f>85.6/1000</f>
        <v>0.0856</v>
      </c>
      <c r="M139" s="254" t="s">
        <v>336</v>
      </c>
      <c r="N139" s="86" t="s">
        <v>188</v>
      </c>
      <c r="O139" s="86" t="s">
        <v>188</v>
      </c>
      <c r="P139" s="378">
        <f t="shared" si="5"/>
        <v>720</v>
      </c>
      <c r="Q139" s="381">
        <v>170</v>
      </c>
      <c r="R139" s="381">
        <v>550</v>
      </c>
      <c r="S139" s="86" t="s">
        <v>188</v>
      </c>
    </row>
    <row r="140" spans="1:19" s="76" customFormat="1" ht="13.5">
      <c r="A140" s="586"/>
      <c r="B140" s="583"/>
      <c r="C140" s="580"/>
      <c r="D140" s="578"/>
      <c r="E140" s="234" t="s">
        <v>226</v>
      </c>
      <c r="F140" s="235" t="s">
        <v>227</v>
      </c>
      <c r="G140" s="237" t="s">
        <v>228</v>
      </c>
      <c r="H140" s="237" t="s">
        <v>228</v>
      </c>
      <c r="I140" s="236" t="s">
        <v>229</v>
      </c>
      <c r="J140" s="244" t="s">
        <v>189</v>
      </c>
      <c r="K140" s="88">
        <v>7</v>
      </c>
      <c r="L140" s="104">
        <f>96.6/1000</f>
        <v>0.09659999999999999</v>
      </c>
      <c r="M140" s="254" t="s">
        <v>329</v>
      </c>
      <c r="N140" s="86" t="s">
        <v>188</v>
      </c>
      <c r="O140" s="86" t="s">
        <v>188</v>
      </c>
      <c r="P140" s="378">
        <f t="shared" si="5"/>
        <v>450</v>
      </c>
      <c r="Q140" s="381">
        <v>110</v>
      </c>
      <c r="R140" s="381">
        <v>340</v>
      </c>
      <c r="S140" s="86" t="s">
        <v>188</v>
      </c>
    </row>
    <row r="141" spans="1:19" s="76" customFormat="1" ht="13.5">
      <c r="A141" s="586"/>
      <c r="B141" s="583"/>
      <c r="C141" s="580"/>
      <c r="D141" s="578"/>
      <c r="E141" s="244" t="s">
        <v>226</v>
      </c>
      <c r="F141" s="237" t="s">
        <v>230</v>
      </c>
      <c r="G141" s="237" t="s">
        <v>231</v>
      </c>
      <c r="H141" s="237" t="s">
        <v>248</v>
      </c>
      <c r="I141" s="287" t="s">
        <v>249</v>
      </c>
      <c r="J141" s="244" t="s">
        <v>197</v>
      </c>
      <c r="K141" s="88">
        <v>1</v>
      </c>
      <c r="L141" s="290">
        <f>15.3/1000</f>
        <v>0.015300000000000001</v>
      </c>
      <c r="M141" s="254" t="s">
        <v>329</v>
      </c>
      <c r="N141" s="86" t="s">
        <v>350</v>
      </c>
      <c r="O141" s="86" t="s">
        <v>188</v>
      </c>
      <c r="P141" s="378">
        <f t="shared" si="5"/>
        <v>630</v>
      </c>
      <c r="Q141" s="381">
        <v>150</v>
      </c>
      <c r="R141" s="381">
        <v>480</v>
      </c>
      <c r="S141" s="86" t="s">
        <v>188</v>
      </c>
    </row>
    <row r="142" spans="1:19" s="76" customFormat="1" ht="13.5">
      <c r="A142" s="586"/>
      <c r="B142" s="583"/>
      <c r="C142" s="580"/>
      <c r="D142" s="578"/>
      <c r="E142" s="329" t="s">
        <v>226</v>
      </c>
      <c r="F142" s="307" t="s">
        <v>230</v>
      </c>
      <c r="G142" s="307" t="s">
        <v>599</v>
      </c>
      <c r="H142" s="307" t="s">
        <v>600</v>
      </c>
      <c r="I142" s="330" t="s">
        <v>602</v>
      </c>
      <c r="J142" s="306" t="s">
        <v>205</v>
      </c>
      <c r="K142" s="88">
        <v>3</v>
      </c>
      <c r="L142" s="334">
        <f>8.3/1000</f>
        <v>0.0083</v>
      </c>
      <c r="M142" s="254" t="s">
        <v>329</v>
      </c>
      <c r="N142" s="86" t="s">
        <v>188</v>
      </c>
      <c r="O142" s="86" t="s">
        <v>188</v>
      </c>
      <c r="P142" s="378">
        <f t="shared" si="5"/>
        <v>1580</v>
      </c>
      <c r="Q142" s="381">
        <v>380</v>
      </c>
      <c r="R142" s="381">
        <v>1200</v>
      </c>
      <c r="S142" s="86" t="s">
        <v>188</v>
      </c>
    </row>
    <row r="143" spans="1:19" s="76" customFormat="1" ht="13.5">
      <c r="A143" s="587"/>
      <c r="B143" s="584"/>
      <c r="C143" s="581"/>
      <c r="D143" s="579"/>
      <c r="E143" s="228" t="s">
        <v>297</v>
      </c>
      <c r="F143" s="229" t="s">
        <v>188</v>
      </c>
      <c r="G143" s="229" t="s">
        <v>188</v>
      </c>
      <c r="H143" s="229" t="s">
        <v>188</v>
      </c>
      <c r="I143" s="229" t="s">
        <v>188</v>
      </c>
      <c r="J143" s="230" t="s">
        <v>401</v>
      </c>
      <c r="K143" s="277" t="s">
        <v>331</v>
      </c>
      <c r="L143" s="454">
        <v>0.267</v>
      </c>
      <c r="M143" s="457" t="s">
        <v>188</v>
      </c>
      <c r="N143" s="333" t="s">
        <v>350</v>
      </c>
      <c r="O143" s="333" t="s">
        <v>350</v>
      </c>
      <c r="P143" s="451">
        <f>+Q143+R143</f>
        <v>234</v>
      </c>
      <c r="Q143" s="452">
        <v>54</v>
      </c>
      <c r="R143" s="452">
        <v>180</v>
      </c>
      <c r="S143" s="333" t="s">
        <v>188</v>
      </c>
    </row>
    <row r="144" spans="1:23" s="120" customFormat="1" ht="17.25" customHeight="1">
      <c r="A144" s="186"/>
      <c r="B144" s="368" t="s">
        <v>390</v>
      </c>
      <c r="C144" s="146"/>
      <c r="D144" s="188"/>
      <c r="E144" s="188"/>
      <c r="F144" s="189"/>
      <c r="G144" s="189"/>
      <c r="H144" s="189"/>
      <c r="I144" s="150"/>
      <c r="J144" s="146"/>
      <c r="K144" s="147"/>
      <c r="L144" s="148"/>
      <c r="M144" s="149"/>
      <c r="N144" s="150"/>
      <c r="O144" s="149"/>
      <c r="P144" s="146"/>
      <c r="Q144" s="146"/>
      <c r="R144" s="146"/>
      <c r="S144" s="158"/>
      <c r="T144" s="76"/>
      <c r="U144" s="76"/>
      <c r="V144" s="76"/>
      <c r="W144" s="76"/>
    </row>
    <row r="145" spans="1:23" s="120" customFormat="1" ht="17.25" customHeight="1">
      <c r="A145" s="186"/>
      <c r="B145" s="368" t="s">
        <v>391</v>
      </c>
      <c r="C145" s="146"/>
      <c r="D145" s="188"/>
      <c r="E145" s="188"/>
      <c r="F145" s="189"/>
      <c r="G145" s="189"/>
      <c r="H145" s="189"/>
      <c r="I145" s="150"/>
      <c r="J145" s="146"/>
      <c r="K145" s="147"/>
      <c r="L145" s="148"/>
      <c r="M145" s="149"/>
      <c r="N145" s="150"/>
      <c r="O145" s="149"/>
      <c r="P145" s="146"/>
      <c r="Q145" s="146"/>
      <c r="R145" s="146"/>
      <c r="S145" s="158"/>
      <c r="T145" s="76"/>
      <c r="U145" s="76"/>
      <c r="V145" s="76"/>
      <c r="W145" s="76"/>
    </row>
    <row r="146" spans="1:23" s="120" customFormat="1" ht="17.25" customHeight="1">
      <c r="A146" s="186"/>
      <c r="B146" s="368" t="s">
        <v>402</v>
      </c>
      <c r="C146" s="146"/>
      <c r="D146" s="188"/>
      <c r="E146" s="188"/>
      <c r="F146" s="189"/>
      <c r="G146" s="189"/>
      <c r="H146" s="189"/>
      <c r="I146" s="150"/>
      <c r="J146" s="146"/>
      <c r="K146" s="147"/>
      <c r="L146" s="148"/>
      <c r="M146" s="149"/>
      <c r="N146" s="151"/>
      <c r="O146" s="152"/>
      <c r="P146" s="146"/>
      <c r="Q146" s="146"/>
      <c r="R146" s="146"/>
      <c r="S146" s="158"/>
      <c r="T146" s="76"/>
      <c r="U146" s="76"/>
      <c r="V146" s="76"/>
      <c r="W146" s="76"/>
    </row>
    <row r="147" spans="1:23" s="120" customFormat="1" ht="17.25" customHeight="1">
      <c r="A147" s="186"/>
      <c r="B147" s="368" t="s">
        <v>392</v>
      </c>
      <c r="C147" s="146"/>
      <c r="D147" s="188"/>
      <c r="E147" s="188"/>
      <c r="F147" s="189"/>
      <c r="G147" s="189"/>
      <c r="H147" s="189"/>
      <c r="I147" s="150"/>
      <c r="J147" s="146"/>
      <c r="K147" s="147"/>
      <c r="L147" s="148"/>
      <c r="M147" s="149"/>
      <c r="N147" s="151"/>
      <c r="O147" s="149"/>
      <c r="P147" s="146"/>
      <c r="Q147" s="146"/>
      <c r="R147" s="146"/>
      <c r="S147" s="158"/>
      <c r="T147" s="76"/>
      <c r="U147" s="76"/>
      <c r="V147" s="76"/>
      <c r="W147" s="76"/>
    </row>
    <row r="148" spans="1:23" s="120" customFormat="1" ht="17.25" customHeight="1">
      <c r="A148" s="186"/>
      <c r="B148" s="368" t="s">
        <v>393</v>
      </c>
      <c r="C148" s="146"/>
      <c r="D148" s="188"/>
      <c r="E148" s="188"/>
      <c r="F148" s="189"/>
      <c r="G148" s="189"/>
      <c r="H148" s="189"/>
      <c r="I148" s="150"/>
      <c r="J148" s="146"/>
      <c r="K148" s="147"/>
      <c r="L148" s="148"/>
      <c r="M148" s="149"/>
      <c r="N148" s="151"/>
      <c r="O148" s="149"/>
      <c r="P148" s="146"/>
      <c r="Q148" s="146"/>
      <c r="R148" s="146"/>
      <c r="S148" s="158"/>
      <c r="T148" s="76"/>
      <c r="U148" s="76"/>
      <c r="V148" s="76"/>
      <c r="W148" s="76"/>
    </row>
    <row r="149" spans="1:23" s="120" customFormat="1" ht="17.25" customHeight="1">
      <c r="A149" s="186"/>
      <c r="B149" s="368" t="s">
        <v>394</v>
      </c>
      <c r="C149" s="146"/>
      <c r="D149" s="188"/>
      <c r="E149" s="188"/>
      <c r="F149" s="189"/>
      <c r="G149" s="189"/>
      <c r="H149" s="189"/>
      <c r="I149" s="150"/>
      <c r="J149" s="146"/>
      <c r="K149" s="147"/>
      <c r="L149" s="148"/>
      <c r="M149" s="149"/>
      <c r="N149" s="150"/>
      <c r="O149" s="149"/>
      <c r="P149" s="146"/>
      <c r="Q149" s="146"/>
      <c r="R149" s="146"/>
      <c r="S149" s="158"/>
      <c r="T149" s="76"/>
      <c r="U149" s="76"/>
      <c r="V149" s="76"/>
      <c r="W149" s="76"/>
    </row>
    <row r="150" spans="1:23" s="120" customFormat="1" ht="17.25" customHeight="1">
      <c r="A150" s="186"/>
      <c r="B150" s="368" t="s">
        <v>395</v>
      </c>
      <c r="C150" s="146"/>
      <c r="D150" s="188"/>
      <c r="E150" s="188"/>
      <c r="F150" s="189"/>
      <c r="G150" s="189"/>
      <c r="H150" s="189"/>
      <c r="I150" s="150"/>
      <c r="J150" s="146"/>
      <c r="K150" s="147"/>
      <c r="L150" s="148"/>
      <c r="M150" s="149"/>
      <c r="N150" s="150"/>
      <c r="O150" s="149"/>
      <c r="P150" s="146"/>
      <c r="Q150" s="146"/>
      <c r="R150" s="146"/>
      <c r="S150" s="158"/>
      <c r="T150" s="76"/>
      <c r="U150" s="76"/>
      <c r="V150" s="76"/>
      <c r="W150" s="76"/>
    </row>
    <row r="151" spans="1:23" s="120" customFormat="1" ht="17.25" customHeight="1">
      <c r="A151" s="186"/>
      <c r="B151" s="368" t="s">
        <v>396</v>
      </c>
      <c r="C151" s="146"/>
      <c r="D151" s="188"/>
      <c r="E151" s="188"/>
      <c r="F151" s="189"/>
      <c r="G151" s="189"/>
      <c r="H151" s="189"/>
      <c r="I151" s="150"/>
      <c r="J151" s="146"/>
      <c r="K151" s="147"/>
      <c r="L151" s="148"/>
      <c r="M151" s="149"/>
      <c r="N151" s="150"/>
      <c r="O151" s="149"/>
      <c r="P151" s="146"/>
      <c r="Q151" s="146"/>
      <c r="R151" s="146"/>
      <c r="S151" s="158"/>
      <c r="T151" s="76"/>
      <c r="U151" s="76"/>
      <c r="V151" s="76"/>
      <c r="W151" s="76"/>
    </row>
    <row r="152" spans="1:23" s="120" customFormat="1" ht="17.25" customHeight="1">
      <c r="A152" s="186"/>
      <c r="B152" s="368" t="s">
        <v>397</v>
      </c>
      <c r="C152" s="146"/>
      <c r="D152" s="188"/>
      <c r="E152" s="188"/>
      <c r="F152" s="189"/>
      <c r="G152" s="189"/>
      <c r="H152" s="189"/>
      <c r="I152" s="150"/>
      <c r="J152" s="146"/>
      <c r="K152" s="147"/>
      <c r="L152" s="148"/>
      <c r="M152" s="149"/>
      <c r="N152" s="150"/>
      <c r="O152" s="149"/>
      <c r="P152" s="153"/>
      <c r="Q152" s="154"/>
      <c r="R152" s="155"/>
      <c r="S152" s="156"/>
      <c r="T152" s="121"/>
      <c r="U152" s="122"/>
      <c r="V152" s="121"/>
      <c r="W152" s="76"/>
    </row>
    <row r="153" spans="1:26" s="76" customFormat="1" ht="13.5">
      <c r="A153" s="200"/>
      <c r="B153" s="200"/>
      <c r="C153" s="169"/>
      <c r="D153" s="201"/>
      <c r="E153" s="197"/>
      <c r="F153" s="197"/>
      <c r="G153" s="199"/>
      <c r="H153" s="202"/>
      <c r="I153" s="167"/>
      <c r="J153" s="159"/>
      <c r="K153" s="160"/>
      <c r="L153" s="161"/>
      <c r="M153" s="168"/>
      <c r="N153" s="169"/>
      <c r="O153" s="169"/>
      <c r="P153" s="170"/>
      <c r="Q153" s="170"/>
      <c r="R153" s="168"/>
      <c r="S153" s="169"/>
      <c r="T153" s="84"/>
      <c r="U153" s="84"/>
      <c r="V153" s="84"/>
      <c r="W153" s="81"/>
      <c r="X153" s="83"/>
      <c r="Y153" s="83"/>
      <c r="Z153" s="13"/>
    </row>
    <row r="154" spans="1:19" s="15" customFormat="1" ht="18" customHeight="1">
      <c r="A154" s="556" t="s">
        <v>1</v>
      </c>
      <c r="B154" s="669"/>
      <c r="C154" s="556" t="s">
        <v>341</v>
      </c>
      <c r="D154" s="629" t="s">
        <v>161</v>
      </c>
      <c r="E154" s="630" t="s">
        <v>175</v>
      </c>
      <c r="F154" s="630" t="s">
        <v>176</v>
      </c>
      <c r="G154" s="556" t="s">
        <v>177</v>
      </c>
      <c r="H154" s="556" t="s">
        <v>178</v>
      </c>
      <c r="I154" s="556" t="s">
        <v>179</v>
      </c>
      <c r="J154" s="556" t="s">
        <v>180</v>
      </c>
      <c r="K154" s="642" t="s">
        <v>162</v>
      </c>
      <c r="L154" s="635" t="s">
        <v>163</v>
      </c>
      <c r="M154" s="633" t="s">
        <v>181</v>
      </c>
      <c r="N154" s="633"/>
      <c r="O154" s="634"/>
      <c r="P154" s="638" t="s">
        <v>165</v>
      </c>
      <c r="Q154" s="633"/>
      <c r="R154" s="633"/>
      <c r="S154" s="633" t="s">
        <v>182</v>
      </c>
    </row>
    <row r="155" spans="1:22" s="15" customFormat="1" ht="18" customHeight="1">
      <c r="A155" s="669"/>
      <c r="B155" s="669"/>
      <c r="C155" s="556"/>
      <c r="D155" s="629"/>
      <c r="E155" s="631"/>
      <c r="F155" s="631"/>
      <c r="G155" s="556"/>
      <c r="H155" s="556"/>
      <c r="I155" s="556"/>
      <c r="J155" s="556"/>
      <c r="K155" s="643"/>
      <c r="L155" s="636"/>
      <c r="M155" s="271" t="s">
        <v>164</v>
      </c>
      <c r="N155" s="252" t="s">
        <v>166</v>
      </c>
      <c r="O155" s="252" t="s">
        <v>340</v>
      </c>
      <c r="P155" s="272" t="s">
        <v>167</v>
      </c>
      <c r="Q155" s="273" t="s">
        <v>18</v>
      </c>
      <c r="R155" s="273" t="s">
        <v>19</v>
      </c>
      <c r="S155" s="556"/>
      <c r="U155" s="81"/>
      <c r="V155" s="81"/>
    </row>
    <row r="156" spans="1:22" s="15" customFormat="1" ht="13.5" customHeight="1">
      <c r="A156" s="667" t="s">
        <v>173</v>
      </c>
      <c r="B156" s="603" t="s">
        <v>666</v>
      </c>
      <c r="C156" s="498" t="s">
        <v>352</v>
      </c>
      <c r="D156" s="344">
        <v>41974</v>
      </c>
      <c r="E156" s="234" t="s">
        <v>226</v>
      </c>
      <c r="F156" s="235" t="s">
        <v>230</v>
      </c>
      <c r="G156" s="370" t="s">
        <v>233</v>
      </c>
      <c r="H156" s="370" t="s">
        <v>233</v>
      </c>
      <c r="I156" s="515" t="s">
        <v>768</v>
      </c>
      <c r="J156" s="244" t="s">
        <v>603</v>
      </c>
      <c r="K156" s="245">
        <v>1</v>
      </c>
      <c r="L156" s="89">
        <v>0.68</v>
      </c>
      <c r="M156" s="254" t="s">
        <v>329</v>
      </c>
      <c r="N156" s="255" t="s">
        <v>354</v>
      </c>
      <c r="O156" s="370" t="s">
        <v>774</v>
      </c>
      <c r="P156" s="413">
        <f>SUM(Q156:R156)</f>
        <v>38</v>
      </c>
      <c r="Q156" s="381">
        <v>10</v>
      </c>
      <c r="R156" s="381">
        <v>28</v>
      </c>
      <c r="S156" s="86" t="s">
        <v>188</v>
      </c>
      <c r="U156" s="81"/>
      <c r="V156" s="81"/>
    </row>
    <row r="157" spans="1:22" s="15" customFormat="1" ht="13.5" customHeight="1">
      <c r="A157" s="618"/>
      <c r="B157" s="604"/>
      <c r="C157" s="498" t="s">
        <v>352</v>
      </c>
      <c r="D157" s="578">
        <v>41980</v>
      </c>
      <c r="E157" s="244" t="s">
        <v>226</v>
      </c>
      <c r="F157" s="237" t="s">
        <v>230</v>
      </c>
      <c r="G157" s="235" t="s">
        <v>239</v>
      </c>
      <c r="H157" s="235" t="s">
        <v>240</v>
      </c>
      <c r="I157" s="236" t="s">
        <v>241</v>
      </c>
      <c r="J157" s="244" t="s">
        <v>193</v>
      </c>
      <c r="K157" s="88">
        <v>1</v>
      </c>
      <c r="L157" s="89">
        <v>0.673</v>
      </c>
      <c r="M157" s="254" t="s">
        <v>329</v>
      </c>
      <c r="N157" s="255" t="s">
        <v>354</v>
      </c>
      <c r="O157" s="370" t="s">
        <v>775</v>
      </c>
      <c r="P157" s="413">
        <f>+Q157+R157</f>
        <v>1320</v>
      </c>
      <c r="Q157" s="381">
        <v>320</v>
      </c>
      <c r="R157" s="381">
        <v>1000</v>
      </c>
      <c r="S157" s="482" t="s">
        <v>188</v>
      </c>
      <c r="U157" s="81"/>
      <c r="V157" s="81"/>
    </row>
    <row r="158" spans="1:22" s="15" customFormat="1" ht="13.5" customHeight="1">
      <c r="A158" s="618"/>
      <c r="B158" s="668"/>
      <c r="C158" s="498" t="s">
        <v>352</v>
      </c>
      <c r="D158" s="286">
        <v>41981</v>
      </c>
      <c r="E158" s="274" t="s">
        <v>299</v>
      </c>
      <c r="F158" s="275" t="s">
        <v>188</v>
      </c>
      <c r="G158" s="269" t="s">
        <v>188</v>
      </c>
      <c r="H158" s="269" t="s">
        <v>188</v>
      </c>
      <c r="I158" s="275" t="s">
        <v>188</v>
      </c>
      <c r="J158" s="274" t="s">
        <v>208</v>
      </c>
      <c r="K158" s="276" t="s">
        <v>331</v>
      </c>
      <c r="L158" s="437">
        <f>13.6/1000</f>
        <v>0.0136</v>
      </c>
      <c r="M158" s="275" t="s">
        <v>188</v>
      </c>
      <c r="N158" s="269" t="s">
        <v>188</v>
      </c>
      <c r="O158" s="269" t="s">
        <v>188</v>
      </c>
      <c r="P158" s="404">
        <f>SUM(Q158:R158)</f>
        <v>4.5</v>
      </c>
      <c r="Q158" s="428" t="s">
        <v>652</v>
      </c>
      <c r="R158" s="429">
        <v>4.5</v>
      </c>
      <c r="S158" s="269" t="s">
        <v>188</v>
      </c>
      <c r="U158" s="81"/>
      <c r="V158" s="81"/>
    </row>
    <row r="159" spans="1:22" s="15" customFormat="1" ht="13.5" customHeight="1">
      <c r="A159" s="618"/>
      <c r="B159" s="560" t="s">
        <v>351</v>
      </c>
      <c r="C159" s="498" t="s">
        <v>353</v>
      </c>
      <c r="D159" s="591">
        <v>41980</v>
      </c>
      <c r="E159" s="274" t="s">
        <v>299</v>
      </c>
      <c r="F159" s="269" t="s">
        <v>188</v>
      </c>
      <c r="G159" s="269" t="s">
        <v>188</v>
      </c>
      <c r="H159" s="269" t="s">
        <v>188</v>
      </c>
      <c r="I159" s="275" t="s">
        <v>187</v>
      </c>
      <c r="J159" s="274" t="s">
        <v>330</v>
      </c>
      <c r="K159" s="343" t="s">
        <v>331</v>
      </c>
      <c r="L159" s="437">
        <f>66.3/1000</f>
        <v>0.0663</v>
      </c>
      <c r="M159" s="275" t="s">
        <v>188</v>
      </c>
      <c r="N159" s="269" t="s">
        <v>188</v>
      </c>
      <c r="O159" s="269" t="s">
        <v>188</v>
      </c>
      <c r="P159" s="410">
        <f>SUM(Q159:R159)</f>
        <v>630</v>
      </c>
      <c r="Q159" s="412">
        <v>140</v>
      </c>
      <c r="R159" s="412">
        <v>490</v>
      </c>
      <c r="S159" s="269" t="s">
        <v>188</v>
      </c>
      <c r="U159" s="81"/>
      <c r="V159" s="81"/>
    </row>
    <row r="160" spans="1:22" s="15" customFormat="1" ht="13.5" customHeight="1">
      <c r="A160" s="618"/>
      <c r="B160" s="580"/>
      <c r="C160" s="498" t="s">
        <v>353</v>
      </c>
      <c r="D160" s="592"/>
      <c r="E160" s="284" t="s">
        <v>243</v>
      </c>
      <c r="F160" s="313" t="s">
        <v>259</v>
      </c>
      <c r="G160" s="313" t="s">
        <v>726</v>
      </c>
      <c r="H160" s="279" t="s">
        <v>727</v>
      </c>
      <c r="I160" s="280" t="s">
        <v>670</v>
      </c>
      <c r="J160" s="476" t="s">
        <v>728</v>
      </c>
      <c r="K160" s="678">
        <v>27</v>
      </c>
      <c r="L160" s="681">
        <f>12.2/1000</f>
        <v>0.012199999999999999</v>
      </c>
      <c r="M160" s="615" t="s">
        <v>360</v>
      </c>
      <c r="N160" s="611" t="s">
        <v>188</v>
      </c>
      <c r="O160" s="611" t="s">
        <v>188</v>
      </c>
      <c r="P160" s="617">
        <f>+Q160+R160</f>
        <v>166</v>
      </c>
      <c r="Q160" s="617">
        <v>36</v>
      </c>
      <c r="R160" s="617">
        <v>130</v>
      </c>
      <c r="S160" s="611" t="s">
        <v>188</v>
      </c>
      <c r="U160" s="81"/>
      <c r="V160" s="81"/>
    </row>
    <row r="161" spans="1:22" s="15" customFormat="1" ht="13.5" customHeight="1">
      <c r="A161" s="618"/>
      <c r="B161" s="580"/>
      <c r="C161" s="498" t="s">
        <v>353</v>
      </c>
      <c r="D161" s="592"/>
      <c r="E161" s="284" t="s">
        <v>243</v>
      </c>
      <c r="F161" s="279" t="s">
        <v>259</v>
      </c>
      <c r="G161" s="279" t="s">
        <v>730</v>
      </c>
      <c r="H161" s="279" t="s">
        <v>731</v>
      </c>
      <c r="I161" s="280" t="s">
        <v>276</v>
      </c>
      <c r="J161" s="279" t="s">
        <v>209</v>
      </c>
      <c r="K161" s="679"/>
      <c r="L161" s="602"/>
      <c r="M161" s="675"/>
      <c r="N161" s="677"/>
      <c r="O161" s="677"/>
      <c r="P161" s="602"/>
      <c r="Q161" s="602"/>
      <c r="R161" s="602"/>
      <c r="S161" s="594"/>
      <c r="U161" s="81"/>
      <c r="V161" s="81"/>
    </row>
    <row r="162" spans="1:22" s="15" customFormat="1" ht="13.5" customHeight="1">
      <c r="A162" s="618"/>
      <c r="B162" s="580"/>
      <c r="C162" s="498" t="s">
        <v>353</v>
      </c>
      <c r="D162" s="592"/>
      <c r="E162" s="284" t="s">
        <v>243</v>
      </c>
      <c r="F162" s="279" t="s">
        <v>259</v>
      </c>
      <c r="G162" s="279" t="s">
        <v>715</v>
      </c>
      <c r="H162" s="279" t="s">
        <v>716</v>
      </c>
      <c r="I162" s="280" t="s">
        <v>675</v>
      </c>
      <c r="J162" s="279" t="s">
        <v>723</v>
      </c>
      <c r="K162" s="679"/>
      <c r="L162" s="602"/>
      <c r="M162" s="675"/>
      <c r="N162" s="677"/>
      <c r="O162" s="677"/>
      <c r="P162" s="602"/>
      <c r="Q162" s="602"/>
      <c r="R162" s="602"/>
      <c r="S162" s="594"/>
      <c r="U162" s="81"/>
      <c r="V162" s="81"/>
    </row>
    <row r="163" spans="1:22" s="15" customFormat="1" ht="13.5" customHeight="1">
      <c r="A163" s="618"/>
      <c r="B163" s="580"/>
      <c r="C163" s="498" t="s">
        <v>353</v>
      </c>
      <c r="D163" s="592"/>
      <c r="E163" s="284" t="s">
        <v>243</v>
      </c>
      <c r="F163" s="279" t="s">
        <v>259</v>
      </c>
      <c r="G163" s="279" t="s">
        <v>274</v>
      </c>
      <c r="H163" s="279" t="s">
        <v>671</v>
      </c>
      <c r="I163" s="280" t="s">
        <v>682</v>
      </c>
      <c r="J163" s="279" t="s">
        <v>694</v>
      </c>
      <c r="K163" s="679"/>
      <c r="L163" s="602"/>
      <c r="M163" s="675"/>
      <c r="N163" s="677"/>
      <c r="O163" s="677"/>
      <c r="P163" s="602"/>
      <c r="Q163" s="602"/>
      <c r="R163" s="602"/>
      <c r="S163" s="594"/>
      <c r="U163" s="81"/>
      <c r="V163" s="81"/>
    </row>
    <row r="164" spans="1:22" s="15" customFormat="1" ht="13.5" customHeight="1">
      <c r="A164" s="618"/>
      <c r="B164" s="580"/>
      <c r="C164" s="498" t="s">
        <v>353</v>
      </c>
      <c r="D164" s="592"/>
      <c r="E164" s="284" t="s">
        <v>243</v>
      </c>
      <c r="F164" s="279" t="s">
        <v>259</v>
      </c>
      <c r="G164" s="279" t="s">
        <v>274</v>
      </c>
      <c r="H164" s="279" t="s">
        <v>671</v>
      </c>
      <c r="I164" s="280" t="s">
        <v>732</v>
      </c>
      <c r="J164" s="279" t="s">
        <v>725</v>
      </c>
      <c r="K164" s="679"/>
      <c r="L164" s="602"/>
      <c r="M164" s="675"/>
      <c r="N164" s="677"/>
      <c r="O164" s="677"/>
      <c r="P164" s="602"/>
      <c r="Q164" s="602"/>
      <c r="R164" s="602"/>
      <c r="S164" s="594"/>
      <c r="U164" s="81"/>
      <c r="V164" s="81"/>
    </row>
    <row r="165" spans="1:22" s="15" customFormat="1" ht="13.5" customHeight="1">
      <c r="A165" s="618"/>
      <c r="B165" s="580"/>
      <c r="C165" s="498" t="s">
        <v>353</v>
      </c>
      <c r="D165" s="592"/>
      <c r="E165" s="284" t="s">
        <v>243</v>
      </c>
      <c r="F165" s="313" t="s">
        <v>259</v>
      </c>
      <c r="G165" s="313" t="s">
        <v>733</v>
      </c>
      <c r="H165" s="279" t="s">
        <v>734</v>
      </c>
      <c r="I165" s="280" t="s">
        <v>685</v>
      </c>
      <c r="J165" s="279" t="s">
        <v>735</v>
      </c>
      <c r="K165" s="679"/>
      <c r="L165" s="602"/>
      <c r="M165" s="675"/>
      <c r="N165" s="677"/>
      <c r="O165" s="677"/>
      <c r="P165" s="602"/>
      <c r="Q165" s="602"/>
      <c r="R165" s="602"/>
      <c r="S165" s="594"/>
      <c r="U165" s="81"/>
      <c r="V165" s="81"/>
    </row>
    <row r="166" spans="1:22" s="15" customFormat="1" ht="13.5" customHeight="1">
      <c r="A166" s="618"/>
      <c r="B166" s="580"/>
      <c r="C166" s="498" t="s">
        <v>353</v>
      </c>
      <c r="D166" s="592"/>
      <c r="E166" s="284" t="s">
        <v>243</v>
      </c>
      <c r="F166" s="279" t="s">
        <v>259</v>
      </c>
      <c r="G166" s="279" t="s">
        <v>733</v>
      </c>
      <c r="H166" s="279" t="s">
        <v>734</v>
      </c>
      <c r="I166" s="280" t="s">
        <v>736</v>
      </c>
      <c r="J166" s="279" t="s">
        <v>693</v>
      </c>
      <c r="K166" s="679"/>
      <c r="L166" s="602"/>
      <c r="M166" s="675"/>
      <c r="N166" s="677"/>
      <c r="O166" s="677"/>
      <c r="P166" s="602"/>
      <c r="Q166" s="602"/>
      <c r="R166" s="602"/>
      <c r="S166" s="594"/>
      <c r="U166" s="81"/>
      <c r="V166" s="81"/>
    </row>
    <row r="167" spans="1:22" s="15" customFormat="1" ht="13.5" customHeight="1">
      <c r="A167" s="618"/>
      <c r="B167" s="580"/>
      <c r="C167" s="498" t="s">
        <v>353</v>
      </c>
      <c r="D167" s="592"/>
      <c r="E167" s="284" t="s">
        <v>243</v>
      </c>
      <c r="F167" s="313" t="s">
        <v>259</v>
      </c>
      <c r="G167" s="313" t="s">
        <v>715</v>
      </c>
      <c r="H167" s="279" t="s">
        <v>716</v>
      </c>
      <c r="I167" s="280" t="s">
        <v>674</v>
      </c>
      <c r="J167" s="279" t="s">
        <v>710</v>
      </c>
      <c r="K167" s="679"/>
      <c r="L167" s="602"/>
      <c r="M167" s="675"/>
      <c r="N167" s="677"/>
      <c r="O167" s="677"/>
      <c r="P167" s="602"/>
      <c r="Q167" s="602"/>
      <c r="R167" s="602"/>
      <c r="S167" s="594"/>
      <c r="U167" s="81"/>
      <c r="V167" s="81"/>
    </row>
    <row r="168" spans="1:22" s="15" customFormat="1" ht="13.5" customHeight="1">
      <c r="A168" s="618"/>
      <c r="B168" s="580"/>
      <c r="C168" s="498" t="s">
        <v>353</v>
      </c>
      <c r="D168" s="592"/>
      <c r="E168" s="284" t="s">
        <v>243</v>
      </c>
      <c r="F168" s="313" t="s">
        <v>259</v>
      </c>
      <c r="G168" s="279" t="s">
        <v>274</v>
      </c>
      <c r="H168" s="279" t="s">
        <v>729</v>
      </c>
      <c r="I168" s="280" t="s">
        <v>696</v>
      </c>
      <c r="J168" s="279" t="s">
        <v>724</v>
      </c>
      <c r="K168" s="680"/>
      <c r="L168" s="573"/>
      <c r="M168" s="676"/>
      <c r="N168" s="559"/>
      <c r="O168" s="559"/>
      <c r="P168" s="573"/>
      <c r="Q168" s="573"/>
      <c r="R168" s="573"/>
      <c r="S168" s="595"/>
      <c r="U168" s="81"/>
      <c r="V168" s="81"/>
    </row>
    <row r="169" spans="1:22" s="15" customFormat="1" ht="13.5" customHeight="1">
      <c r="A169" s="618"/>
      <c r="B169" s="580"/>
      <c r="C169" s="498" t="s">
        <v>353</v>
      </c>
      <c r="D169" s="592"/>
      <c r="E169" s="306" t="s">
        <v>243</v>
      </c>
      <c r="F169" s="306" t="s">
        <v>244</v>
      </c>
      <c r="G169" s="307" t="s">
        <v>245</v>
      </c>
      <c r="H169" s="244" t="s">
        <v>586</v>
      </c>
      <c r="I169" s="308" t="s">
        <v>585</v>
      </c>
      <c r="J169" s="244" t="s">
        <v>587</v>
      </c>
      <c r="K169" s="88">
        <v>163</v>
      </c>
      <c r="L169" s="290">
        <f>40.3/1000</f>
        <v>0.040299999999999996</v>
      </c>
      <c r="M169" s="254" t="s">
        <v>335</v>
      </c>
      <c r="N169" s="86" t="s">
        <v>188</v>
      </c>
      <c r="O169" s="86" t="s">
        <v>188</v>
      </c>
      <c r="P169" s="381">
        <f>+Q169+R169</f>
        <v>129</v>
      </c>
      <c r="Q169" s="381">
        <v>32</v>
      </c>
      <c r="R169" s="381">
        <v>97</v>
      </c>
      <c r="S169" s="482" t="s">
        <v>188</v>
      </c>
      <c r="U169" s="81"/>
      <c r="V169" s="81"/>
    </row>
    <row r="170" spans="1:22" s="15" customFormat="1" ht="13.5" customHeight="1">
      <c r="A170" s="618"/>
      <c r="B170" s="580"/>
      <c r="C170" s="498" t="s">
        <v>353</v>
      </c>
      <c r="D170" s="592"/>
      <c r="E170" s="244" t="s">
        <v>226</v>
      </c>
      <c r="F170" s="237" t="s">
        <v>230</v>
      </c>
      <c r="G170" s="237" t="s">
        <v>228</v>
      </c>
      <c r="H170" s="237" t="s">
        <v>228</v>
      </c>
      <c r="I170" s="287" t="s">
        <v>235</v>
      </c>
      <c r="J170" s="244" t="s">
        <v>190</v>
      </c>
      <c r="K170" s="288">
        <v>20</v>
      </c>
      <c r="L170" s="289">
        <f>12.3/1000</f>
        <v>0.0123</v>
      </c>
      <c r="M170" s="345" t="s">
        <v>336</v>
      </c>
      <c r="N170" s="86" t="s">
        <v>188</v>
      </c>
      <c r="O170" s="86" t="s">
        <v>188</v>
      </c>
      <c r="P170" s="424">
        <f>+Q170+R170</f>
        <v>40.7</v>
      </c>
      <c r="Q170" s="424">
        <v>9.7</v>
      </c>
      <c r="R170" s="381">
        <v>31</v>
      </c>
      <c r="S170" s="482" t="s">
        <v>188</v>
      </c>
      <c r="U170" s="81"/>
      <c r="V170" s="81"/>
    </row>
    <row r="171" spans="1:19" s="76" customFormat="1" ht="13.5" customHeight="1">
      <c r="A171" s="619"/>
      <c r="B171" s="581"/>
      <c r="C171" s="85" t="s">
        <v>353</v>
      </c>
      <c r="D171" s="593"/>
      <c r="E171" s="228" t="s">
        <v>297</v>
      </c>
      <c r="F171" s="229" t="s">
        <v>188</v>
      </c>
      <c r="G171" s="229" t="s">
        <v>188</v>
      </c>
      <c r="H171" s="229" t="s">
        <v>188</v>
      </c>
      <c r="I171" s="229" t="s">
        <v>188</v>
      </c>
      <c r="J171" s="230" t="s">
        <v>401</v>
      </c>
      <c r="K171" s="277" t="s">
        <v>331</v>
      </c>
      <c r="L171" s="324">
        <v>0.285</v>
      </c>
      <c r="M171" s="229" t="s">
        <v>188</v>
      </c>
      <c r="N171" s="278" t="s">
        <v>188</v>
      </c>
      <c r="O171" s="278" t="s">
        <v>188</v>
      </c>
      <c r="P171" s="417">
        <f>+Q171+R171</f>
        <v>247</v>
      </c>
      <c r="Q171" s="419">
        <v>57</v>
      </c>
      <c r="R171" s="419">
        <v>190</v>
      </c>
      <c r="S171" s="278" t="s">
        <v>188</v>
      </c>
    </row>
    <row r="172" spans="1:19" s="76" customFormat="1" ht="13.5">
      <c r="A172" s="203"/>
      <c r="B172" s="192"/>
      <c r="C172" s="192"/>
      <c r="D172" s="192"/>
      <c r="E172" s="335"/>
      <c r="F172" s="336"/>
      <c r="G172" s="337"/>
      <c r="H172" s="337"/>
      <c r="I172" s="336"/>
      <c r="J172" s="335"/>
      <c r="K172" s="338"/>
      <c r="L172" s="339"/>
      <c r="M172" s="336"/>
      <c r="N172" s="337"/>
      <c r="O172" s="337"/>
      <c r="P172" s="340"/>
      <c r="Q172" s="341"/>
      <c r="R172" s="341"/>
      <c r="S172" s="342"/>
    </row>
    <row r="173" spans="1:19" s="15" customFormat="1" ht="18" customHeight="1">
      <c r="A173" s="597" t="s">
        <v>1</v>
      </c>
      <c r="B173" s="598"/>
      <c r="C173" s="556" t="s">
        <v>341</v>
      </c>
      <c r="D173" s="629" t="s">
        <v>161</v>
      </c>
      <c r="E173" s="671" t="s">
        <v>175</v>
      </c>
      <c r="F173" s="671" t="s">
        <v>176</v>
      </c>
      <c r="G173" s="581" t="s">
        <v>177</v>
      </c>
      <c r="H173" s="581" t="s">
        <v>178</v>
      </c>
      <c r="I173" s="581" t="s">
        <v>179</v>
      </c>
      <c r="J173" s="581" t="s">
        <v>180</v>
      </c>
      <c r="K173" s="670" t="s">
        <v>162</v>
      </c>
      <c r="L173" s="637" t="s">
        <v>163</v>
      </c>
      <c r="M173" s="590" t="s">
        <v>181</v>
      </c>
      <c r="N173" s="590"/>
      <c r="O173" s="632"/>
      <c r="P173" s="639" t="s">
        <v>165</v>
      </c>
      <c r="Q173" s="590"/>
      <c r="R173" s="590"/>
      <c r="S173" s="590" t="s">
        <v>182</v>
      </c>
    </row>
    <row r="174" spans="1:22" s="15" customFormat="1" ht="18" customHeight="1">
      <c r="A174" s="599"/>
      <c r="B174" s="600"/>
      <c r="C174" s="556"/>
      <c r="D174" s="629"/>
      <c r="E174" s="631"/>
      <c r="F174" s="631"/>
      <c r="G174" s="556"/>
      <c r="H174" s="556"/>
      <c r="I174" s="556"/>
      <c r="J174" s="556"/>
      <c r="K174" s="643"/>
      <c r="L174" s="636"/>
      <c r="M174" s="271" t="s">
        <v>164</v>
      </c>
      <c r="N174" s="252" t="s">
        <v>166</v>
      </c>
      <c r="O174" s="252" t="s">
        <v>340</v>
      </c>
      <c r="P174" s="272" t="s">
        <v>167</v>
      </c>
      <c r="Q174" s="273" t="s">
        <v>18</v>
      </c>
      <c r="R174" s="273" t="s">
        <v>19</v>
      </c>
      <c r="S174" s="556"/>
      <c r="U174" s="81"/>
      <c r="V174" s="81"/>
    </row>
    <row r="175" spans="1:22" s="15" customFormat="1" ht="13.5" customHeight="1">
      <c r="A175" s="659" t="s">
        <v>172</v>
      </c>
      <c r="B175" s="661" t="s">
        <v>410</v>
      </c>
      <c r="C175" s="371" t="s">
        <v>352</v>
      </c>
      <c r="D175" s="644" t="s">
        <v>604</v>
      </c>
      <c r="E175" s="274" t="s">
        <v>299</v>
      </c>
      <c r="F175" s="275" t="s">
        <v>300</v>
      </c>
      <c r="G175" s="269" t="s">
        <v>300</v>
      </c>
      <c r="H175" s="269" t="s">
        <v>300</v>
      </c>
      <c r="I175" s="275" t="s">
        <v>300</v>
      </c>
      <c r="J175" s="274" t="s">
        <v>208</v>
      </c>
      <c r="K175" s="343" t="s">
        <v>331</v>
      </c>
      <c r="L175" s="439">
        <f>13.9/1000</f>
        <v>0.013900000000000001</v>
      </c>
      <c r="M175" s="275" t="s">
        <v>362</v>
      </c>
      <c r="N175" s="269" t="s">
        <v>350</v>
      </c>
      <c r="O175" s="269" t="s">
        <v>350</v>
      </c>
      <c r="P175" s="410">
        <f>SUM(Q175:R175)</f>
        <v>490</v>
      </c>
      <c r="Q175" s="411">
        <v>110</v>
      </c>
      <c r="R175" s="412">
        <v>380</v>
      </c>
      <c r="S175" s="481" t="s">
        <v>188</v>
      </c>
      <c r="U175" s="81"/>
      <c r="V175" s="81"/>
    </row>
    <row r="176" spans="1:19" s="76" customFormat="1" ht="13.5" customHeight="1">
      <c r="A176" s="660"/>
      <c r="B176" s="662"/>
      <c r="C176" s="371" t="s">
        <v>352</v>
      </c>
      <c r="D176" s="618"/>
      <c r="E176" s="279" t="s">
        <v>243</v>
      </c>
      <c r="F176" s="279" t="s">
        <v>259</v>
      </c>
      <c r="G176" s="279" t="s">
        <v>274</v>
      </c>
      <c r="H176" s="279" t="s">
        <v>275</v>
      </c>
      <c r="I176" s="280" t="s">
        <v>276</v>
      </c>
      <c r="J176" s="279" t="s">
        <v>209</v>
      </c>
      <c r="K176" s="311">
        <v>29</v>
      </c>
      <c r="L176" s="312">
        <f>34.5/1000</f>
        <v>0.0345</v>
      </c>
      <c r="M176" s="283" t="s">
        <v>360</v>
      </c>
      <c r="N176" s="270" t="s">
        <v>350</v>
      </c>
      <c r="O176" s="270" t="s">
        <v>187</v>
      </c>
      <c r="P176" s="510">
        <f aca="true" t="shared" si="6" ref="P176:P185">SUM(Q176:R176)</f>
        <v>11.600000000000001</v>
      </c>
      <c r="Q176" s="409">
        <v>2.8</v>
      </c>
      <c r="R176" s="446">
        <v>8.8</v>
      </c>
      <c r="S176" s="270" t="s">
        <v>188</v>
      </c>
    </row>
    <row r="177" spans="1:19" s="76" customFormat="1" ht="13.5" customHeight="1">
      <c r="A177" s="660"/>
      <c r="B177" s="662"/>
      <c r="C177" s="371" t="s">
        <v>352</v>
      </c>
      <c r="D177" s="618"/>
      <c r="E177" s="234" t="s">
        <v>271</v>
      </c>
      <c r="F177" s="237" t="s">
        <v>244</v>
      </c>
      <c r="G177" s="237" t="s">
        <v>245</v>
      </c>
      <c r="H177" s="237" t="s">
        <v>272</v>
      </c>
      <c r="I177" s="287" t="s">
        <v>273</v>
      </c>
      <c r="J177" s="244" t="s">
        <v>210</v>
      </c>
      <c r="K177" s="288">
        <v>32</v>
      </c>
      <c r="L177" s="347">
        <v>2.014</v>
      </c>
      <c r="M177" s="254" t="s">
        <v>335</v>
      </c>
      <c r="N177" s="86" t="s">
        <v>350</v>
      </c>
      <c r="O177" s="86" t="s">
        <v>350</v>
      </c>
      <c r="P177" s="395">
        <f t="shared" si="6"/>
        <v>44</v>
      </c>
      <c r="Q177" s="397">
        <v>11</v>
      </c>
      <c r="R177" s="381">
        <v>33</v>
      </c>
      <c r="S177" s="207">
        <v>8.6</v>
      </c>
    </row>
    <row r="178" spans="1:19" s="76" customFormat="1" ht="13.5" customHeight="1">
      <c r="A178" s="660"/>
      <c r="B178" s="662"/>
      <c r="C178" s="371" t="s">
        <v>352</v>
      </c>
      <c r="D178" s="618"/>
      <c r="E178" s="244" t="s">
        <v>252</v>
      </c>
      <c r="F178" s="237" t="s">
        <v>253</v>
      </c>
      <c r="G178" s="237" t="s">
        <v>254</v>
      </c>
      <c r="H178" s="237" t="s">
        <v>255</v>
      </c>
      <c r="I178" s="287" t="s">
        <v>256</v>
      </c>
      <c r="J178" s="244" t="s">
        <v>198</v>
      </c>
      <c r="K178" s="309">
        <v>94</v>
      </c>
      <c r="L178" s="289">
        <f>68.9/1000</f>
        <v>0.0689</v>
      </c>
      <c r="M178" s="254" t="s">
        <v>335</v>
      </c>
      <c r="N178" s="86" t="s">
        <v>350</v>
      </c>
      <c r="O178" s="443" t="s">
        <v>346</v>
      </c>
      <c r="P178" s="399">
        <f t="shared" si="6"/>
        <v>15.1</v>
      </c>
      <c r="Q178" s="398">
        <v>4.1</v>
      </c>
      <c r="R178" s="381">
        <v>11</v>
      </c>
      <c r="S178" s="86" t="s">
        <v>188</v>
      </c>
    </row>
    <row r="179" spans="1:19" s="76" customFormat="1" ht="13.5" customHeight="1">
      <c r="A179" s="660"/>
      <c r="B179" s="662"/>
      <c r="C179" s="371" t="s">
        <v>352</v>
      </c>
      <c r="D179" s="618"/>
      <c r="E179" s="306" t="s">
        <v>226</v>
      </c>
      <c r="F179" s="318" t="s">
        <v>230</v>
      </c>
      <c r="G179" s="319" t="s">
        <v>593</v>
      </c>
      <c r="H179" s="319" t="s">
        <v>593</v>
      </c>
      <c r="I179" s="320" t="s">
        <v>594</v>
      </c>
      <c r="J179" s="321" t="s">
        <v>592</v>
      </c>
      <c r="K179" s="288">
        <v>52</v>
      </c>
      <c r="L179" s="349">
        <f>272.7/1000</f>
        <v>0.2727</v>
      </c>
      <c r="M179" s="254" t="s">
        <v>329</v>
      </c>
      <c r="N179" s="86" t="s">
        <v>188</v>
      </c>
      <c r="O179" s="86" t="s">
        <v>188</v>
      </c>
      <c r="P179" s="399">
        <f t="shared" si="6"/>
        <v>25.2</v>
      </c>
      <c r="Q179" s="398">
        <v>6.2</v>
      </c>
      <c r="R179" s="381">
        <v>19</v>
      </c>
      <c r="S179" s="86" t="s">
        <v>188</v>
      </c>
    </row>
    <row r="180" spans="1:19" s="76" customFormat="1" ht="13.5" customHeight="1">
      <c r="A180" s="660"/>
      <c r="B180" s="662"/>
      <c r="C180" s="371" t="s">
        <v>352</v>
      </c>
      <c r="D180" s="618"/>
      <c r="E180" s="244" t="s">
        <v>226</v>
      </c>
      <c r="F180" s="237" t="s">
        <v>230</v>
      </c>
      <c r="G180" s="237" t="s">
        <v>228</v>
      </c>
      <c r="H180" s="237" t="s">
        <v>228</v>
      </c>
      <c r="I180" s="287" t="s">
        <v>235</v>
      </c>
      <c r="J180" s="292" t="s">
        <v>190</v>
      </c>
      <c r="K180" s="309">
        <v>7</v>
      </c>
      <c r="L180" s="347">
        <v>1.531</v>
      </c>
      <c r="M180" s="254" t="s">
        <v>329</v>
      </c>
      <c r="N180" s="255" t="s">
        <v>338</v>
      </c>
      <c r="O180" s="373" t="s">
        <v>775</v>
      </c>
      <c r="P180" s="395">
        <f>SUM(Q180:R180)</f>
        <v>50</v>
      </c>
      <c r="Q180" s="396">
        <v>12</v>
      </c>
      <c r="R180" s="378">
        <v>38</v>
      </c>
      <c r="S180" s="479">
        <v>0.73</v>
      </c>
    </row>
    <row r="181" spans="1:19" s="76" customFormat="1" ht="13.5" customHeight="1">
      <c r="A181" s="660"/>
      <c r="B181" s="662"/>
      <c r="C181" s="371" t="s">
        <v>352</v>
      </c>
      <c r="D181" s="618"/>
      <c r="E181" s="234" t="s">
        <v>226</v>
      </c>
      <c r="F181" s="235" t="s">
        <v>227</v>
      </c>
      <c r="G181" s="237" t="s">
        <v>228</v>
      </c>
      <c r="H181" s="237" t="s">
        <v>228</v>
      </c>
      <c r="I181" s="236" t="s">
        <v>237</v>
      </c>
      <c r="J181" s="244" t="s">
        <v>191</v>
      </c>
      <c r="K181" s="288">
        <v>2</v>
      </c>
      <c r="L181" s="347">
        <v>1.828</v>
      </c>
      <c r="M181" s="254" t="s">
        <v>329</v>
      </c>
      <c r="N181" s="255" t="s">
        <v>577</v>
      </c>
      <c r="O181" s="373" t="s">
        <v>775</v>
      </c>
      <c r="P181" s="238">
        <f>SUM(Q181:R181)</f>
        <v>100</v>
      </c>
      <c r="Q181" s="245">
        <v>24</v>
      </c>
      <c r="R181" s="246">
        <v>76</v>
      </c>
      <c r="S181" s="478">
        <v>0.9</v>
      </c>
    </row>
    <row r="182" spans="1:19" s="76" customFormat="1" ht="13.5" customHeight="1">
      <c r="A182" s="660"/>
      <c r="B182" s="662"/>
      <c r="C182" s="371" t="s">
        <v>352</v>
      </c>
      <c r="D182" s="618"/>
      <c r="E182" s="235" t="s">
        <v>226</v>
      </c>
      <c r="F182" s="235" t="s">
        <v>227</v>
      </c>
      <c r="G182" s="235" t="s">
        <v>656</v>
      </c>
      <c r="H182" s="235" t="s">
        <v>656</v>
      </c>
      <c r="I182" s="442" t="s">
        <v>657</v>
      </c>
      <c r="J182" s="244" t="s">
        <v>605</v>
      </c>
      <c r="K182" s="288">
        <v>10</v>
      </c>
      <c r="L182" s="347">
        <v>1.464</v>
      </c>
      <c r="M182" s="254" t="s">
        <v>636</v>
      </c>
      <c r="N182" s="255" t="s">
        <v>577</v>
      </c>
      <c r="O182" s="373" t="s">
        <v>775</v>
      </c>
      <c r="P182" s="238">
        <f>SUM(Q182:R182)</f>
        <v>68</v>
      </c>
      <c r="Q182" s="397">
        <v>15</v>
      </c>
      <c r="R182" s="381">
        <v>53</v>
      </c>
      <c r="S182" s="480">
        <v>1.2</v>
      </c>
    </row>
    <row r="183" spans="1:19" s="76" customFormat="1" ht="13.5" customHeight="1">
      <c r="A183" s="660"/>
      <c r="B183" s="662"/>
      <c r="C183" s="371" t="s">
        <v>352</v>
      </c>
      <c r="D183" s="618"/>
      <c r="E183" s="244" t="s">
        <v>226</v>
      </c>
      <c r="F183" s="237" t="s">
        <v>230</v>
      </c>
      <c r="G183" s="235" t="s">
        <v>233</v>
      </c>
      <c r="H183" s="235" t="s">
        <v>233</v>
      </c>
      <c r="I183" s="236" t="s">
        <v>258</v>
      </c>
      <c r="J183" s="244" t="s">
        <v>201</v>
      </c>
      <c r="K183" s="288">
        <v>11</v>
      </c>
      <c r="L183" s="347">
        <v>1.237</v>
      </c>
      <c r="M183" s="254" t="s">
        <v>574</v>
      </c>
      <c r="N183" s="348" t="s">
        <v>592</v>
      </c>
      <c r="O183" s="373" t="s">
        <v>775</v>
      </c>
      <c r="P183" s="399">
        <f t="shared" si="6"/>
        <v>42.2</v>
      </c>
      <c r="Q183" s="398">
        <v>9.2</v>
      </c>
      <c r="R183" s="381">
        <v>33</v>
      </c>
      <c r="S183" s="478">
        <v>0.34</v>
      </c>
    </row>
    <row r="184" spans="1:19" s="76" customFormat="1" ht="13.5" customHeight="1">
      <c r="A184" s="660"/>
      <c r="B184" s="662"/>
      <c r="C184" s="371" t="s">
        <v>352</v>
      </c>
      <c r="D184" s="618"/>
      <c r="E184" s="518" t="s">
        <v>226</v>
      </c>
      <c r="F184" s="518" t="s">
        <v>281</v>
      </c>
      <c r="G184" s="518" t="s">
        <v>285</v>
      </c>
      <c r="H184" s="518" t="s">
        <v>660</v>
      </c>
      <c r="I184" s="520" t="s">
        <v>661</v>
      </c>
      <c r="J184" s="518" t="s">
        <v>606</v>
      </c>
      <c r="K184" s="522">
        <v>8</v>
      </c>
      <c r="L184" s="523">
        <f>99.4/1000</f>
        <v>0.0994</v>
      </c>
      <c r="M184" s="524" t="s">
        <v>335</v>
      </c>
      <c r="N184" s="525" t="s">
        <v>607</v>
      </c>
      <c r="O184" s="525" t="s">
        <v>188</v>
      </c>
      <c r="P184" s="539">
        <f t="shared" si="6"/>
        <v>34.7</v>
      </c>
      <c r="Q184" s="540">
        <v>7.7</v>
      </c>
      <c r="R184" s="528">
        <v>27</v>
      </c>
      <c r="S184" s="525" t="s">
        <v>188</v>
      </c>
    </row>
    <row r="185" spans="1:19" s="76" customFormat="1" ht="13.5" customHeight="1">
      <c r="A185" s="660"/>
      <c r="B185" s="663"/>
      <c r="C185" s="372" t="s">
        <v>353</v>
      </c>
      <c r="D185" s="619"/>
      <c r="E185" s="228" t="s">
        <v>297</v>
      </c>
      <c r="F185" s="229" t="s">
        <v>188</v>
      </c>
      <c r="G185" s="229" t="s">
        <v>188</v>
      </c>
      <c r="H185" s="229" t="s">
        <v>188</v>
      </c>
      <c r="I185" s="229" t="s">
        <v>188</v>
      </c>
      <c r="J185" s="230" t="s">
        <v>401</v>
      </c>
      <c r="K185" s="277" t="s">
        <v>331</v>
      </c>
      <c r="L185" s="455">
        <v>0.23</v>
      </c>
      <c r="M185" s="229" t="s">
        <v>350</v>
      </c>
      <c r="N185" s="278" t="s">
        <v>350</v>
      </c>
      <c r="O185" s="278" t="s">
        <v>350</v>
      </c>
      <c r="P185" s="241">
        <f t="shared" si="6"/>
        <v>85</v>
      </c>
      <c r="Q185" s="242">
        <v>20</v>
      </c>
      <c r="R185" s="243">
        <v>65</v>
      </c>
      <c r="S185" s="278" t="s">
        <v>188</v>
      </c>
    </row>
    <row r="186" spans="1:23" s="120" customFormat="1" ht="17.25" customHeight="1">
      <c r="A186" s="186"/>
      <c r="B186" s="368" t="s">
        <v>390</v>
      </c>
      <c r="C186" s="146"/>
      <c r="D186" s="188"/>
      <c r="E186" s="188"/>
      <c r="F186" s="189"/>
      <c r="G186" s="189"/>
      <c r="H186" s="189"/>
      <c r="I186" s="150"/>
      <c r="J186" s="146"/>
      <c r="K186" s="147"/>
      <c r="L186" s="148"/>
      <c r="M186" s="149"/>
      <c r="N186" s="150"/>
      <c r="O186" s="149"/>
      <c r="P186" s="146"/>
      <c r="Q186" s="146"/>
      <c r="R186" s="146"/>
      <c r="S186" s="158"/>
      <c r="T186" s="76"/>
      <c r="U186" s="76"/>
      <c r="V186" s="76"/>
      <c r="W186" s="76"/>
    </row>
    <row r="187" spans="1:23" s="120" customFormat="1" ht="17.25" customHeight="1">
      <c r="A187" s="186"/>
      <c r="B187" s="368" t="s">
        <v>391</v>
      </c>
      <c r="C187" s="146"/>
      <c r="D187" s="188"/>
      <c r="E187" s="188"/>
      <c r="F187" s="189"/>
      <c r="G187" s="189"/>
      <c r="H187" s="189"/>
      <c r="I187" s="150"/>
      <c r="J187" s="146"/>
      <c r="K187" s="147"/>
      <c r="L187" s="148"/>
      <c r="M187" s="149"/>
      <c r="N187" s="150"/>
      <c r="O187" s="149"/>
      <c r="P187" s="146"/>
      <c r="Q187" s="146"/>
      <c r="R187" s="146"/>
      <c r="S187" s="158"/>
      <c r="T187" s="76"/>
      <c r="U187" s="76"/>
      <c r="V187" s="76"/>
      <c r="W187" s="76"/>
    </row>
    <row r="188" spans="1:23" s="120" customFormat="1" ht="17.25" customHeight="1">
      <c r="A188" s="186"/>
      <c r="B188" s="368" t="s">
        <v>402</v>
      </c>
      <c r="C188" s="146"/>
      <c r="D188" s="188"/>
      <c r="E188" s="188"/>
      <c r="F188" s="189"/>
      <c r="G188" s="189"/>
      <c r="H188" s="189"/>
      <c r="I188" s="150"/>
      <c r="J188" s="146"/>
      <c r="K188" s="147"/>
      <c r="L188" s="148"/>
      <c r="M188" s="149"/>
      <c r="N188" s="151"/>
      <c r="O188" s="152"/>
      <c r="P188" s="146"/>
      <c r="Q188" s="146"/>
      <c r="R188" s="146"/>
      <c r="S188" s="158"/>
      <c r="T188" s="76"/>
      <c r="U188" s="76"/>
      <c r="V188" s="76"/>
      <c r="W188" s="76"/>
    </row>
    <row r="189" spans="1:23" s="120" customFormat="1" ht="17.25" customHeight="1">
      <c r="A189" s="186"/>
      <c r="B189" s="368" t="s">
        <v>392</v>
      </c>
      <c r="C189" s="146"/>
      <c r="D189" s="188"/>
      <c r="E189" s="188"/>
      <c r="F189" s="189"/>
      <c r="G189" s="189"/>
      <c r="H189" s="189"/>
      <c r="I189" s="150"/>
      <c r="J189" s="146"/>
      <c r="K189" s="147"/>
      <c r="L189" s="148"/>
      <c r="M189" s="149"/>
      <c r="N189" s="151"/>
      <c r="O189" s="149"/>
      <c r="P189" s="146"/>
      <c r="Q189" s="146"/>
      <c r="R189" s="146"/>
      <c r="S189" s="158"/>
      <c r="T189" s="76"/>
      <c r="U189" s="76"/>
      <c r="V189" s="76"/>
      <c r="W189" s="76"/>
    </row>
    <row r="190" spans="1:23" s="120" customFormat="1" ht="17.25" customHeight="1">
      <c r="A190" s="186"/>
      <c r="B190" s="368" t="s">
        <v>393</v>
      </c>
      <c r="C190" s="146"/>
      <c r="D190" s="188"/>
      <c r="E190" s="188"/>
      <c r="F190" s="189"/>
      <c r="G190" s="189"/>
      <c r="H190" s="189"/>
      <c r="I190" s="150"/>
      <c r="J190" s="146"/>
      <c r="K190" s="147"/>
      <c r="L190" s="148"/>
      <c r="M190" s="149"/>
      <c r="N190" s="151"/>
      <c r="O190" s="149"/>
      <c r="P190" s="146"/>
      <c r="Q190" s="146"/>
      <c r="R190" s="146"/>
      <c r="S190" s="158"/>
      <c r="T190" s="76"/>
      <c r="U190" s="76"/>
      <c r="V190" s="76"/>
      <c r="W190" s="76"/>
    </row>
    <row r="191" spans="1:23" s="120" customFormat="1" ht="17.25" customHeight="1">
      <c r="A191" s="186"/>
      <c r="B191" s="368" t="s">
        <v>394</v>
      </c>
      <c r="C191" s="146"/>
      <c r="D191" s="188"/>
      <c r="E191" s="188"/>
      <c r="F191" s="189"/>
      <c r="G191" s="189"/>
      <c r="H191" s="189"/>
      <c r="I191" s="150"/>
      <c r="J191" s="146"/>
      <c r="K191" s="147"/>
      <c r="L191" s="148"/>
      <c r="M191" s="149"/>
      <c r="N191" s="150"/>
      <c r="O191" s="149"/>
      <c r="P191" s="146"/>
      <c r="Q191" s="146"/>
      <c r="R191" s="146"/>
      <c r="S191" s="158"/>
      <c r="T191" s="76"/>
      <c r="U191" s="76"/>
      <c r="V191" s="76"/>
      <c r="W191" s="76"/>
    </row>
    <row r="192" spans="1:23" s="120" customFormat="1" ht="17.25" customHeight="1">
      <c r="A192" s="186"/>
      <c r="B192" s="368" t="s">
        <v>395</v>
      </c>
      <c r="C192" s="146"/>
      <c r="D192" s="188"/>
      <c r="E192" s="188"/>
      <c r="F192" s="189"/>
      <c r="G192" s="189"/>
      <c r="H192" s="189"/>
      <c r="I192" s="150"/>
      <c r="J192" s="146"/>
      <c r="K192" s="147"/>
      <c r="L192" s="148"/>
      <c r="M192" s="149"/>
      <c r="N192" s="150"/>
      <c r="O192" s="149"/>
      <c r="P192" s="146"/>
      <c r="Q192" s="146"/>
      <c r="R192" s="146"/>
      <c r="S192" s="158"/>
      <c r="T192" s="76"/>
      <c r="U192" s="76"/>
      <c r="V192" s="76"/>
      <c r="W192" s="76"/>
    </row>
    <row r="193" spans="1:23" s="120" customFormat="1" ht="17.25" customHeight="1">
      <c r="A193" s="186"/>
      <c r="B193" s="368" t="s">
        <v>396</v>
      </c>
      <c r="C193" s="146"/>
      <c r="D193" s="188"/>
      <c r="E193" s="188"/>
      <c r="F193" s="189"/>
      <c r="G193" s="189"/>
      <c r="H193" s="189"/>
      <c r="I193" s="150"/>
      <c r="J193" s="146"/>
      <c r="K193" s="147"/>
      <c r="L193" s="148"/>
      <c r="M193" s="149"/>
      <c r="N193" s="150"/>
      <c r="O193" s="149"/>
      <c r="P193" s="146"/>
      <c r="Q193" s="146"/>
      <c r="R193" s="146"/>
      <c r="S193" s="158"/>
      <c r="T193" s="76"/>
      <c r="U193" s="76"/>
      <c r="V193" s="76"/>
      <c r="W193" s="76"/>
    </row>
    <row r="194" spans="1:23" s="120" customFormat="1" ht="17.25" customHeight="1">
      <c r="A194" s="186"/>
      <c r="B194" s="368" t="s">
        <v>397</v>
      </c>
      <c r="C194" s="146"/>
      <c r="D194" s="188"/>
      <c r="E194" s="188"/>
      <c r="F194" s="189"/>
      <c r="G194" s="189"/>
      <c r="H194" s="189"/>
      <c r="I194" s="150"/>
      <c r="J194" s="146"/>
      <c r="K194" s="147"/>
      <c r="L194" s="148"/>
      <c r="M194" s="149"/>
      <c r="N194" s="150"/>
      <c r="O194" s="149"/>
      <c r="P194" s="153"/>
      <c r="Q194" s="154"/>
      <c r="R194" s="155"/>
      <c r="S194" s="156"/>
      <c r="T194" s="121"/>
      <c r="U194" s="122"/>
      <c r="V194" s="121"/>
      <c r="W194" s="76"/>
    </row>
    <row r="195" spans="1:19" s="76" customFormat="1" ht="13.5" customHeight="1">
      <c r="A195" s="203"/>
      <c r="B195" s="187"/>
      <c r="C195" s="192"/>
      <c r="D195" s="192"/>
      <c r="E195" s="157"/>
      <c r="F195" s="157"/>
      <c r="G195" s="157"/>
      <c r="H195" s="157"/>
      <c r="I195" s="193"/>
      <c r="J195" s="157"/>
      <c r="K195" s="171"/>
      <c r="L195" s="175"/>
      <c r="M195" s="176"/>
      <c r="N195" s="173"/>
      <c r="O195" s="173"/>
      <c r="P195" s="174"/>
      <c r="Q195" s="174"/>
      <c r="R195" s="174"/>
      <c r="S195" s="173"/>
    </row>
    <row r="196" spans="1:19" s="15" customFormat="1" ht="18" customHeight="1">
      <c r="A196" s="597" t="s">
        <v>1</v>
      </c>
      <c r="B196" s="598"/>
      <c r="C196" s="556" t="s">
        <v>341</v>
      </c>
      <c r="D196" s="629" t="s">
        <v>161</v>
      </c>
      <c r="E196" s="630" t="s">
        <v>175</v>
      </c>
      <c r="F196" s="630" t="s">
        <v>176</v>
      </c>
      <c r="G196" s="556" t="s">
        <v>177</v>
      </c>
      <c r="H196" s="556" t="s">
        <v>178</v>
      </c>
      <c r="I196" s="556" t="s">
        <v>179</v>
      </c>
      <c r="J196" s="556" t="s">
        <v>180</v>
      </c>
      <c r="K196" s="642" t="s">
        <v>162</v>
      </c>
      <c r="L196" s="635" t="s">
        <v>163</v>
      </c>
      <c r="M196" s="633" t="s">
        <v>181</v>
      </c>
      <c r="N196" s="633"/>
      <c r="O196" s="634"/>
      <c r="P196" s="638" t="s">
        <v>165</v>
      </c>
      <c r="Q196" s="633"/>
      <c r="R196" s="633"/>
      <c r="S196" s="633" t="s">
        <v>182</v>
      </c>
    </row>
    <row r="197" spans="1:22" s="15" customFormat="1" ht="18" customHeight="1">
      <c r="A197" s="599"/>
      <c r="B197" s="600"/>
      <c r="C197" s="556"/>
      <c r="D197" s="629"/>
      <c r="E197" s="631"/>
      <c r="F197" s="631"/>
      <c r="G197" s="556"/>
      <c r="H197" s="556"/>
      <c r="I197" s="556"/>
      <c r="J197" s="556"/>
      <c r="K197" s="643"/>
      <c r="L197" s="636"/>
      <c r="M197" s="271" t="s">
        <v>164</v>
      </c>
      <c r="N197" s="252" t="s">
        <v>166</v>
      </c>
      <c r="O197" s="252" t="s">
        <v>340</v>
      </c>
      <c r="P197" s="272" t="s">
        <v>167</v>
      </c>
      <c r="Q197" s="273" t="s">
        <v>18</v>
      </c>
      <c r="R197" s="273" t="s">
        <v>19</v>
      </c>
      <c r="S197" s="556"/>
      <c r="U197" s="81"/>
      <c r="V197" s="81"/>
    </row>
    <row r="198" spans="1:19" s="76" customFormat="1" ht="13.5" customHeight="1">
      <c r="A198" s="659" t="s">
        <v>40</v>
      </c>
      <c r="B198" s="365" t="s">
        <v>667</v>
      </c>
      <c r="C198" s="365" t="s">
        <v>350</v>
      </c>
      <c r="D198" s="286">
        <v>41976</v>
      </c>
      <c r="E198" s="228" t="s">
        <v>297</v>
      </c>
      <c r="F198" s="229" t="s">
        <v>188</v>
      </c>
      <c r="G198" s="229" t="s">
        <v>188</v>
      </c>
      <c r="H198" s="229" t="s">
        <v>188</v>
      </c>
      <c r="I198" s="229" t="s">
        <v>188</v>
      </c>
      <c r="J198" s="230" t="s">
        <v>401</v>
      </c>
      <c r="K198" s="277" t="s">
        <v>331</v>
      </c>
      <c r="L198" s="350">
        <v>0.447</v>
      </c>
      <c r="M198" s="229" t="s">
        <v>350</v>
      </c>
      <c r="N198" s="278" t="s">
        <v>350</v>
      </c>
      <c r="O198" s="278" t="s">
        <v>350</v>
      </c>
      <c r="P198" s="511">
        <f aca="true" t="shared" si="7" ref="P198:P203">SUM(Q198:R198)</f>
        <v>23.9</v>
      </c>
      <c r="Q198" s="420">
        <v>5.9</v>
      </c>
      <c r="R198" s="421">
        <v>18</v>
      </c>
      <c r="S198" s="278" t="s">
        <v>405</v>
      </c>
    </row>
    <row r="199" spans="1:19" s="76" customFormat="1" ht="13.5">
      <c r="A199" s="660"/>
      <c r="B199" s="633" t="s">
        <v>637</v>
      </c>
      <c r="C199" s="596" t="s">
        <v>188</v>
      </c>
      <c r="D199" s="592">
        <v>41975</v>
      </c>
      <c r="E199" s="274" t="s">
        <v>288</v>
      </c>
      <c r="F199" s="274" t="s">
        <v>289</v>
      </c>
      <c r="G199" s="351" t="s">
        <v>290</v>
      </c>
      <c r="H199" s="351" t="s">
        <v>290</v>
      </c>
      <c r="I199" s="352" t="s">
        <v>291</v>
      </c>
      <c r="J199" s="274" t="s">
        <v>211</v>
      </c>
      <c r="K199" s="276" t="s">
        <v>331</v>
      </c>
      <c r="L199" s="440">
        <v>0.181</v>
      </c>
      <c r="M199" s="275" t="s">
        <v>365</v>
      </c>
      <c r="N199" s="275" t="s">
        <v>365</v>
      </c>
      <c r="O199" s="275" t="s">
        <v>365</v>
      </c>
      <c r="P199" s="431">
        <f t="shared" si="7"/>
        <v>0.98</v>
      </c>
      <c r="Q199" s="432" t="s">
        <v>653</v>
      </c>
      <c r="R199" s="433">
        <v>0.98</v>
      </c>
      <c r="S199" s="487" t="s">
        <v>405</v>
      </c>
    </row>
    <row r="200" spans="1:19" s="76" customFormat="1" ht="13.5" customHeight="1">
      <c r="A200" s="660"/>
      <c r="B200" s="556"/>
      <c r="C200" s="596"/>
      <c r="D200" s="592"/>
      <c r="E200" s="244" t="s">
        <v>252</v>
      </c>
      <c r="F200" s="237" t="s">
        <v>253</v>
      </c>
      <c r="G200" s="237" t="s">
        <v>254</v>
      </c>
      <c r="H200" s="237" t="s">
        <v>255</v>
      </c>
      <c r="I200" s="287" t="s">
        <v>256</v>
      </c>
      <c r="J200" s="244" t="s">
        <v>198</v>
      </c>
      <c r="K200" s="88">
        <v>22</v>
      </c>
      <c r="L200" s="290">
        <f>25.1/1000</f>
        <v>0.0251</v>
      </c>
      <c r="M200" s="254" t="s">
        <v>335</v>
      </c>
      <c r="N200" s="86" t="s">
        <v>188</v>
      </c>
      <c r="O200" s="255" t="s">
        <v>346</v>
      </c>
      <c r="P200" s="399">
        <f t="shared" si="7"/>
        <v>10.6</v>
      </c>
      <c r="Q200" s="379">
        <v>2.4</v>
      </c>
      <c r="R200" s="379">
        <v>8.2</v>
      </c>
      <c r="S200" s="488" t="s">
        <v>188</v>
      </c>
    </row>
    <row r="201" spans="1:19" s="76" customFormat="1" ht="13.5" customHeight="1">
      <c r="A201" s="660"/>
      <c r="B201" s="556"/>
      <c r="C201" s="596"/>
      <c r="D201" s="592"/>
      <c r="E201" s="234" t="s">
        <v>292</v>
      </c>
      <c r="F201" s="237" t="s">
        <v>253</v>
      </c>
      <c r="G201" s="235" t="s">
        <v>293</v>
      </c>
      <c r="H201" s="235" t="s">
        <v>294</v>
      </c>
      <c r="I201" s="236" t="s">
        <v>295</v>
      </c>
      <c r="J201" s="244" t="s">
        <v>212</v>
      </c>
      <c r="K201" s="288">
        <v>48</v>
      </c>
      <c r="L201" s="349">
        <f>356.1/1000</f>
        <v>0.3561</v>
      </c>
      <c r="M201" s="254" t="s">
        <v>335</v>
      </c>
      <c r="N201" s="86" t="s">
        <v>350</v>
      </c>
      <c r="O201" s="255" t="s">
        <v>346</v>
      </c>
      <c r="P201" s="422">
        <f t="shared" si="7"/>
        <v>0.73</v>
      </c>
      <c r="Q201" s="382" t="s">
        <v>651</v>
      </c>
      <c r="R201" s="423">
        <v>0.73</v>
      </c>
      <c r="S201" s="489" t="s">
        <v>405</v>
      </c>
    </row>
    <row r="202" spans="1:19" s="76" customFormat="1" ht="13.5" customHeight="1">
      <c r="A202" s="660"/>
      <c r="B202" s="556"/>
      <c r="C202" s="596"/>
      <c r="D202" s="592"/>
      <c r="E202" s="518" t="s">
        <v>226</v>
      </c>
      <c r="F202" s="518" t="s">
        <v>281</v>
      </c>
      <c r="G202" s="518" t="s">
        <v>285</v>
      </c>
      <c r="H202" s="525" t="s">
        <v>301</v>
      </c>
      <c r="I202" s="532" t="s">
        <v>187</v>
      </c>
      <c r="J202" s="518" t="s">
        <v>361</v>
      </c>
      <c r="K202" s="530">
        <v>10</v>
      </c>
      <c r="L202" s="531">
        <f>15.8/1000</f>
        <v>0.0158</v>
      </c>
      <c r="M202" s="524" t="s">
        <v>334</v>
      </c>
      <c r="N202" s="525" t="s">
        <v>350</v>
      </c>
      <c r="O202" s="525" t="s">
        <v>350</v>
      </c>
      <c r="P202" s="539">
        <f>SUM(Q202:R202)</f>
        <v>2.2</v>
      </c>
      <c r="Q202" s="541" t="s">
        <v>646</v>
      </c>
      <c r="R202" s="527">
        <v>2.2</v>
      </c>
      <c r="S202" s="542" t="s">
        <v>405</v>
      </c>
    </row>
    <row r="203" spans="1:19" s="76" customFormat="1" ht="13.5" customHeight="1">
      <c r="A203" s="660"/>
      <c r="B203" s="556"/>
      <c r="C203" s="596"/>
      <c r="D203" s="592"/>
      <c r="E203" s="518" t="s">
        <v>226</v>
      </c>
      <c r="F203" s="518" t="s">
        <v>281</v>
      </c>
      <c r="G203" s="518" t="s">
        <v>285</v>
      </c>
      <c r="H203" s="519" t="s">
        <v>286</v>
      </c>
      <c r="I203" s="520" t="s">
        <v>287</v>
      </c>
      <c r="J203" s="518" t="s">
        <v>195</v>
      </c>
      <c r="K203" s="522">
        <v>14</v>
      </c>
      <c r="L203" s="523">
        <f>61.7/1000</f>
        <v>0.061700000000000005</v>
      </c>
      <c r="M203" s="524" t="s">
        <v>335</v>
      </c>
      <c r="N203" s="525" t="s">
        <v>350</v>
      </c>
      <c r="O203" s="525" t="s">
        <v>350</v>
      </c>
      <c r="P203" s="539">
        <f t="shared" si="7"/>
        <v>1.5</v>
      </c>
      <c r="Q203" s="543" t="s">
        <v>650</v>
      </c>
      <c r="R203" s="544">
        <v>1.5</v>
      </c>
      <c r="S203" s="545" t="s">
        <v>405</v>
      </c>
    </row>
    <row r="204" spans="1:19" s="76" customFormat="1" ht="13.5" customHeight="1">
      <c r="A204" s="660"/>
      <c r="B204" s="556"/>
      <c r="C204" s="596"/>
      <c r="D204" s="286">
        <v>41977</v>
      </c>
      <c r="E204" s="274" t="s">
        <v>299</v>
      </c>
      <c r="F204" s="275" t="s">
        <v>188</v>
      </c>
      <c r="G204" s="269" t="s">
        <v>188</v>
      </c>
      <c r="H204" s="269" t="s">
        <v>188</v>
      </c>
      <c r="I204" s="275" t="s">
        <v>188</v>
      </c>
      <c r="J204" s="274" t="s">
        <v>208</v>
      </c>
      <c r="K204" s="276" t="s">
        <v>331</v>
      </c>
      <c r="L204" s="439">
        <f>14.3/1000</f>
        <v>0.0143</v>
      </c>
      <c r="M204" s="275" t="s">
        <v>188</v>
      </c>
      <c r="N204" s="275" t="s">
        <v>188</v>
      </c>
      <c r="O204" s="275" t="s">
        <v>188</v>
      </c>
      <c r="P204" s="404">
        <f>SUM(Q204:R204)</f>
        <v>9.1</v>
      </c>
      <c r="Q204" s="453" t="s">
        <v>412</v>
      </c>
      <c r="R204" s="429">
        <v>9.1</v>
      </c>
      <c r="S204" s="487" t="s">
        <v>188</v>
      </c>
    </row>
    <row r="205" spans="1:23" s="120" customFormat="1" ht="17.25" customHeight="1">
      <c r="A205" s="186"/>
      <c r="B205" s="368" t="s">
        <v>390</v>
      </c>
      <c r="C205" s="146"/>
      <c r="D205" s="188"/>
      <c r="E205" s="188"/>
      <c r="F205" s="189"/>
      <c r="G205" s="189"/>
      <c r="H205" s="189"/>
      <c r="I205" s="150"/>
      <c r="J205" s="146"/>
      <c r="K205" s="147"/>
      <c r="L205" s="148"/>
      <c r="M205" s="149"/>
      <c r="N205" s="150"/>
      <c r="O205" s="149"/>
      <c r="P205" s="146"/>
      <c r="Q205" s="146"/>
      <c r="R205" s="146"/>
      <c r="S205" s="158"/>
      <c r="T205" s="76"/>
      <c r="U205" s="76"/>
      <c r="V205" s="76"/>
      <c r="W205" s="76"/>
    </row>
    <row r="206" spans="1:23" s="120" customFormat="1" ht="17.25" customHeight="1">
      <c r="A206" s="186"/>
      <c r="B206" s="368" t="s">
        <v>391</v>
      </c>
      <c r="C206" s="146"/>
      <c r="D206" s="188"/>
      <c r="E206" s="188"/>
      <c r="F206" s="189"/>
      <c r="G206" s="189"/>
      <c r="H206" s="189"/>
      <c r="I206" s="150"/>
      <c r="J206" s="146"/>
      <c r="K206" s="147"/>
      <c r="L206" s="148"/>
      <c r="M206" s="149"/>
      <c r="N206" s="150"/>
      <c r="O206" s="149"/>
      <c r="P206" s="146"/>
      <c r="Q206" s="146"/>
      <c r="R206" s="146"/>
      <c r="S206" s="158"/>
      <c r="T206" s="76"/>
      <c r="U206" s="76"/>
      <c r="V206" s="76"/>
      <c r="W206" s="76"/>
    </row>
    <row r="207" spans="1:23" s="120" customFormat="1" ht="17.25" customHeight="1">
      <c r="A207" s="186"/>
      <c r="B207" s="368" t="s">
        <v>402</v>
      </c>
      <c r="C207" s="146"/>
      <c r="D207" s="188"/>
      <c r="E207" s="188"/>
      <c r="F207" s="189"/>
      <c r="G207" s="189"/>
      <c r="H207" s="189"/>
      <c r="I207" s="150"/>
      <c r="J207" s="146"/>
      <c r="K207" s="147"/>
      <c r="L207" s="148"/>
      <c r="M207" s="149"/>
      <c r="N207" s="151"/>
      <c r="O207" s="152"/>
      <c r="P207" s="146"/>
      <c r="Q207" s="146"/>
      <c r="R207" s="146"/>
      <c r="S207" s="158"/>
      <c r="T207" s="76"/>
      <c r="U207" s="76"/>
      <c r="V207" s="76"/>
      <c r="W207" s="76"/>
    </row>
    <row r="208" spans="1:23" s="120" customFormat="1" ht="17.25" customHeight="1">
      <c r="A208" s="186"/>
      <c r="B208" s="368" t="s">
        <v>392</v>
      </c>
      <c r="C208" s="146"/>
      <c r="D208" s="188"/>
      <c r="E208" s="188"/>
      <c r="F208" s="189"/>
      <c r="G208" s="189"/>
      <c r="H208" s="189"/>
      <c r="I208" s="150"/>
      <c r="J208" s="146"/>
      <c r="K208" s="147"/>
      <c r="L208" s="148"/>
      <c r="M208" s="149"/>
      <c r="N208" s="151"/>
      <c r="O208" s="149"/>
      <c r="P208" s="146"/>
      <c r="Q208" s="146"/>
      <c r="R208" s="146"/>
      <c r="S208" s="158"/>
      <c r="T208" s="76"/>
      <c r="U208" s="76"/>
      <c r="V208" s="76"/>
      <c r="W208" s="76"/>
    </row>
    <row r="209" spans="1:23" s="120" customFormat="1" ht="17.25" customHeight="1">
      <c r="A209" s="186"/>
      <c r="B209" s="368" t="s">
        <v>393</v>
      </c>
      <c r="C209" s="146"/>
      <c r="D209" s="188"/>
      <c r="E209" s="188"/>
      <c r="F209" s="189"/>
      <c r="G209" s="189"/>
      <c r="H209" s="189"/>
      <c r="I209" s="150"/>
      <c r="J209" s="146"/>
      <c r="K209" s="147"/>
      <c r="L209" s="148"/>
      <c r="M209" s="149"/>
      <c r="N209" s="151"/>
      <c r="O209" s="149"/>
      <c r="P209" s="146"/>
      <c r="Q209" s="146"/>
      <c r="R209" s="146"/>
      <c r="S209" s="158"/>
      <c r="T209" s="76"/>
      <c r="U209" s="76"/>
      <c r="V209" s="76"/>
      <c r="W209" s="76"/>
    </row>
    <row r="210" spans="1:23" s="120" customFormat="1" ht="17.25" customHeight="1">
      <c r="A210" s="186"/>
      <c r="B210" s="368" t="s">
        <v>394</v>
      </c>
      <c r="C210" s="146"/>
      <c r="D210" s="188"/>
      <c r="E210" s="188"/>
      <c r="F210" s="189"/>
      <c r="G210" s="189"/>
      <c r="H210" s="189"/>
      <c r="I210" s="150"/>
      <c r="J210" s="146"/>
      <c r="K210" s="147"/>
      <c r="L210" s="148"/>
      <c r="M210" s="149"/>
      <c r="N210" s="150"/>
      <c r="O210" s="149"/>
      <c r="P210" s="146"/>
      <c r="Q210" s="146"/>
      <c r="R210" s="146"/>
      <c r="S210" s="158"/>
      <c r="T210" s="76"/>
      <c r="U210" s="76"/>
      <c r="V210" s="76"/>
      <c r="W210" s="76"/>
    </row>
    <row r="211" spans="1:23" s="120" customFormat="1" ht="17.25" customHeight="1">
      <c r="A211" s="186"/>
      <c r="B211" s="368" t="s">
        <v>395</v>
      </c>
      <c r="C211" s="146"/>
      <c r="D211" s="188"/>
      <c r="E211" s="188"/>
      <c r="F211" s="189"/>
      <c r="G211" s="189"/>
      <c r="H211" s="189"/>
      <c r="I211" s="150"/>
      <c r="J211" s="146"/>
      <c r="K211" s="147"/>
      <c r="L211" s="148"/>
      <c r="M211" s="149"/>
      <c r="N211" s="150"/>
      <c r="O211" s="149"/>
      <c r="P211" s="146"/>
      <c r="Q211" s="146"/>
      <c r="R211" s="146"/>
      <c r="S211" s="158"/>
      <c r="T211" s="76"/>
      <c r="U211" s="76"/>
      <c r="V211" s="76"/>
      <c r="W211" s="76"/>
    </row>
    <row r="212" spans="1:23" s="120" customFormat="1" ht="17.25" customHeight="1">
      <c r="A212" s="186"/>
      <c r="B212" s="368" t="s">
        <v>396</v>
      </c>
      <c r="C212" s="146"/>
      <c r="D212" s="188"/>
      <c r="E212" s="188"/>
      <c r="F212" s="189"/>
      <c r="G212" s="189"/>
      <c r="H212" s="189"/>
      <c r="I212" s="150"/>
      <c r="J212" s="146"/>
      <c r="K212" s="147"/>
      <c r="L212" s="148"/>
      <c r="M212" s="149"/>
      <c r="N212" s="150"/>
      <c r="O212" s="149"/>
      <c r="P212" s="146"/>
      <c r="Q212" s="146"/>
      <c r="R212" s="146"/>
      <c r="S212" s="158"/>
      <c r="T212" s="76"/>
      <c r="U212" s="76"/>
      <c r="V212" s="76"/>
      <c r="W212" s="76"/>
    </row>
    <row r="213" spans="1:23" s="120" customFormat="1" ht="17.25" customHeight="1">
      <c r="A213" s="186"/>
      <c r="B213" s="368" t="s">
        <v>397</v>
      </c>
      <c r="C213" s="146"/>
      <c r="D213" s="188"/>
      <c r="E213" s="188"/>
      <c r="F213" s="189"/>
      <c r="G213" s="189"/>
      <c r="H213" s="189"/>
      <c r="I213" s="150"/>
      <c r="J213" s="146"/>
      <c r="K213" s="147"/>
      <c r="L213" s="148"/>
      <c r="M213" s="149"/>
      <c r="N213" s="150"/>
      <c r="O213" s="149"/>
      <c r="P213" s="153"/>
      <c r="Q213" s="154"/>
      <c r="R213" s="155"/>
      <c r="S213" s="156"/>
      <c r="T213" s="121"/>
      <c r="U213" s="122"/>
      <c r="V213" s="121"/>
      <c r="W213" s="76"/>
    </row>
    <row r="214" spans="1:19" s="76" customFormat="1" ht="13.5">
      <c r="A214" s="203"/>
      <c r="B214" s="192"/>
      <c r="C214" s="192"/>
      <c r="D214" s="192"/>
      <c r="E214" s="157"/>
      <c r="F214" s="157"/>
      <c r="G214" s="157"/>
      <c r="H214" s="157"/>
      <c r="I214" s="193"/>
      <c r="J214" s="157"/>
      <c r="K214" s="171"/>
      <c r="L214" s="177"/>
      <c r="M214" s="172"/>
      <c r="N214" s="178"/>
      <c r="O214" s="178"/>
      <c r="P214" s="179"/>
      <c r="Q214" s="179"/>
      <c r="R214" s="179"/>
      <c r="S214" s="180"/>
    </row>
    <row r="215" spans="1:19" s="15" customFormat="1" ht="18" customHeight="1">
      <c r="A215" s="597" t="s">
        <v>1</v>
      </c>
      <c r="B215" s="598"/>
      <c r="C215" s="556" t="s">
        <v>341</v>
      </c>
      <c r="D215" s="629" t="s">
        <v>161</v>
      </c>
      <c r="E215" s="630" t="s">
        <v>175</v>
      </c>
      <c r="F215" s="630" t="s">
        <v>176</v>
      </c>
      <c r="G215" s="556" t="s">
        <v>177</v>
      </c>
      <c r="H215" s="556" t="s">
        <v>178</v>
      </c>
      <c r="I215" s="556" t="s">
        <v>179</v>
      </c>
      <c r="J215" s="556" t="s">
        <v>180</v>
      </c>
      <c r="K215" s="642" t="s">
        <v>162</v>
      </c>
      <c r="L215" s="635" t="s">
        <v>163</v>
      </c>
      <c r="M215" s="633" t="s">
        <v>181</v>
      </c>
      <c r="N215" s="633"/>
      <c r="O215" s="634"/>
      <c r="P215" s="638" t="s">
        <v>165</v>
      </c>
      <c r="Q215" s="633"/>
      <c r="R215" s="633"/>
      <c r="S215" s="633" t="s">
        <v>182</v>
      </c>
    </row>
    <row r="216" spans="1:22" s="15" customFormat="1" ht="18" customHeight="1">
      <c r="A216" s="599"/>
      <c r="B216" s="600"/>
      <c r="C216" s="556"/>
      <c r="D216" s="629"/>
      <c r="E216" s="631"/>
      <c r="F216" s="631"/>
      <c r="G216" s="556"/>
      <c r="H216" s="556"/>
      <c r="I216" s="556"/>
      <c r="J216" s="556"/>
      <c r="K216" s="643"/>
      <c r="L216" s="636"/>
      <c r="M216" s="271" t="s">
        <v>164</v>
      </c>
      <c r="N216" s="252" t="s">
        <v>166</v>
      </c>
      <c r="O216" s="252" t="s">
        <v>340</v>
      </c>
      <c r="P216" s="272" t="s">
        <v>167</v>
      </c>
      <c r="Q216" s="273" t="s">
        <v>18</v>
      </c>
      <c r="R216" s="273" t="s">
        <v>19</v>
      </c>
      <c r="S216" s="556"/>
      <c r="U216" s="81"/>
      <c r="V216" s="81"/>
    </row>
    <row r="217" spans="1:22" s="15" customFormat="1" ht="13.5" customHeight="1">
      <c r="A217" s="664" t="s">
        <v>389</v>
      </c>
      <c r="B217" s="588" t="s">
        <v>383</v>
      </c>
      <c r="C217" s="560" t="s">
        <v>350</v>
      </c>
      <c r="D217" s="591">
        <v>41984</v>
      </c>
      <c r="E217" s="234" t="s">
        <v>226</v>
      </c>
      <c r="F217" s="235" t="s">
        <v>230</v>
      </c>
      <c r="G217" s="235" t="s">
        <v>257</v>
      </c>
      <c r="H217" s="257" t="s">
        <v>388</v>
      </c>
      <c r="I217" s="236" t="s">
        <v>558</v>
      </c>
      <c r="J217" s="237" t="s">
        <v>213</v>
      </c>
      <c r="K217" s="315">
        <v>1</v>
      </c>
      <c r="L217" s="323">
        <v>0.469</v>
      </c>
      <c r="M217" s="317" t="s">
        <v>636</v>
      </c>
      <c r="N217" s="355" t="s">
        <v>337</v>
      </c>
      <c r="O217" s="374" t="s">
        <v>775</v>
      </c>
      <c r="P217" s="514">
        <f>SUM(Q217:R217)</f>
        <v>3.32</v>
      </c>
      <c r="Q217" s="261">
        <v>0.52</v>
      </c>
      <c r="R217" s="260">
        <v>2.8</v>
      </c>
      <c r="S217" s="491" t="s">
        <v>188</v>
      </c>
      <c r="U217" s="81"/>
      <c r="V217" s="81"/>
    </row>
    <row r="218" spans="1:22" s="15" customFormat="1" ht="13.5" customHeight="1">
      <c r="A218" s="665"/>
      <c r="B218" s="594"/>
      <c r="C218" s="594"/>
      <c r="D218" s="592"/>
      <c r="E218" s="234" t="s">
        <v>226</v>
      </c>
      <c r="F218" s="235" t="s">
        <v>230</v>
      </c>
      <c r="G218" s="235" t="s">
        <v>315</v>
      </c>
      <c r="H218" s="235" t="s">
        <v>316</v>
      </c>
      <c r="I218" s="236" t="s">
        <v>317</v>
      </c>
      <c r="J218" s="237" t="s">
        <v>214</v>
      </c>
      <c r="K218" s="315">
        <v>1</v>
      </c>
      <c r="L218" s="316">
        <v>3.664</v>
      </c>
      <c r="M218" s="317" t="s">
        <v>638</v>
      </c>
      <c r="N218" s="355" t="s">
        <v>339</v>
      </c>
      <c r="O218" s="374" t="s">
        <v>775</v>
      </c>
      <c r="P218" s="251">
        <f>SUM(Q218:R218)</f>
        <v>6.4</v>
      </c>
      <c r="Q218" s="258">
        <v>1.5</v>
      </c>
      <c r="R218" s="258">
        <v>4.9</v>
      </c>
      <c r="S218" s="490" t="s">
        <v>737</v>
      </c>
      <c r="U218" s="81"/>
      <c r="V218" s="81"/>
    </row>
    <row r="219" spans="1:19" s="76" customFormat="1" ht="13.5" customHeight="1">
      <c r="A219" s="666"/>
      <c r="B219" s="595"/>
      <c r="C219" s="595"/>
      <c r="D219" s="593"/>
      <c r="E219" s="329" t="s">
        <v>226</v>
      </c>
      <c r="F219" s="307" t="s">
        <v>230</v>
      </c>
      <c r="G219" s="353" t="s">
        <v>599</v>
      </c>
      <c r="H219" s="353" t="s">
        <v>600</v>
      </c>
      <c r="I219" s="354" t="s">
        <v>608</v>
      </c>
      <c r="J219" s="237" t="s">
        <v>215</v>
      </c>
      <c r="K219" s="315">
        <v>2</v>
      </c>
      <c r="L219" s="322">
        <v>0.025</v>
      </c>
      <c r="M219" s="317" t="s">
        <v>639</v>
      </c>
      <c r="N219" s="355" t="s">
        <v>609</v>
      </c>
      <c r="O219" s="374" t="s">
        <v>775</v>
      </c>
      <c r="P219" s="251">
        <f>SUM(Q219:R219)</f>
        <v>2.6</v>
      </c>
      <c r="Q219" s="259" t="s">
        <v>559</v>
      </c>
      <c r="R219" s="260">
        <v>2.6</v>
      </c>
      <c r="S219" s="492" t="s">
        <v>188</v>
      </c>
    </row>
    <row r="220" spans="1:19" ht="13.5">
      <c r="A220" s="204"/>
      <c r="B220" s="204"/>
      <c r="C220" s="204"/>
      <c r="D220" s="205"/>
      <c r="E220" s="206"/>
      <c r="F220" s="206"/>
      <c r="G220" s="206"/>
      <c r="H220" s="206"/>
      <c r="I220" s="181"/>
      <c r="J220" s="181"/>
      <c r="K220" s="182"/>
      <c r="L220" s="183"/>
      <c r="M220" s="184"/>
      <c r="N220" s="185"/>
      <c r="O220" s="185"/>
      <c r="P220" s="183"/>
      <c r="Q220" s="181"/>
      <c r="R220" s="181"/>
      <c r="S220" s="181"/>
    </row>
    <row r="221" spans="1:19" s="15" customFormat="1" ht="18" customHeight="1">
      <c r="A221" s="597" t="s">
        <v>1</v>
      </c>
      <c r="B221" s="598"/>
      <c r="C221" s="556" t="s">
        <v>341</v>
      </c>
      <c r="D221" s="629" t="s">
        <v>161</v>
      </c>
      <c r="E221" s="630" t="s">
        <v>175</v>
      </c>
      <c r="F221" s="630" t="s">
        <v>176</v>
      </c>
      <c r="G221" s="556" t="s">
        <v>177</v>
      </c>
      <c r="H221" s="556" t="s">
        <v>178</v>
      </c>
      <c r="I221" s="556" t="s">
        <v>179</v>
      </c>
      <c r="J221" s="556" t="s">
        <v>180</v>
      </c>
      <c r="K221" s="642" t="s">
        <v>162</v>
      </c>
      <c r="L221" s="635" t="s">
        <v>163</v>
      </c>
      <c r="M221" s="633" t="s">
        <v>181</v>
      </c>
      <c r="N221" s="633"/>
      <c r="O221" s="634"/>
      <c r="P221" s="638" t="s">
        <v>165</v>
      </c>
      <c r="Q221" s="633"/>
      <c r="R221" s="633"/>
      <c r="S221" s="633" t="s">
        <v>182</v>
      </c>
    </row>
    <row r="222" spans="1:22" s="15" customFormat="1" ht="18" customHeight="1">
      <c r="A222" s="599"/>
      <c r="B222" s="600"/>
      <c r="C222" s="556"/>
      <c r="D222" s="629"/>
      <c r="E222" s="631"/>
      <c r="F222" s="631"/>
      <c r="G222" s="556"/>
      <c r="H222" s="556"/>
      <c r="I222" s="556"/>
      <c r="J222" s="556"/>
      <c r="K222" s="643"/>
      <c r="L222" s="636"/>
      <c r="M222" s="271" t="s">
        <v>164</v>
      </c>
      <c r="N222" s="252" t="s">
        <v>166</v>
      </c>
      <c r="O222" s="252" t="s">
        <v>340</v>
      </c>
      <c r="P222" s="272" t="s">
        <v>167</v>
      </c>
      <c r="Q222" s="273" t="s">
        <v>18</v>
      </c>
      <c r="R222" s="273" t="s">
        <v>19</v>
      </c>
      <c r="S222" s="556"/>
      <c r="U222" s="81"/>
      <c r="V222" s="81"/>
    </row>
    <row r="223" spans="1:19" s="76" customFormat="1" ht="13.5" customHeight="1">
      <c r="A223" s="656" t="s">
        <v>174</v>
      </c>
      <c r="B223" s="588" t="s">
        <v>386</v>
      </c>
      <c r="C223" s="588" t="s">
        <v>382</v>
      </c>
      <c r="D223" s="591">
        <v>41983</v>
      </c>
      <c r="E223" s="274" t="s">
        <v>299</v>
      </c>
      <c r="F223" s="275" t="s">
        <v>366</v>
      </c>
      <c r="G223" s="269" t="s">
        <v>366</v>
      </c>
      <c r="H223" s="269" t="s">
        <v>366</v>
      </c>
      <c r="I223" s="275" t="s">
        <v>366</v>
      </c>
      <c r="J223" s="274" t="s">
        <v>208</v>
      </c>
      <c r="K223" s="276" t="s">
        <v>331</v>
      </c>
      <c r="L223" s="439">
        <f>12.7/1000</f>
        <v>0.0127</v>
      </c>
      <c r="M223" s="275" t="s">
        <v>349</v>
      </c>
      <c r="N223" s="275" t="s">
        <v>349</v>
      </c>
      <c r="O223" s="275" t="s">
        <v>349</v>
      </c>
      <c r="P223" s="404">
        <f>SUM(Q223:R223)</f>
        <v>12.3</v>
      </c>
      <c r="Q223" s="406">
        <v>2.9</v>
      </c>
      <c r="R223" s="406">
        <v>9.4</v>
      </c>
      <c r="S223" s="269" t="s">
        <v>405</v>
      </c>
    </row>
    <row r="224" spans="1:19" s="76" customFormat="1" ht="13.5">
      <c r="A224" s="657"/>
      <c r="B224" s="594"/>
      <c r="C224" s="594"/>
      <c r="D224" s="594"/>
      <c r="E224" s="274" t="s">
        <v>318</v>
      </c>
      <c r="F224" s="274" t="s">
        <v>296</v>
      </c>
      <c r="G224" s="351" t="s">
        <v>367</v>
      </c>
      <c r="H224" s="351" t="s">
        <v>368</v>
      </c>
      <c r="I224" s="352" t="s">
        <v>369</v>
      </c>
      <c r="J224" s="274" t="s">
        <v>219</v>
      </c>
      <c r="K224" s="276" t="s">
        <v>331</v>
      </c>
      <c r="L224" s="441">
        <v>0.284</v>
      </c>
      <c r="M224" s="275" t="s">
        <v>349</v>
      </c>
      <c r="N224" s="275" t="s">
        <v>349</v>
      </c>
      <c r="O224" s="275" t="s">
        <v>349</v>
      </c>
      <c r="P224" s="434" t="s">
        <v>647</v>
      </c>
      <c r="Q224" s="432" t="s">
        <v>654</v>
      </c>
      <c r="R224" s="435" t="s">
        <v>655</v>
      </c>
      <c r="S224" s="269" t="s">
        <v>405</v>
      </c>
    </row>
    <row r="225" spans="1:19" s="76" customFormat="1" ht="13.5">
      <c r="A225" s="657"/>
      <c r="B225" s="594"/>
      <c r="C225" s="594"/>
      <c r="D225" s="594"/>
      <c r="E225" s="274" t="s">
        <v>319</v>
      </c>
      <c r="F225" s="351" t="s">
        <v>320</v>
      </c>
      <c r="G225" s="351" t="s">
        <v>370</v>
      </c>
      <c r="H225" s="351" t="s">
        <v>370</v>
      </c>
      <c r="I225" s="352" t="s">
        <v>371</v>
      </c>
      <c r="J225" s="274" t="s">
        <v>399</v>
      </c>
      <c r="K225" s="276" t="s">
        <v>331</v>
      </c>
      <c r="L225" s="441">
        <v>0.316</v>
      </c>
      <c r="M225" s="275" t="s">
        <v>349</v>
      </c>
      <c r="N225" s="275" t="s">
        <v>349</v>
      </c>
      <c r="O225" s="275" t="s">
        <v>349</v>
      </c>
      <c r="P225" s="431">
        <f>SUM(Q225:R225)</f>
        <v>0.8</v>
      </c>
      <c r="Q225" s="405">
        <v>0.33</v>
      </c>
      <c r="R225" s="405">
        <v>0.47</v>
      </c>
      <c r="S225" s="269" t="s">
        <v>405</v>
      </c>
    </row>
    <row r="226" spans="1:19" s="76" customFormat="1" ht="13.5">
      <c r="A226" s="657"/>
      <c r="B226" s="594"/>
      <c r="C226" s="594"/>
      <c r="D226" s="594"/>
      <c r="E226" s="234" t="s">
        <v>271</v>
      </c>
      <c r="F226" s="235" t="s">
        <v>244</v>
      </c>
      <c r="G226" s="361" t="s">
        <v>372</v>
      </c>
      <c r="H226" s="361" t="s">
        <v>372</v>
      </c>
      <c r="I226" s="235" t="s">
        <v>748</v>
      </c>
      <c r="J226" s="235" t="s">
        <v>615</v>
      </c>
      <c r="K226" s="360" t="s">
        <v>331</v>
      </c>
      <c r="L226" s="289">
        <f>59.1/1000</f>
        <v>0.0591</v>
      </c>
      <c r="M226" s="254" t="s">
        <v>335</v>
      </c>
      <c r="N226" s="359" t="s">
        <v>188</v>
      </c>
      <c r="O226" s="359" t="s">
        <v>188</v>
      </c>
      <c r="P226" s="399">
        <f>SUM(Q226:R226)</f>
        <v>1.6</v>
      </c>
      <c r="Q226" s="402" t="s">
        <v>665</v>
      </c>
      <c r="R226" s="447">
        <v>1.6</v>
      </c>
      <c r="S226" s="86" t="s">
        <v>188</v>
      </c>
    </row>
    <row r="227" spans="1:19" s="76" customFormat="1" ht="13.5">
      <c r="A227" s="657"/>
      <c r="B227" s="594"/>
      <c r="C227" s="594"/>
      <c r="D227" s="594"/>
      <c r="E227" s="329" t="s">
        <v>271</v>
      </c>
      <c r="F227" s="307" t="s">
        <v>244</v>
      </c>
      <c r="G227" s="307" t="s">
        <v>245</v>
      </c>
      <c r="H227" s="319" t="s">
        <v>612</v>
      </c>
      <c r="I227" s="287" t="s">
        <v>613</v>
      </c>
      <c r="J227" s="317" t="s">
        <v>614</v>
      </c>
      <c r="K227" s="245">
        <v>12</v>
      </c>
      <c r="L227" s="289">
        <f>12.4/1000</f>
        <v>0.0124</v>
      </c>
      <c r="M227" s="254" t="s">
        <v>335</v>
      </c>
      <c r="N227" s="359" t="s">
        <v>188</v>
      </c>
      <c r="O227" s="359" t="s">
        <v>188</v>
      </c>
      <c r="P227" s="399">
        <f aca="true" t="shared" si="8" ref="P227:P235">SUM(Q227:R227)</f>
        <v>3.1</v>
      </c>
      <c r="Q227" s="402" t="s">
        <v>664</v>
      </c>
      <c r="R227" s="447">
        <v>3.1</v>
      </c>
      <c r="S227" s="86" t="s">
        <v>188</v>
      </c>
    </row>
    <row r="228" spans="1:19" s="76" customFormat="1" ht="13.5">
      <c r="A228" s="657"/>
      <c r="B228" s="594"/>
      <c r="C228" s="594"/>
      <c r="D228" s="594"/>
      <c r="E228" s="244" t="s">
        <v>243</v>
      </c>
      <c r="F228" s="237" t="s">
        <v>244</v>
      </c>
      <c r="G228" s="319" t="s">
        <v>245</v>
      </c>
      <c r="H228" s="357" t="s">
        <v>373</v>
      </c>
      <c r="I228" s="358" t="s">
        <v>327</v>
      </c>
      <c r="J228" s="244" t="s">
        <v>611</v>
      </c>
      <c r="K228" s="288">
        <v>102</v>
      </c>
      <c r="L228" s="289">
        <f>46.7/1000</f>
        <v>0.046700000000000005</v>
      </c>
      <c r="M228" s="254" t="s">
        <v>335</v>
      </c>
      <c r="N228" s="359" t="s">
        <v>347</v>
      </c>
      <c r="O228" s="359" t="s">
        <v>347</v>
      </c>
      <c r="P228" s="399">
        <f t="shared" si="8"/>
        <v>1.5</v>
      </c>
      <c r="Q228" s="402" t="s">
        <v>663</v>
      </c>
      <c r="R228" s="447">
        <v>1.5</v>
      </c>
      <c r="S228" s="86" t="s">
        <v>405</v>
      </c>
    </row>
    <row r="229" spans="1:19" s="76" customFormat="1" ht="13.5">
      <c r="A229" s="657"/>
      <c r="B229" s="594"/>
      <c r="C229" s="594"/>
      <c r="D229" s="594"/>
      <c r="E229" s="234" t="s">
        <v>271</v>
      </c>
      <c r="F229" s="235" t="s">
        <v>244</v>
      </c>
      <c r="G229" s="235" t="s">
        <v>245</v>
      </c>
      <c r="H229" s="355" t="s">
        <v>407</v>
      </c>
      <c r="I229" s="236" t="s">
        <v>610</v>
      </c>
      <c r="J229" s="244" t="s">
        <v>374</v>
      </c>
      <c r="K229" s="95">
        <v>210</v>
      </c>
      <c r="L229" s="89">
        <f>365.5/1000</f>
        <v>0.3655</v>
      </c>
      <c r="M229" s="254" t="s">
        <v>335</v>
      </c>
      <c r="N229" s="356" t="s">
        <v>347</v>
      </c>
      <c r="O229" s="356" t="s">
        <v>347</v>
      </c>
      <c r="P229" s="513">
        <f t="shared" si="8"/>
        <v>10.6</v>
      </c>
      <c r="Q229" s="379">
        <v>2.5</v>
      </c>
      <c r="R229" s="379">
        <v>8.1</v>
      </c>
      <c r="S229" s="86" t="s">
        <v>405</v>
      </c>
    </row>
    <row r="230" spans="1:19" s="76" customFormat="1" ht="13.5">
      <c r="A230" s="657"/>
      <c r="B230" s="594"/>
      <c r="C230" s="594"/>
      <c r="D230" s="594"/>
      <c r="E230" s="234" t="s">
        <v>322</v>
      </c>
      <c r="F230" s="235" t="s">
        <v>323</v>
      </c>
      <c r="G230" s="355" t="s">
        <v>746</v>
      </c>
      <c r="H230" s="355" t="s">
        <v>747</v>
      </c>
      <c r="I230" s="507" t="s">
        <v>745</v>
      </c>
      <c r="J230" s="244" t="s">
        <v>616</v>
      </c>
      <c r="K230" s="95">
        <v>83</v>
      </c>
      <c r="L230" s="290">
        <v>0.034</v>
      </c>
      <c r="M230" s="254" t="s">
        <v>335</v>
      </c>
      <c r="N230" s="356" t="s">
        <v>347</v>
      </c>
      <c r="O230" s="356" t="s">
        <v>347</v>
      </c>
      <c r="P230" s="513">
        <f t="shared" si="8"/>
        <v>29.4</v>
      </c>
      <c r="Q230" s="379">
        <v>7.4</v>
      </c>
      <c r="R230" s="380">
        <v>22</v>
      </c>
      <c r="S230" s="86" t="s">
        <v>405</v>
      </c>
    </row>
    <row r="231" spans="1:19" s="76" customFormat="1" ht="13.5">
      <c r="A231" s="657"/>
      <c r="B231" s="594"/>
      <c r="C231" s="594"/>
      <c r="D231" s="594"/>
      <c r="E231" s="318" t="s">
        <v>292</v>
      </c>
      <c r="F231" s="307" t="s">
        <v>321</v>
      </c>
      <c r="G231" s="307" t="s">
        <v>617</v>
      </c>
      <c r="H231" s="307" t="s">
        <v>618</v>
      </c>
      <c r="I231" s="330" t="s">
        <v>619</v>
      </c>
      <c r="J231" s="244" t="s">
        <v>216</v>
      </c>
      <c r="K231" s="309">
        <v>76</v>
      </c>
      <c r="L231" s="347">
        <v>4.872</v>
      </c>
      <c r="M231" s="254" t="s">
        <v>335</v>
      </c>
      <c r="N231" s="359" t="s">
        <v>347</v>
      </c>
      <c r="O231" s="254" t="s">
        <v>346</v>
      </c>
      <c r="P231" s="512">
        <f t="shared" si="8"/>
        <v>2.45</v>
      </c>
      <c r="Q231" s="253">
        <v>0.45</v>
      </c>
      <c r="R231" s="248">
        <v>2</v>
      </c>
      <c r="S231" s="86" t="s">
        <v>405</v>
      </c>
    </row>
    <row r="232" spans="1:19" s="76" customFormat="1" ht="13.5">
      <c r="A232" s="657"/>
      <c r="B232" s="594"/>
      <c r="C232" s="594"/>
      <c r="D232" s="594"/>
      <c r="E232" s="318" t="s">
        <v>292</v>
      </c>
      <c r="F232" s="307" t="s">
        <v>321</v>
      </c>
      <c r="G232" s="318" t="s">
        <v>620</v>
      </c>
      <c r="H232" s="307" t="s">
        <v>620</v>
      </c>
      <c r="I232" s="330" t="s">
        <v>621</v>
      </c>
      <c r="J232" s="244" t="s">
        <v>381</v>
      </c>
      <c r="K232" s="288">
        <v>79</v>
      </c>
      <c r="L232" s="347">
        <v>2.336</v>
      </c>
      <c r="M232" s="254" t="s">
        <v>335</v>
      </c>
      <c r="N232" s="359" t="s">
        <v>347</v>
      </c>
      <c r="O232" s="254" t="s">
        <v>346</v>
      </c>
      <c r="P232" s="512">
        <f t="shared" si="8"/>
        <v>1.87</v>
      </c>
      <c r="Q232" s="253">
        <v>0.67</v>
      </c>
      <c r="R232" s="248">
        <v>1.2</v>
      </c>
      <c r="S232" s="86" t="s">
        <v>405</v>
      </c>
    </row>
    <row r="233" spans="1:19" s="76" customFormat="1" ht="13.5">
      <c r="A233" s="657"/>
      <c r="B233" s="594"/>
      <c r="C233" s="594"/>
      <c r="D233" s="594"/>
      <c r="E233" s="234" t="s">
        <v>226</v>
      </c>
      <c r="F233" s="235" t="s">
        <v>230</v>
      </c>
      <c r="G233" s="255" t="s">
        <v>239</v>
      </c>
      <c r="H233" s="255" t="s">
        <v>409</v>
      </c>
      <c r="I233" s="362" t="s">
        <v>378</v>
      </c>
      <c r="J233" s="319" t="s">
        <v>218</v>
      </c>
      <c r="K233" s="309">
        <v>12</v>
      </c>
      <c r="L233" s="289">
        <f>30.8/1000</f>
        <v>0.0308</v>
      </c>
      <c r="M233" s="254" t="s">
        <v>329</v>
      </c>
      <c r="N233" s="359" t="s">
        <v>188</v>
      </c>
      <c r="O233" s="356" t="s">
        <v>188</v>
      </c>
      <c r="P233" s="402" t="s">
        <v>186</v>
      </c>
      <c r="Q233" s="402" t="s">
        <v>652</v>
      </c>
      <c r="R233" s="403" t="s">
        <v>662</v>
      </c>
      <c r="S233" s="86" t="s">
        <v>188</v>
      </c>
    </row>
    <row r="234" spans="1:19" s="76" customFormat="1" ht="13.5">
      <c r="A234" s="657"/>
      <c r="B234" s="594"/>
      <c r="C234" s="594"/>
      <c r="D234" s="594"/>
      <c r="E234" s="234" t="s">
        <v>226</v>
      </c>
      <c r="F234" s="235" t="s">
        <v>230</v>
      </c>
      <c r="G234" s="255" t="s">
        <v>375</v>
      </c>
      <c r="H234" s="255" t="s">
        <v>376</v>
      </c>
      <c r="I234" s="256" t="s">
        <v>377</v>
      </c>
      <c r="J234" s="244" t="s">
        <v>215</v>
      </c>
      <c r="K234" s="309">
        <v>3</v>
      </c>
      <c r="L234" s="349">
        <v>0.264</v>
      </c>
      <c r="M234" s="254" t="s">
        <v>329</v>
      </c>
      <c r="N234" s="359" t="s">
        <v>347</v>
      </c>
      <c r="O234" s="356" t="s">
        <v>188</v>
      </c>
      <c r="P234" s="251">
        <f t="shared" si="8"/>
        <v>4.4</v>
      </c>
      <c r="Q234" s="96">
        <v>1.1</v>
      </c>
      <c r="R234" s="96">
        <v>3.3</v>
      </c>
      <c r="S234" s="86" t="s">
        <v>405</v>
      </c>
    </row>
    <row r="235" spans="1:19" s="76" customFormat="1" ht="13.5">
      <c r="A235" s="658"/>
      <c r="B235" s="595"/>
      <c r="C235" s="595"/>
      <c r="D235" s="595"/>
      <c r="E235" s="234" t="s">
        <v>226</v>
      </c>
      <c r="F235" s="235" t="s">
        <v>230</v>
      </c>
      <c r="G235" s="319" t="s">
        <v>379</v>
      </c>
      <c r="H235" s="319" t="s">
        <v>379</v>
      </c>
      <c r="I235" s="287" t="s">
        <v>380</v>
      </c>
      <c r="J235" s="244" t="s">
        <v>217</v>
      </c>
      <c r="K235" s="309">
        <v>1</v>
      </c>
      <c r="L235" s="289">
        <f>22.6/1000</f>
        <v>0.022600000000000002</v>
      </c>
      <c r="M235" s="254" t="s">
        <v>336</v>
      </c>
      <c r="N235" s="359" t="s">
        <v>347</v>
      </c>
      <c r="O235" s="356" t="s">
        <v>188</v>
      </c>
      <c r="P235" s="399">
        <f t="shared" si="8"/>
        <v>20.2</v>
      </c>
      <c r="Q235" s="379">
        <v>5.2</v>
      </c>
      <c r="R235" s="380">
        <v>15</v>
      </c>
      <c r="S235" s="86" t="s">
        <v>405</v>
      </c>
    </row>
    <row r="236" spans="1:21" s="76" customFormat="1" ht="13.5">
      <c r="A236" s="203"/>
      <c r="B236" s="192"/>
      <c r="C236" s="192"/>
      <c r="D236" s="192"/>
      <c r="E236" s="157"/>
      <c r="F236" s="157"/>
      <c r="G236" s="180"/>
      <c r="H236" s="180"/>
      <c r="I236" s="157"/>
      <c r="J236" s="157"/>
      <c r="K236" s="171"/>
      <c r="L236" s="146"/>
      <c r="M236" s="146"/>
      <c r="N236" s="146"/>
      <c r="O236" s="146"/>
      <c r="P236" s="146"/>
      <c r="Q236" s="146"/>
      <c r="R236" s="146"/>
      <c r="S236" s="158"/>
      <c r="T236" s="15"/>
      <c r="U236" s="81"/>
    </row>
    <row r="237" spans="1:19" s="15" customFormat="1" ht="18" customHeight="1">
      <c r="A237" s="597" t="s">
        <v>1</v>
      </c>
      <c r="B237" s="598"/>
      <c r="C237" s="556" t="s">
        <v>341</v>
      </c>
      <c r="D237" s="629" t="s">
        <v>161</v>
      </c>
      <c r="E237" s="630" t="s">
        <v>175</v>
      </c>
      <c r="F237" s="630" t="s">
        <v>176</v>
      </c>
      <c r="G237" s="556" t="s">
        <v>177</v>
      </c>
      <c r="H237" s="556" t="s">
        <v>178</v>
      </c>
      <c r="I237" s="556" t="s">
        <v>179</v>
      </c>
      <c r="J237" s="556" t="s">
        <v>180</v>
      </c>
      <c r="K237" s="642" t="s">
        <v>162</v>
      </c>
      <c r="L237" s="635" t="s">
        <v>163</v>
      </c>
      <c r="M237" s="633" t="s">
        <v>181</v>
      </c>
      <c r="N237" s="633"/>
      <c r="O237" s="634"/>
      <c r="P237" s="638" t="s">
        <v>165</v>
      </c>
      <c r="Q237" s="633"/>
      <c r="R237" s="633"/>
      <c r="S237" s="633" t="s">
        <v>182</v>
      </c>
    </row>
    <row r="238" spans="1:22" s="15" customFormat="1" ht="18" customHeight="1">
      <c r="A238" s="599"/>
      <c r="B238" s="600"/>
      <c r="C238" s="556"/>
      <c r="D238" s="629"/>
      <c r="E238" s="631"/>
      <c r="F238" s="631"/>
      <c r="G238" s="556"/>
      <c r="H238" s="556"/>
      <c r="I238" s="556"/>
      <c r="J238" s="556"/>
      <c r="K238" s="643"/>
      <c r="L238" s="636"/>
      <c r="M238" s="271" t="s">
        <v>164</v>
      </c>
      <c r="N238" s="252" t="s">
        <v>166</v>
      </c>
      <c r="O238" s="252" t="s">
        <v>340</v>
      </c>
      <c r="P238" s="272" t="s">
        <v>167</v>
      </c>
      <c r="Q238" s="273" t="s">
        <v>18</v>
      </c>
      <c r="R238" s="273" t="s">
        <v>19</v>
      </c>
      <c r="S238" s="556"/>
      <c r="U238" s="81"/>
      <c r="V238" s="81"/>
    </row>
    <row r="239" spans="1:19" s="506" customFormat="1" ht="13.5" customHeight="1">
      <c r="A239" s="585" t="s">
        <v>644</v>
      </c>
      <c r="B239" s="588" t="s">
        <v>387</v>
      </c>
      <c r="C239" s="517" t="s">
        <v>400</v>
      </c>
      <c r="D239" s="591">
        <v>41985</v>
      </c>
      <c r="E239" s="500" t="s">
        <v>740</v>
      </c>
      <c r="F239" s="501" t="s">
        <v>741</v>
      </c>
      <c r="G239" s="501" t="s">
        <v>742</v>
      </c>
      <c r="H239" s="501" t="s">
        <v>743</v>
      </c>
      <c r="I239" s="502" t="s">
        <v>744</v>
      </c>
      <c r="J239" s="503" t="s">
        <v>633</v>
      </c>
      <c r="K239" s="453" t="s">
        <v>331</v>
      </c>
      <c r="L239" s="441">
        <v>0.24</v>
      </c>
      <c r="M239" s="504" t="s">
        <v>188</v>
      </c>
      <c r="N239" s="504" t="s">
        <v>188</v>
      </c>
      <c r="O239" s="504" t="s">
        <v>188</v>
      </c>
      <c r="P239" s="431">
        <f>SUM(Q239:R239)</f>
        <v>2.8</v>
      </c>
      <c r="Q239" s="405">
        <v>0.7</v>
      </c>
      <c r="R239" s="406">
        <v>2.1</v>
      </c>
      <c r="S239" s="505" t="s">
        <v>188</v>
      </c>
    </row>
    <row r="240" spans="1:19" s="76" customFormat="1" ht="13.5" customHeight="1">
      <c r="A240" s="586"/>
      <c r="B240" s="589"/>
      <c r="C240" s="517" t="s">
        <v>400</v>
      </c>
      <c r="D240" s="592"/>
      <c r="E240" s="237" t="s">
        <v>307</v>
      </c>
      <c r="F240" s="235" t="s">
        <v>308</v>
      </c>
      <c r="G240" s="235" t="s">
        <v>309</v>
      </c>
      <c r="H240" s="235" t="s">
        <v>310</v>
      </c>
      <c r="I240" s="236" t="s">
        <v>311</v>
      </c>
      <c r="J240" s="235" t="s">
        <v>222</v>
      </c>
      <c r="K240" s="363">
        <v>37</v>
      </c>
      <c r="L240" s="316">
        <v>3.135</v>
      </c>
      <c r="M240" s="317" t="s">
        <v>335</v>
      </c>
      <c r="N240" s="85" t="s">
        <v>188</v>
      </c>
      <c r="O240" s="85" t="s">
        <v>188</v>
      </c>
      <c r="P240" s="422">
        <f>SUM(Q240:R240)</f>
        <v>1.8599999999999999</v>
      </c>
      <c r="Q240" s="400">
        <v>0.46</v>
      </c>
      <c r="R240" s="401">
        <v>1.4</v>
      </c>
      <c r="S240" s="493">
        <v>3.7</v>
      </c>
    </row>
    <row r="241" spans="1:19" s="76" customFormat="1" ht="13.5" customHeight="1">
      <c r="A241" s="586"/>
      <c r="B241" s="589"/>
      <c r="C241" s="517" t="s">
        <v>400</v>
      </c>
      <c r="D241" s="592"/>
      <c r="E241" s="237" t="s">
        <v>292</v>
      </c>
      <c r="F241" s="235" t="s">
        <v>303</v>
      </c>
      <c r="G241" s="235" t="s">
        <v>304</v>
      </c>
      <c r="H241" s="235" t="s">
        <v>305</v>
      </c>
      <c r="I241" s="236" t="s">
        <v>306</v>
      </c>
      <c r="J241" s="235" t="s">
        <v>384</v>
      </c>
      <c r="K241" s="363">
        <v>6</v>
      </c>
      <c r="L241" s="323">
        <f>916.3/1000</f>
        <v>0.9163</v>
      </c>
      <c r="M241" s="317" t="s">
        <v>335</v>
      </c>
      <c r="N241" s="85" t="s">
        <v>188</v>
      </c>
      <c r="O241" s="355" t="s">
        <v>346</v>
      </c>
      <c r="P241" s="402" t="s">
        <v>186</v>
      </c>
      <c r="Q241" s="402" t="s">
        <v>648</v>
      </c>
      <c r="R241" s="403" t="s">
        <v>649</v>
      </c>
      <c r="S241" s="472" t="s">
        <v>405</v>
      </c>
    </row>
    <row r="242" spans="1:19" s="76" customFormat="1" ht="13.5" customHeight="1">
      <c r="A242" s="586"/>
      <c r="B242" s="589"/>
      <c r="C242" s="517" t="s">
        <v>408</v>
      </c>
      <c r="D242" s="592"/>
      <c r="E242" s="329" t="s">
        <v>226</v>
      </c>
      <c r="F242" s="307" t="s">
        <v>230</v>
      </c>
      <c r="G242" s="364" t="s">
        <v>622</v>
      </c>
      <c r="H242" s="307" t="s">
        <v>622</v>
      </c>
      <c r="I242" s="330" t="s">
        <v>627</v>
      </c>
      <c r="J242" s="318" t="s">
        <v>628</v>
      </c>
      <c r="K242" s="315">
        <v>5</v>
      </c>
      <c r="L242" s="316">
        <v>2.018</v>
      </c>
      <c r="M242" s="317" t="s">
        <v>636</v>
      </c>
      <c r="N242" s="355" t="s">
        <v>631</v>
      </c>
      <c r="O242" s="374" t="s">
        <v>775</v>
      </c>
      <c r="P242" s="251">
        <f aca="true" t="shared" si="9" ref="P242:P248">SUM(Q242:R242)</f>
        <v>5.3</v>
      </c>
      <c r="Q242" s="248">
        <v>1.4</v>
      </c>
      <c r="R242" s="248">
        <v>3.9</v>
      </c>
      <c r="S242" s="494">
        <v>0.044</v>
      </c>
    </row>
    <row r="243" spans="1:19" s="76" customFormat="1" ht="13.5" customHeight="1">
      <c r="A243" s="586"/>
      <c r="B243" s="589"/>
      <c r="C243" s="517" t="s">
        <v>408</v>
      </c>
      <c r="D243" s="592"/>
      <c r="E243" s="329" t="s">
        <v>226</v>
      </c>
      <c r="F243" s="307" t="s">
        <v>230</v>
      </c>
      <c r="G243" s="307" t="s">
        <v>622</v>
      </c>
      <c r="H243" s="307" t="s">
        <v>622</v>
      </c>
      <c r="I243" s="330" t="s">
        <v>629</v>
      </c>
      <c r="J243" s="318" t="s">
        <v>630</v>
      </c>
      <c r="K243" s="315">
        <v>4</v>
      </c>
      <c r="L243" s="316">
        <v>2.554</v>
      </c>
      <c r="M243" s="317" t="s">
        <v>636</v>
      </c>
      <c r="N243" s="355" t="s">
        <v>632</v>
      </c>
      <c r="O243" s="374" t="s">
        <v>775</v>
      </c>
      <c r="P243" s="514">
        <f t="shared" si="9"/>
        <v>3.76</v>
      </c>
      <c r="Q243" s="250">
        <v>0.96</v>
      </c>
      <c r="R243" s="248">
        <v>2.8</v>
      </c>
      <c r="S243" s="494">
        <v>0.024</v>
      </c>
    </row>
    <row r="244" spans="1:19" s="76" customFormat="1" ht="13.5" customHeight="1">
      <c r="A244" s="586"/>
      <c r="B244" s="589"/>
      <c r="C244" s="517" t="s">
        <v>408</v>
      </c>
      <c r="D244" s="592"/>
      <c r="E244" s="329" t="s">
        <v>226</v>
      </c>
      <c r="F244" s="307" t="s">
        <v>230</v>
      </c>
      <c r="G244" s="307" t="s">
        <v>622</v>
      </c>
      <c r="H244" s="307" t="s">
        <v>623</v>
      </c>
      <c r="I244" s="330" t="s">
        <v>624</v>
      </c>
      <c r="J244" s="237" t="s">
        <v>214</v>
      </c>
      <c r="K244" s="363">
        <v>3</v>
      </c>
      <c r="L244" s="316">
        <v>2.521</v>
      </c>
      <c r="M244" s="317" t="s">
        <v>640</v>
      </c>
      <c r="N244" s="355" t="s">
        <v>354</v>
      </c>
      <c r="O244" s="374" t="s">
        <v>775</v>
      </c>
      <c r="P244" s="422">
        <f>SUM(Q244:R244)</f>
        <v>1.55</v>
      </c>
      <c r="Q244" s="247">
        <v>0.45</v>
      </c>
      <c r="R244" s="248">
        <v>1.1</v>
      </c>
      <c r="S244" s="472" t="s">
        <v>738</v>
      </c>
    </row>
    <row r="245" spans="1:19" s="76" customFormat="1" ht="13.5" customHeight="1">
      <c r="A245" s="586"/>
      <c r="B245" s="589"/>
      <c r="C245" s="517" t="s">
        <v>408</v>
      </c>
      <c r="D245" s="592"/>
      <c r="E245" s="329" t="s">
        <v>226</v>
      </c>
      <c r="F245" s="307" t="s">
        <v>230</v>
      </c>
      <c r="G245" s="307" t="s">
        <v>599</v>
      </c>
      <c r="H245" s="307" t="s">
        <v>599</v>
      </c>
      <c r="I245" s="330" t="s">
        <v>642</v>
      </c>
      <c r="J245" s="318" t="s">
        <v>643</v>
      </c>
      <c r="K245" s="315">
        <v>1</v>
      </c>
      <c r="L245" s="316">
        <v>2.038</v>
      </c>
      <c r="M245" s="317" t="s">
        <v>641</v>
      </c>
      <c r="N245" s="355" t="s">
        <v>337</v>
      </c>
      <c r="O245" s="374" t="s">
        <v>775</v>
      </c>
      <c r="P245" s="251">
        <f t="shared" si="9"/>
        <v>18.1</v>
      </c>
      <c r="Q245" s="248">
        <v>4.1</v>
      </c>
      <c r="R245" s="249">
        <v>14</v>
      </c>
      <c r="S245" s="495" t="s">
        <v>188</v>
      </c>
    </row>
    <row r="246" spans="1:19" s="76" customFormat="1" ht="13.5" customHeight="1">
      <c r="A246" s="586"/>
      <c r="B246" s="589"/>
      <c r="C246" s="517" t="s">
        <v>408</v>
      </c>
      <c r="D246" s="592"/>
      <c r="E246" s="329" t="s">
        <v>226</v>
      </c>
      <c r="F246" s="307" t="s">
        <v>230</v>
      </c>
      <c r="G246" s="307" t="s">
        <v>599</v>
      </c>
      <c r="H246" s="307" t="s">
        <v>625</v>
      </c>
      <c r="I246" s="330" t="s">
        <v>626</v>
      </c>
      <c r="J246" s="237" t="s">
        <v>220</v>
      </c>
      <c r="K246" s="363">
        <v>1</v>
      </c>
      <c r="L246" s="323">
        <v>0.9</v>
      </c>
      <c r="M246" s="317" t="s">
        <v>641</v>
      </c>
      <c r="N246" s="355" t="s">
        <v>385</v>
      </c>
      <c r="O246" s="374" t="s">
        <v>775</v>
      </c>
      <c r="P246" s="514">
        <f t="shared" si="9"/>
        <v>1.87</v>
      </c>
      <c r="Q246" s="247">
        <v>0.37</v>
      </c>
      <c r="R246" s="248">
        <v>1.5</v>
      </c>
      <c r="S246" s="85" t="s">
        <v>405</v>
      </c>
    </row>
    <row r="247" spans="1:19" s="76" customFormat="1" ht="13.5" customHeight="1">
      <c r="A247" s="586"/>
      <c r="B247" s="589"/>
      <c r="C247" s="517" t="s">
        <v>408</v>
      </c>
      <c r="D247" s="592"/>
      <c r="E247" s="234" t="s">
        <v>226</v>
      </c>
      <c r="F247" s="235" t="s">
        <v>312</v>
      </c>
      <c r="G247" s="235" t="s">
        <v>313</v>
      </c>
      <c r="H247" s="235" t="s">
        <v>313</v>
      </c>
      <c r="I247" s="236" t="s">
        <v>314</v>
      </c>
      <c r="J247" s="237" t="s">
        <v>223</v>
      </c>
      <c r="K247" s="363">
        <v>3</v>
      </c>
      <c r="L247" s="316">
        <v>2.09</v>
      </c>
      <c r="M247" s="317" t="s">
        <v>329</v>
      </c>
      <c r="N247" s="355" t="s">
        <v>364</v>
      </c>
      <c r="O247" s="374" t="s">
        <v>775</v>
      </c>
      <c r="P247" s="399">
        <f t="shared" si="9"/>
        <v>21</v>
      </c>
      <c r="Q247" s="248">
        <v>5</v>
      </c>
      <c r="R247" s="249">
        <v>16</v>
      </c>
      <c r="S247" s="496">
        <v>0.16</v>
      </c>
    </row>
    <row r="248" spans="1:19" s="76" customFormat="1" ht="13.5" customHeight="1">
      <c r="A248" s="587"/>
      <c r="B248" s="590"/>
      <c r="C248" s="517" t="s">
        <v>408</v>
      </c>
      <c r="D248" s="593"/>
      <c r="E248" s="234" t="s">
        <v>226</v>
      </c>
      <c r="F248" s="237" t="s">
        <v>312</v>
      </c>
      <c r="G248" s="235" t="s">
        <v>324</v>
      </c>
      <c r="H248" s="235" t="s">
        <v>325</v>
      </c>
      <c r="I248" s="236" t="s">
        <v>326</v>
      </c>
      <c r="J248" s="244" t="s">
        <v>221</v>
      </c>
      <c r="K248" s="245">
        <v>3</v>
      </c>
      <c r="L248" s="347">
        <v>2.379</v>
      </c>
      <c r="M248" s="317" t="s">
        <v>329</v>
      </c>
      <c r="N248" s="355" t="s">
        <v>385</v>
      </c>
      <c r="O248" s="374" t="s">
        <v>775</v>
      </c>
      <c r="P248" s="422">
        <f t="shared" si="9"/>
        <v>2.13</v>
      </c>
      <c r="Q248" s="250">
        <v>0.43</v>
      </c>
      <c r="R248" s="248">
        <v>1.7</v>
      </c>
      <c r="S248" s="86" t="s">
        <v>739</v>
      </c>
    </row>
    <row r="249" spans="1:23" s="120" customFormat="1" ht="17.25" customHeight="1">
      <c r="A249" s="186"/>
      <c r="B249" s="368" t="s">
        <v>390</v>
      </c>
      <c r="C249" s="146"/>
      <c r="D249" s="188"/>
      <c r="E249" s="188"/>
      <c r="F249" s="189"/>
      <c r="G249" s="189"/>
      <c r="H249" s="189"/>
      <c r="I249" s="150"/>
      <c r="J249" s="146"/>
      <c r="K249" s="147"/>
      <c r="L249" s="148"/>
      <c r="M249" s="149"/>
      <c r="N249" s="150"/>
      <c r="O249" s="149"/>
      <c r="P249" s="146"/>
      <c r="Q249" s="146"/>
      <c r="R249" s="146"/>
      <c r="S249" s="146"/>
      <c r="T249" s="76"/>
      <c r="U249" s="76"/>
      <c r="V249" s="76"/>
      <c r="W249" s="76"/>
    </row>
    <row r="250" spans="1:23" s="120" customFormat="1" ht="17.25" customHeight="1">
      <c r="A250" s="186"/>
      <c r="B250" s="368" t="s">
        <v>391</v>
      </c>
      <c r="C250" s="146"/>
      <c r="D250" s="188"/>
      <c r="E250" s="188"/>
      <c r="F250" s="189"/>
      <c r="G250" s="189"/>
      <c r="H250" s="189"/>
      <c r="I250" s="150"/>
      <c r="J250" s="146"/>
      <c r="K250" s="147"/>
      <c r="L250" s="148"/>
      <c r="M250" s="149"/>
      <c r="N250" s="150"/>
      <c r="O250" s="149"/>
      <c r="P250" s="146"/>
      <c r="Q250" s="146"/>
      <c r="R250" s="146"/>
      <c r="S250" s="146"/>
      <c r="T250" s="76"/>
      <c r="U250" s="76"/>
      <c r="V250" s="76"/>
      <c r="W250" s="76"/>
    </row>
    <row r="251" spans="1:23" s="120" customFormat="1" ht="17.25" customHeight="1">
      <c r="A251" s="186"/>
      <c r="B251" s="368" t="s">
        <v>402</v>
      </c>
      <c r="C251" s="146"/>
      <c r="D251" s="188"/>
      <c r="E251" s="188"/>
      <c r="F251" s="189"/>
      <c r="G251" s="189"/>
      <c r="H251" s="189"/>
      <c r="I251" s="150"/>
      <c r="J251" s="146"/>
      <c r="K251" s="147"/>
      <c r="L251" s="148"/>
      <c r="M251" s="149"/>
      <c r="N251" s="151"/>
      <c r="O251" s="152"/>
      <c r="P251" s="146"/>
      <c r="Q251" s="146"/>
      <c r="R251" s="146"/>
      <c r="S251" s="146"/>
      <c r="T251" s="76"/>
      <c r="U251" s="76"/>
      <c r="V251" s="76"/>
      <c r="W251" s="76"/>
    </row>
    <row r="252" spans="1:23" s="120" customFormat="1" ht="17.25" customHeight="1">
      <c r="A252" s="186"/>
      <c r="B252" s="368" t="s">
        <v>392</v>
      </c>
      <c r="C252" s="146"/>
      <c r="D252" s="188"/>
      <c r="E252" s="188"/>
      <c r="F252" s="189"/>
      <c r="G252" s="189"/>
      <c r="H252" s="189"/>
      <c r="I252" s="150"/>
      <c r="J252" s="146"/>
      <c r="K252" s="147"/>
      <c r="L252" s="148"/>
      <c r="M252" s="149"/>
      <c r="N252" s="151"/>
      <c r="O252" s="149"/>
      <c r="P252" s="146"/>
      <c r="Q252" s="146"/>
      <c r="R252" s="146"/>
      <c r="S252" s="146"/>
      <c r="T252" s="76"/>
      <c r="U252" s="76"/>
      <c r="V252" s="76"/>
      <c r="W252" s="76"/>
    </row>
    <row r="253" spans="1:23" s="120" customFormat="1" ht="17.25" customHeight="1">
      <c r="A253" s="186"/>
      <c r="B253" s="368" t="s">
        <v>393</v>
      </c>
      <c r="C253" s="146"/>
      <c r="D253" s="188"/>
      <c r="E253" s="188"/>
      <c r="F253" s="189"/>
      <c r="G253" s="189"/>
      <c r="H253" s="189"/>
      <c r="I253" s="150"/>
      <c r="J253" s="146"/>
      <c r="K253" s="147"/>
      <c r="L253" s="148"/>
      <c r="M253" s="149"/>
      <c r="N253" s="151"/>
      <c r="O253" s="149"/>
      <c r="P253" s="146"/>
      <c r="Q253" s="146"/>
      <c r="R253" s="146"/>
      <c r="S253" s="146"/>
      <c r="T253" s="76"/>
      <c r="U253" s="76"/>
      <c r="V253" s="76"/>
      <c r="W253" s="76"/>
    </row>
    <row r="254" spans="1:23" s="120" customFormat="1" ht="17.25" customHeight="1">
      <c r="A254" s="186"/>
      <c r="B254" s="368" t="s">
        <v>394</v>
      </c>
      <c r="C254" s="146"/>
      <c r="D254" s="188"/>
      <c r="E254" s="188"/>
      <c r="F254" s="189"/>
      <c r="G254" s="189"/>
      <c r="H254" s="189"/>
      <c r="I254" s="150"/>
      <c r="J254" s="146"/>
      <c r="K254" s="147"/>
      <c r="L254" s="148"/>
      <c r="M254" s="149"/>
      <c r="N254" s="150"/>
      <c r="O254" s="149"/>
      <c r="P254" s="146"/>
      <c r="Q254" s="146"/>
      <c r="R254" s="146"/>
      <c r="S254" s="146"/>
      <c r="T254" s="76"/>
      <c r="U254" s="76"/>
      <c r="V254" s="76"/>
      <c r="W254" s="76"/>
    </row>
    <row r="255" spans="1:23" s="120" customFormat="1" ht="17.25" customHeight="1">
      <c r="A255" s="186"/>
      <c r="B255" s="368" t="s">
        <v>395</v>
      </c>
      <c r="C255" s="146"/>
      <c r="D255" s="188"/>
      <c r="E255" s="188"/>
      <c r="F255" s="189"/>
      <c r="G255" s="189"/>
      <c r="H255" s="189"/>
      <c r="I255" s="150"/>
      <c r="J255" s="146"/>
      <c r="K255" s="147"/>
      <c r="L255" s="148"/>
      <c r="M255" s="149"/>
      <c r="N255" s="150"/>
      <c r="O255" s="149"/>
      <c r="P255" s="146"/>
      <c r="Q255" s="146"/>
      <c r="R255" s="146"/>
      <c r="S255" s="146"/>
      <c r="T255" s="76"/>
      <c r="U255" s="76"/>
      <c r="V255" s="76"/>
      <c r="W255" s="76"/>
    </row>
    <row r="256" spans="1:23" s="120" customFormat="1" ht="17.25" customHeight="1">
      <c r="A256" s="186"/>
      <c r="B256" s="368" t="s">
        <v>396</v>
      </c>
      <c r="C256" s="146"/>
      <c r="D256" s="188"/>
      <c r="E256" s="188"/>
      <c r="F256" s="189"/>
      <c r="G256" s="189"/>
      <c r="H256" s="189"/>
      <c r="I256" s="150"/>
      <c r="J256" s="146"/>
      <c r="K256" s="147"/>
      <c r="L256" s="148"/>
      <c r="M256" s="149"/>
      <c r="N256" s="150"/>
      <c r="O256" s="149"/>
      <c r="P256" s="146"/>
      <c r="Q256" s="146"/>
      <c r="R256" s="146"/>
      <c r="S256" s="146"/>
      <c r="T256" s="76"/>
      <c r="U256" s="76"/>
      <c r="V256" s="76"/>
      <c r="W256" s="76"/>
    </row>
    <row r="257" spans="1:23" s="120" customFormat="1" ht="17.25" customHeight="1">
      <c r="A257" s="186"/>
      <c r="B257" s="368" t="s">
        <v>397</v>
      </c>
      <c r="C257" s="146"/>
      <c r="D257" s="188"/>
      <c r="E257" s="188"/>
      <c r="F257" s="189"/>
      <c r="G257" s="189"/>
      <c r="H257" s="189"/>
      <c r="I257" s="150"/>
      <c r="J257" s="146"/>
      <c r="K257" s="147"/>
      <c r="L257" s="148"/>
      <c r="M257" s="149"/>
      <c r="N257" s="150"/>
      <c r="O257" s="149"/>
      <c r="P257" s="153"/>
      <c r="Q257" s="154"/>
      <c r="R257" s="155"/>
      <c r="S257" s="156"/>
      <c r="T257" s="121"/>
      <c r="U257" s="122"/>
      <c r="V257" s="121"/>
      <c r="W257" s="76"/>
    </row>
    <row r="262" spans="1:10" s="76" customFormat="1" ht="13.5">
      <c r="A262" s="9"/>
      <c r="B262" s="9"/>
      <c r="C262" s="9"/>
      <c r="D262" s="68"/>
      <c r="J262" s="119"/>
    </row>
    <row r="263" spans="1:19" s="76" customFormat="1" ht="13.5">
      <c r="A263" s="66"/>
      <c r="B263" s="67"/>
      <c r="C263" s="67"/>
      <c r="D263" s="68"/>
      <c r="E263" s="26"/>
      <c r="F263" s="26"/>
      <c r="G263" s="26"/>
      <c r="H263" s="26"/>
      <c r="I263" s="60"/>
      <c r="J263" s="26"/>
      <c r="K263" s="27"/>
      <c r="L263" s="51"/>
      <c r="M263" s="29"/>
      <c r="N263" s="70"/>
      <c r="O263" s="70"/>
      <c r="P263" s="27"/>
      <c r="Q263" s="30"/>
      <c r="R263" s="30"/>
      <c r="S263" s="61"/>
    </row>
    <row r="264" spans="1:19" s="76" customFormat="1" ht="13.5">
      <c r="A264" s="118"/>
      <c r="B264" s="75"/>
      <c r="C264" s="75"/>
      <c r="D264" s="75"/>
      <c r="E264" s="26"/>
      <c r="F264" s="26"/>
      <c r="G264" s="26"/>
      <c r="H264" s="26"/>
      <c r="I264" s="60"/>
      <c r="J264" s="26"/>
      <c r="K264" s="27"/>
      <c r="L264" s="51"/>
      <c r="M264" s="29"/>
      <c r="N264" s="70"/>
      <c r="O264" s="70"/>
      <c r="P264" s="27"/>
      <c r="Q264" s="30"/>
      <c r="R264" s="30"/>
      <c r="S264" s="74"/>
    </row>
    <row r="265" spans="1:19" s="76" customFormat="1" ht="13.5">
      <c r="A265" s="118"/>
      <c r="B265" s="75"/>
      <c r="C265" s="75"/>
      <c r="D265" s="75"/>
      <c r="E265" s="26"/>
      <c r="F265" s="26"/>
      <c r="G265" s="26"/>
      <c r="H265" s="26"/>
      <c r="I265" s="60"/>
      <c r="J265" s="26"/>
      <c r="K265" s="27"/>
      <c r="L265" s="51"/>
      <c r="M265" s="29"/>
      <c r="N265" s="70"/>
      <c r="O265" s="70"/>
      <c r="P265" s="27"/>
      <c r="Q265" s="73"/>
      <c r="R265" s="30"/>
      <c r="S265" s="69"/>
    </row>
    <row r="266" spans="1:19" s="76" customFormat="1" ht="13.5">
      <c r="A266" s="118"/>
      <c r="B266" s="75"/>
      <c r="C266" s="75"/>
      <c r="D266" s="75"/>
      <c r="E266" s="26"/>
      <c r="F266" s="26"/>
      <c r="G266" s="26"/>
      <c r="H266" s="26"/>
      <c r="I266" s="60"/>
      <c r="J266" s="26"/>
      <c r="K266" s="27"/>
      <c r="L266" s="51"/>
      <c r="M266" s="29"/>
      <c r="N266" s="70"/>
      <c r="O266" s="70"/>
      <c r="P266" s="27"/>
      <c r="Q266" s="30"/>
      <c r="R266" s="30"/>
      <c r="S266" s="69"/>
    </row>
    <row r="267" spans="1:19" s="76" customFormat="1" ht="13.5">
      <c r="A267" s="118"/>
      <c r="B267" s="75"/>
      <c r="C267" s="75"/>
      <c r="D267" s="75"/>
      <c r="E267" s="26"/>
      <c r="F267" s="26"/>
      <c r="G267" s="26"/>
      <c r="H267" s="26"/>
      <c r="I267" s="60"/>
      <c r="J267" s="26"/>
      <c r="K267" s="27"/>
      <c r="L267" s="72"/>
      <c r="M267" s="29"/>
      <c r="N267" s="67"/>
      <c r="O267" s="67"/>
      <c r="P267" s="51"/>
      <c r="Q267" s="51"/>
      <c r="R267" s="51"/>
      <c r="S267" s="69"/>
    </row>
    <row r="268" spans="1:19" s="76" customFormat="1" ht="13.5">
      <c r="A268" s="118"/>
      <c r="B268" s="75"/>
      <c r="C268" s="75"/>
      <c r="D268" s="75"/>
      <c r="E268" s="26"/>
      <c r="F268" s="26"/>
      <c r="G268" s="26"/>
      <c r="H268" s="26"/>
      <c r="I268" s="60"/>
      <c r="J268" s="26"/>
      <c r="K268" s="27"/>
      <c r="L268" s="51"/>
      <c r="M268" s="29"/>
      <c r="N268" s="70"/>
      <c r="O268" s="70"/>
      <c r="P268" s="27"/>
      <c r="Q268" s="30"/>
      <c r="R268" s="30"/>
      <c r="S268" s="74"/>
    </row>
    <row r="269" spans="1:19" s="76" customFormat="1" ht="13.5">
      <c r="A269" s="118"/>
      <c r="B269" s="75"/>
      <c r="C269" s="75"/>
      <c r="D269" s="75"/>
      <c r="E269" s="78"/>
      <c r="F269" s="78"/>
      <c r="G269" s="78"/>
      <c r="H269" s="78"/>
      <c r="I269" s="80"/>
      <c r="J269" s="26"/>
      <c r="K269" s="71"/>
      <c r="L269" s="51"/>
      <c r="M269" s="29"/>
      <c r="N269" s="67"/>
      <c r="O269" s="67"/>
      <c r="P269" s="51"/>
      <c r="Q269" s="73"/>
      <c r="R269" s="51"/>
      <c r="S269" s="69"/>
    </row>
    <row r="270" spans="1:19" s="76" customFormat="1" ht="13.5">
      <c r="A270" s="118"/>
      <c r="B270" s="75"/>
      <c r="C270" s="75"/>
      <c r="D270" s="75"/>
      <c r="E270" s="26"/>
      <c r="F270" s="26"/>
      <c r="G270" s="26"/>
      <c r="H270" s="26"/>
      <c r="I270" s="60"/>
      <c r="J270" s="26"/>
      <c r="K270" s="27"/>
      <c r="L270" s="51"/>
      <c r="M270" s="29"/>
      <c r="N270" s="67"/>
      <c r="O270" s="67"/>
      <c r="P270" s="27"/>
      <c r="Q270" s="73"/>
      <c r="R270" s="51"/>
      <c r="S270" s="69"/>
    </row>
    <row r="271" spans="1:19" s="76" customFormat="1" ht="13.5">
      <c r="A271" s="118"/>
      <c r="B271" s="67"/>
      <c r="C271" s="67"/>
      <c r="D271" s="68"/>
      <c r="E271" s="26"/>
      <c r="F271" s="26"/>
      <c r="G271" s="26"/>
      <c r="H271" s="26"/>
      <c r="I271" s="60"/>
      <c r="J271" s="26"/>
      <c r="K271" s="71"/>
      <c r="L271" s="28"/>
      <c r="M271" s="29"/>
      <c r="N271" s="67"/>
      <c r="O271" s="67"/>
      <c r="P271" s="27"/>
      <c r="Q271" s="73"/>
      <c r="R271" s="73"/>
      <c r="S271" s="69"/>
    </row>
    <row r="272" spans="1:19" s="76" customFormat="1" ht="13.5">
      <c r="A272" s="118"/>
      <c r="B272" s="67"/>
      <c r="C272" s="67"/>
      <c r="D272" s="68"/>
      <c r="E272" s="26"/>
      <c r="F272" s="26"/>
      <c r="G272" s="26"/>
      <c r="H272" s="26"/>
      <c r="I272" s="60"/>
      <c r="J272" s="26"/>
      <c r="K272" s="27"/>
      <c r="L272" s="51"/>
      <c r="M272" s="29"/>
      <c r="N272" s="77"/>
      <c r="O272" s="77"/>
      <c r="P272" s="51"/>
      <c r="Q272" s="73"/>
      <c r="R272" s="73"/>
      <c r="S272" s="69"/>
    </row>
    <row r="273" spans="1:21" s="76" customFormat="1" ht="13.5" customHeight="1">
      <c r="A273" s="118"/>
      <c r="B273" s="75"/>
      <c r="C273" s="75"/>
      <c r="D273" s="75"/>
      <c r="E273" s="26"/>
      <c r="F273" s="26"/>
      <c r="G273" s="26"/>
      <c r="H273" s="26"/>
      <c r="I273" s="60"/>
      <c r="J273" s="26"/>
      <c r="K273" s="27"/>
      <c r="L273" s="35"/>
      <c r="M273" s="36"/>
      <c r="N273" s="37"/>
      <c r="O273" s="37"/>
      <c r="P273" s="35"/>
      <c r="Q273" s="33"/>
      <c r="R273" s="33"/>
      <c r="S273" s="33"/>
      <c r="T273"/>
      <c r="U273"/>
    </row>
    <row r="274" spans="1:21" s="76" customFormat="1" ht="13.5">
      <c r="A274" s="118"/>
      <c r="B274" s="75"/>
      <c r="C274" s="75"/>
      <c r="D274" s="75"/>
      <c r="E274" s="26"/>
      <c r="F274" s="26"/>
      <c r="G274" s="26"/>
      <c r="H274" s="26"/>
      <c r="I274" s="60"/>
      <c r="J274" s="26"/>
      <c r="K274" s="79"/>
      <c r="L274" s="35"/>
      <c r="M274" s="36"/>
      <c r="N274" s="37"/>
      <c r="O274" s="37"/>
      <c r="P274" s="35"/>
      <c r="Q274" s="33"/>
      <c r="R274" s="33"/>
      <c r="S274" s="33"/>
      <c r="T274"/>
      <c r="U274"/>
    </row>
    <row r="275" ht="13.5">
      <c r="B275" s="38"/>
    </row>
    <row r="276" ht="13.5">
      <c r="B276" s="38"/>
    </row>
  </sheetData>
  <sheetProtection/>
  <mergeCells count="280">
    <mergeCell ref="Q72:Q76"/>
    <mergeCell ref="R72:R76"/>
    <mergeCell ref="S72:S76"/>
    <mergeCell ref="K24:K29"/>
    <mergeCell ref="L24:L29"/>
    <mergeCell ref="M24:M29"/>
    <mergeCell ref="N24:N29"/>
    <mergeCell ref="O24:O29"/>
    <mergeCell ref="S24:S29"/>
    <mergeCell ref="Q24:Q29"/>
    <mergeCell ref="P24:P29"/>
    <mergeCell ref="S104:S110"/>
    <mergeCell ref="K160:K168"/>
    <mergeCell ref="L160:L168"/>
    <mergeCell ref="M160:M168"/>
    <mergeCell ref="N160:N168"/>
    <mergeCell ref="O160:O168"/>
    <mergeCell ref="P160:P168"/>
    <mergeCell ref="P72:P76"/>
    <mergeCell ref="R160:R168"/>
    <mergeCell ref="S160:S168"/>
    <mergeCell ref="K5:K9"/>
    <mergeCell ref="S98:S101"/>
    <mergeCell ref="K104:K110"/>
    <mergeCell ref="L104:L110"/>
    <mergeCell ref="M104:M110"/>
    <mergeCell ref="N104:N110"/>
    <mergeCell ref="O104:O110"/>
    <mergeCell ref="R24:R29"/>
    <mergeCell ref="Q104:Q110"/>
    <mergeCell ref="R104:R110"/>
    <mergeCell ref="F47:F48"/>
    <mergeCell ref="B159:B171"/>
    <mergeCell ref="A1:B2"/>
    <mergeCell ref="D1:D2"/>
    <mergeCell ref="E1:E2"/>
    <mergeCell ref="B19:B36"/>
    <mergeCell ref="C1:C2"/>
    <mergeCell ref="Q160:Q168"/>
    <mergeCell ref="C47:C48"/>
    <mergeCell ref="A47:B48"/>
    <mergeCell ref="A119:B120"/>
    <mergeCell ref="M1:O1"/>
    <mergeCell ref="H47:H48"/>
    <mergeCell ref="F1:F2"/>
    <mergeCell ref="G47:G48"/>
    <mergeCell ref="K1:K2"/>
    <mergeCell ref="L1:L2"/>
    <mergeCell ref="J1:J2"/>
    <mergeCell ref="G1:G2"/>
    <mergeCell ref="I1:I2"/>
    <mergeCell ref="H1:H2"/>
    <mergeCell ref="H95:H96"/>
    <mergeCell ref="H119:H120"/>
    <mergeCell ref="L47:L48"/>
    <mergeCell ref="L95:L96"/>
    <mergeCell ref="I119:I120"/>
    <mergeCell ref="G119:G120"/>
    <mergeCell ref="L5:L9"/>
    <mergeCell ref="J173:J174"/>
    <mergeCell ref="J119:J120"/>
    <mergeCell ref="J95:J96"/>
    <mergeCell ref="J154:J155"/>
    <mergeCell ref="K47:K48"/>
    <mergeCell ref="L119:L120"/>
    <mergeCell ref="K95:K96"/>
    <mergeCell ref="K154:K155"/>
    <mergeCell ref="S1:S2"/>
    <mergeCell ref="P47:R47"/>
    <mergeCell ref="S47:S48"/>
    <mergeCell ref="P1:R1"/>
    <mergeCell ref="M47:O47"/>
    <mergeCell ref="I173:I174"/>
    <mergeCell ref="I47:I48"/>
    <mergeCell ref="I95:I96"/>
    <mergeCell ref="J47:J48"/>
    <mergeCell ref="J66:J67"/>
    <mergeCell ref="K123:K124"/>
    <mergeCell ref="L123:L124"/>
    <mergeCell ref="K119:K120"/>
    <mergeCell ref="R98:R101"/>
    <mergeCell ref="K72:K76"/>
    <mergeCell ref="L72:L76"/>
    <mergeCell ref="M72:M76"/>
    <mergeCell ref="N72:N76"/>
    <mergeCell ref="O72:O76"/>
    <mergeCell ref="P95:R95"/>
    <mergeCell ref="M119:O119"/>
    <mergeCell ref="P104:P110"/>
    <mergeCell ref="A66:B67"/>
    <mergeCell ref="A49:A64"/>
    <mergeCell ref="B49:B64"/>
    <mergeCell ref="L66:L67"/>
    <mergeCell ref="K66:K67"/>
    <mergeCell ref="D49:D64"/>
    <mergeCell ref="C49:C64"/>
    <mergeCell ref="I66:I67"/>
    <mergeCell ref="C119:C120"/>
    <mergeCell ref="F154:F155"/>
    <mergeCell ref="D159:D171"/>
    <mergeCell ref="D199:D203"/>
    <mergeCell ref="F196:F197"/>
    <mergeCell ref="C66:C67"/>
    <mergeCell ref="C97:C117"/>
    <mergeCell ref="E119:E120"/>
    <mergeCell ref="C68:C84"/>
    <mergeCell ref="E95:E96"/>
    <mergeCell ref="F215:F216"/>
    <mergeCell ref="G215:G216"/>
    <mergeCell ref="F173:F174"/>
    <mergeCell ref="E173:E174"/>
    <mergeCell ref="D196:D197"/>
    <mergeCell ref="E196:E197"/>
    <mergeCell ref="C173:C174"/>
    <mergeCell ref="F237:F238"/>
    <mergeCell ref="E221:E222"/>
    <mergeCell ref="F221:F222"/>
    <mergeCell ref="G237:G238"/>
    <mergeCell ref="D221:D222"/>
    <mergeCell ref="D175:D185"/>
    <mergeCell ref="D215:D216"/>
    <mergeCell ref="E215:E216"/>
    <mergeCell ref="L215:L216"/>
    <mergeCell ref="L221:L222"/>
    <mergeCell ref="M215:O215"/>
    <mergeCell ref="M221:O221"/>
    <mergeCell ref="G196:G197"/>
    <mergeCell ref="C215:C216"/>
    <mergeCell ref="C196:C197"/>
    <mergeCell ref="H215:H216"/>
    <mergeCell ref="G173:G174"/>
    <mergeCell ref="G154:G155"/>
    <mergeCell ref="H154:H155"/>
    <mergeCell ref="H173:H174"/>
    <mergeCell ref="D154:D155"/>
    <mergeCell ref="K237:K238"/>
    <mergeCell ref="K173:K174"/>
    <mergeCell ref="I237:I238"/>
    <mergeCell ref="J237:J238"/>
    <mergeCell ref="D223:D235"/>
    <mergeCell ref="S237:S238"/>
    <mergeCell ref="K221:K222"/>
    <mergeCell ref="S221:S222"/>
    <mergeCell ref="M237:O237"/>
    <mergeCell ref="S215:S216"/>
    <mergeCell ref="P215:R215"/>
    <mergeCell ref="L237:L238"/>
    <mergeCell ref="K215:K216"/>
    <mergeCell ref="P237:R237"/>
    <mergeCell ref="P221:R221"/>
    <mergeCell ref="A156:A171"/>
    <mergeCell ref="A196:B197"/>
    <mergeCell ref="B156:B158"/>
    <mergeCell ref="P154:R154"/>
    <mergeCell ref="M154:O154"/>
    <mergeCell ref="L154:L155"/>
    <mergeCell ref="I154:I155"/>
    <mergeCell ref="A154:B155"/>
    <mergeCell ref="C154:C155"/>
    <mergeCell ref="E154:E155"/>
    <mergeCell ref="A223:A235"/>
    <mergeCell ref="A221:B222"/>
    <mergeCell ref="A173:B174"/>
    <mergeCell ref="A175:A185"/>
    <mergeCell ref="B223:B235"/>
    <mergeCell ref="B175:B185"/>
    <mergeCell ref="A215:B216"/>
    <mergeCell ref="B199:B204"/>
    <mergeCell ref="A198:A204"/>
    <mergeCell ref="A217:A219"/>
    <mergeCell ref="A95:B96"/>
    <mergeCell ref="C95:C96"/>
    <mergeCell ref="D119:D120"/>
    <mergeCell ref="C3:C18"/>
    <mergeCell ref="C19:C36"/>
    <mergeCell ref="D3:D18"/>
    <mergeCell ref="D19:D36"/>
    <mergeCell ref="D47:D48"/>
    <mergeCell ref="A3:A36"/>
    <mergeCell ref="B3:B18"/>
    <mergeCell ref="E47:E48"/>
    <mergeCell ref="D66:D67"/>
    <mergeCell ref="D95:D96"/>
    <mergeCell ref="D68:D84"/>
    <mergeCell ref="G221:G222"/>
    <mergeCell ref="C237:C238"/>
    <mergeCell ref="G66:G67"/>
    <mergeCell ref="F95:F96"/>
    <mergeCell ref="G95:G96"/>
    <mergeCell ref="F66:F67"/>
    <mergeCell ref="E66:E67"/>
    <mergeCell ref="H66:H67"/>
    <mergeCell ref="M95:O95"/>
    <mergeCell ref="P66:R66"/>
    <mergeCell ref="J215:J216"/>
    <mergeCell ref="K196:K197"/>
    <mergeCell ref="I215:I216"/>
    <mergeCell ref="H196:H197"/>
    <mergeCell ref="I196:I197"/>
    <mergeCell ref="F119:F120"/>
    <mergeCell ref="S66:S67"/>
    <mergeCell ref="M66:O66"/>
    <mergeCell ref="P196:R196"/>
    <mergeCell ref="S154:S155"/>
    <mergeCell ref="S196:S197"/>
    <mergeCell ref="P173:R173"/>
    <mergeCell ref="S119:S120"/>
    <mergeCell ref="S95:S96"/>
    <mergeCell ref="S173:S174"/>
    <mergeCell ref="P119:R119"/>
    <mergeCell ref="B217:B219"/>
    <mergeCell ref="C221:C222"/>
    <mergeCell ref="C217:C219"/>
    <mergeCell ref="M173:O173"/>
    <mergeCell ref="M196:O196"/>
    <mergeCell ref="L196:L197"/>
    <mergeCell ref="L173:L174"/>
    <mergeCell ref="D173:D174"/>
    <mergeCell ref="J196:J197"/>
    <mergeCell ref="D217:D219"/>
    <mergeCell ref="D237:D238"/>
    <mergeCell ref="H221:H222"/>
    <mergeCell ref="I221:I222"/>
    <mergeCell ref="J221:J222"/>
    <mergeCell ref="H237:H238"/>
    <mergeCell ref="E237:E238"/>
    <mergeCell ref="M5:M9"/>
    <mergeCell ref="N5:N9"/>
    <mergeCell ref="O5:O9"/>
    <mergeCell ref="P5:P9"/>
    <mergeCell ref="Q5:Q9"/>
    <mergeCell ref="R5:R9"/>
    <mergeCell ref="S5:S9"/>
    <mergeCell ref="K51:K58"/>
    <mergeCell ref="L51:L58"/>
    <mergeCell ref="M51:M58"/>
    <mergeCell ref="N51:N58"/>
    <mergeCell ref="O51:O58"/>
    <mergeCell ref="P51:P58"/>
    <mergeCell ref="Q51:Q58"/>
    <mergeCell ref="R51:R58"/>
    <mergeCell ref="S51:S58"/>
    <mergeCell ref="R126:R134"/>
    <mergeCell ref="S126:S134"/>
    <mergeCell ref="M123:M124"/>
    <mergeCell ref="N123:N124"/>
    <mergeCell ref="O123:O124"/>
    <mergeCell ref="P123:P124"/>
    <mergeCell ref="Q123:Q124"/>
    <mergeCell ref="R123:R124"/>
    <mergeCell ref="O98:O101"/>
    <mergeCell ref="P98:P101"/>
    <mergeCell ref="S123:S124"/>
    <mergeCell ref="K126:K134"/>
    <mergeCell ref="L126:L134"/>
    <mergeCell ref="M126:M134"/>
    <mergeCell ref="N126:N134"/>
    <mergeCell ref="O126:O134"/>
    <mergeCell ref="P126:P134"/>
    <mergeCell ref="Q126:Q134"/>
    <mergeCell ref="Q98:Q101"/>
    <mergeCell ref="A68:A84"/>
    <mergeCell ref="B68:B84"/>
    <mergeCell ref="D97:D117"/>
    <mergeCell ref="B97:B117"/>
    <mergeCell ref="A97:A117"/>
    <mergeCell ref="K98:K101"/>
    <mergeCell ref="L98:L101"/>
    <mergeCell ref="M98:M101"/>
    <mergeCell ref="N98:N101"/>
    <mergeCell ref="D121:D143"/>
    <mergeCell ref="C121:C143"/>
    <mergeCell ref="B121:B143"/>
    <mergeCell ref="A121:A143"/>
    <mergeCell ref="B239:B248"/>
    <mergeCell ref="A239:A248"/>
    <mergeCell ref="D239:D248"/>
    <mergeCell ref="C223:C235"/>
    <mergeCell ref="C199:C204"/>
    <mergeCell ref="A237:B238"/>
  </mergeCells>
  <hyperlinks>
    <hyperlink ref="I59" r:id="rId1" tooltip="w:Paratya improvisa" display="http://en.wikipedia.org/wiki/Paratya_improvisa"/>
    <hyperlink ref="I78" r:id="rId2" tooltip="w:Paratya improvisa" display="http://en.wikipedia.org/wiki/Paratya_improvisa"/>
    <hyperlink ref="I136" r:id="rId3" tooltip="w:Paratya improvisa" display="http://en.wikipedia.org/wiki/Paratya_improvisa"/>
    <hyperlink ref="I169" r:id="rId4" tooltip="w:Paratya improvisa" display="http://en.wikipedia.org/wiki/Paratya_improvisa"/>
    <hyperlink ref="I112" r:id="rId5" tooltip="w:Paratya improvisa" display="http://en.wikipedia.org/wiki/Paratya_improvisa"/>
  </hyperlinks>
  <printOptions horizontalCentered="1"/>
  <pageMargins left="0.3937007874015748" right="0.3937007874015748" top="0.7874015748031497" bottom="0.4330708661417323" header="0.5118110236220472" footer="0.31496062992125984"/>
  <pageSetup horizontalDpi="600" verticalDpi="600" orientation="landscape" paperSize="9" scale="57" r:id="rId6"/>
  <headerFooter alignWithMargins="0">
    <oddHeader>&amp;C&amp;"ＭＳ ゴシック,標準"&amp;12｢水環境中の放射性物質影響調査業務｣水生生物の放射性核種分析結果一覧（平成26年度12月調査）</oddHeader>
    <oddFooter xml:space="preserve">&amp;R&amp;"ＭＳ 明朝,標準"&amp;16 </oddFooter>
  </headerFooter>
  <rowBreaks count="5" manualBreakCount="5">
    <brk id="46" max="255" man="1"/>
    <brk id="94" max="18" man="1"/>
    <brk id="153" max="255" man="1"/>
    <brk id="195" max="255" man="1"/>
    <brk id="2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mnisimur</dc:creator>
  <cp:keywords/>
  <dc:description/>
  <cp:lastModifiedBy>塚田 啓視</cp:lastModifiedBy>
  <cp:lastPrinted>2015-03-24T03:38:55Z</cp:lastPrinted>
  <dcterms:created xsi:type="dcterms:W3CDTF">2014-07-04T06:27:33Z</dcterms:created>
  <dcterms:modified xsi:type="dcterms:W3CDTF">2015-03-30T01:43:34Z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