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995" tabRatio="705" activeTab="7"/>
  </bookViews>
  <sheets>
    <sheet name="はじめに" sheetId="20" r:id="rId1"/>
    <sheet name="1_素材" sheetId="10" r:id="rId2"/>
    <sheet name="2_部品" sheetId="11" r:id="rId3"/>
    <sheet name="3_組立機械" sheetId="12" r:id="rId4"/>
    <sheet name="4_食品" sheetId="15" r:id="rId5"/>
    <sheet name="5_物流" sheetId="14" r:id="rId6"/>
    <sheet name="6_建設" sheetId="13" r:id="rId7"/>
    <sheet name="7_情報通信" sheetId="16" r:id="rId8"/>
    <sheet name="8_小売" sheetId="17" r:id="rId9"/>
    <sheet name="9_銀行" sheetId="18" r:id="rId10"/>
    <sheet name="10_宿泊" sheetId="19" r:id="rId11"/>
  </sheets>
  <definedNames>
    <definedName name="_xlnm.Print_Area" localSheetId="1">'1_素材'!$A$1:$T$103</definedName>
    <definedName name="_xlnm.Print_Area" localSheetId="10">'10_宿泊'!$A$1:$T$128</definedName>
    <definedName name="_xlnm.Print_Area" localSheetId="2">'2_部品'!$A$1:$T$95</definedName>
    <definedName name="_xlnm.Print_Area" localSheetId="3">'3_組立機械'!$A$1:$T$132</definedName>
    <definedName name="_xlnm.Print_Area" localSheetId="4">'4_食品'!$A$1:$T$121</definedName>
    <definedName name="_xlnm.Print_Area" localSheetId="5">'5_物流'!$A$1:$T$111</definedName>
    <definedName name="_xlnm.Print_Area" localSheetId="6">'6_建設'!$A$1:$T$125</definedName>
    <definedName name="_xlnm.Print_Area" localSheetId="7">'7_情報通信'!$A$1:$T$93</definedName>
    <definedName name="_xlnm.Print_Area" localSheetId="8">'8_小売'!$A$1:$T$132</definedName>
    <definedName name="_xlnm.Print_Area" localSheetId="9">'9_銀行'!$A$1:$T$110</definedName>
    <definedName name="_xlnm.Print_Area" localSheetId="0">はじめに!$A$1:$J$48</definedName>
    <definedName name="_xlnm.Print_Titles" localSheetId="1">'1_素材'!$6:$7</definedName>
    <definedName name="_xlnm.Print_Titles" localSheetId="10">'10_宿泊'!$6:$7</definedName>
    <definedName name="_xlnm.Print_Titles" localSheetId="2">'2_部品'!$6:$7</definedName>
    <definedName name="_xlnm.Print_Titles" localSheetId="3">'3_組立機械'!$6:$7</definedName>
    <definedName name="_xlnm.Print_Titles" localSheetId="4">'4_食品'!$6:$7</definedName>
    <definedName name="_xlnm.Print_Titles" localSheetId="5">'5_物流'!$6:$7</definedName>
    <definedName name="_xlnm.Print_Titles" localSheetId="6">'6_建設'!$6:$7</definedName>
    <definedName name="_xlnm.Print_Titles" localSheetId="7">'7_情報通信'!$6:$7</definedName>
    <definedName name="_xlnm.Print_Titles" localSheetId="8">'8_小売'!$6:$7</definedName>
    <definedName name="_xlnm.Print_Titles" localSheetId="9">'9_銀行'!$6:$7</definedName>
  </definedNames>
  <calcPr calcId="152511"/>
</workbook>
</file>

<file path=xl/calcChain.xml><?xml version="1.0" encoding="utf-8"?>
<calcChain xmlns="http://schemas.openxmlformats.org/spreadsheetml/2006/main">
  <c r="C9" i="19" l="1"/>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G113" i="19" s="1"/>
  <c r="C50" i="19"/>
  <c r="C51" i="19"/>
  <c r="C53" i="19"/>
  <c r="C52" i="19" s="1"/>
  <c r="C54" i="19"/>
  <c r="C55" i="19"/>
  <c r="C56" i="19"/>
  <c r="C57" i="19"/>
  <c r="C58" i="19"/>
  <c r="G61" i="19"/>
  <c r="C61" i="19" s="1"/>
  <c r="C63" i="19"/>
  <c r="C64" i="19"/>
  <c r="C65" i="19"/>
  <c r="C66" i="19"/>
  <c r="C67" i="19"/>
  <c r="C68" i="19"/>
  <c r="C70" i="19"/>
  <c r="C71" i="19"/>
  <c r="C72" i="19"/>
  <c r="C74" i="19"/>
  <c r="C75" i="19"/>
  <c r="C76" i="19"/>
  <c r="C78" i="19"/>
  <c r="J78" i="19"/>
  <c r="G80" i="19"/>
  <c r="C80" i="19" s="1"/>
  <c r="C79" i="19" s="1"/>
  <c r="J83" i="19"/>
  <c r="C83" i="19" s="1"/>
  <c r="C85" i="19"/>
  <c r="C84" i="19" s="1"/>
  <c r="C87" i="19"/>
  <c r="C86" i="19" s="1"/>
  <c r="G124" i="19" s="1"/>
  <c r="J87" i="19"/>
  <c r="C88" i="19"/>
  <c r="J91" i="19"/>
  <c r="C91" i="19" s="1"/>
  <c r="J92" i="19"/>
  <c r="C92" i="19" s="1"/>
  <c r="J93" i="19"/>
  <c r="C93" i="19" s="1"/>
  <c r="J94" i="19"/>
  <c r="C94" i="19" s="1"/>
  <c r="J95" i="19"/>
  <c r="C95" i="19" s="1"/>
  <c r="J96" i="19"/>
  <c r="C96" i="19" s="1"/>
  <c r="J97" i="19"/>
  <c r="C97" i="19" s="1"/>
  <c r="J98" i="19"/>
  <c r="C98" i="19" s="1"/>
  <c r="J99" i="19"/>
  <c r="C99" i="19" s="1"/>
  <c r="J100" i="19"/>
  <c r="C100" i="19" s="1"/>
  <c r="J101" i="19"/>
  <c r="C101" i="19" s="1"/>
  <c r="J102" i="19"/>
  <c r="C102" i="19" s="1"/>
  <c r="G110" i="19"/>
  <c r="G111" i="19"/>
  <c r="C62" i="19" l="1"/>
  <c r="G116" i="19" s="1"/>
  <c r="C73" i="19"/>
  <c r="C90" i="19"/>
  <c r="C69" i="19"/>
  <c r="C59" i="19"/>
  <c r="G123" i="19"/>
  <c r="G120" i="19"/>
  <c r="G114" i="19"/>
  <c r="C82" i="19"/>
  <c r="C77" i="19"/>
  <c r="C8" i="19"/>
  <c r="C9" i="18"/>
  <c r="C10" i="18"/>
  <c r="C11" i="18"/>
  <c r="C12" i="18"/>
  <c r="C13" i="18"/>
  <c r="C14" i="18"/>
  <c r="C15" i="18"/>
  <c r="C16" i="18"/>
  <c r="C17" i="18"/>
  <c r="C19" i="18"/>
  <c r="C20" i="18"/>
  <c r="C21" i="18"/>
  <c r="C23" i="18"/>
  <c r="C24" i="18"/>
  <c r="C25" i="18"/>
  <c r="C26" i="18"/>
  <c r="C27" i="18"/>
  <c r="C28" i="18"/>
  <c r="G30" i="18"/>
  <c r="J30" i="18"/>
  <c r="C31" i="18"/>
  <c r="C33" i="18"/>
  <c r="C34" i="18"/>
  <c r="C35" i="18"/>
  <c r="C37" i="18"/>
  <c r="C38" i="18"/>
  <c r="C39" i="18"/>
  <c r="C41" i="18"/>
  <c r="C42" i="18"/>
  <c r="C43" i="18"/>
  <c r="G49" i="18"/>
  <c r="J49" i="18"/>
  <c r="C49" i="18" s="1"/>
  <c r="G50" i="18"/>
  <c r="C50" i="18" s="1"/>
  <c r="J50" i="18"/>
  <c r="G51" i="18"/>
  <c r="J51" i="18"/>
  <c r="G52" i="18"/>
  <c r="C52" i="18" s="1"/>
  <c r="J52" i="18"/>
  <c r="C54" i="18"/>
  <c r="C53" i="18" s="1"/>
  <c r="J57" i="18"/>
  <c r="C57" i="18" s="1"/>
  <c r="J58" i="18"/>
  <c r="C58" i="18" s="1"/>
  <c r="J59" i="18"/>
  <c r="C59" i="18" s="1"/>
  <c r="J60" i="18"/>
  <c r="C60" i="18" s="1"/>
  <c r="J61" i="18"/>
  <c r="C61" i="18" s="1"/>
  <c r="J62" i="18"/>
  <c r="C62" i="18" s="1"/>
  <c r="J63" i="18"/>
  <c r="C63" i="18" s="1"/>
  <c r="J64" i="18"/>
  <c r="C64" i="18" s="1"/>
  <c r="J65" i="18"/>
  <c r="C65" i="18" s="1"/>
  <c r="J66" i="18"/>
  <c r="C66" i="18" s="1"/>
  <c r="J67" i="18"/>
  <c r="C67" i="18" s="1"/>
  <c r="J68" i="18"/>
  <c r="C68" i="18" s="1"/>
  <c r="J69" i="18"/>
  <c r="C69" i="18" s="1"/>
  <c r="J70" i="18"/>
  <c r="C70" i="18" s="1"/>
  <c r="J71" i="18"/>
  <c r="C71" i="18" s="1"/>
  <c r="J72" i="18"/>
  <c r="C72" i="18" s="1"/>
  <c r="J73" i="18"/>
  <c r="C73" i="18" s="1"/>
  <c r="J74" i="18"/>
  <c r="C74" i="18" s="1"/>
  <c r="J75" i="18"/>
  <c r="C75" i="18" s="1"/>
  <c r="J76" i="18"/>
  <c r="C76" i="18" s="1"/>
  <c r="J77" i="18"/>
  <c r="C77" i="18" s="1"/>
  <c r="J78" i="18"/>
  <c r="C78" i="18" s="1"/>
  <c r="J79" i="18"/>
  <c r="C79" i="18" s="1"/>
  <c r="J80" i="18"/>
  <c r="C80" i="18" s="1"/>
  <c r="J81" i="18"/>
  <c r="C81" i="18" s="1"/>
  <c r="J82" i="18"/>
  <c r="C82" i="18" s="1"/>
  <c r="C84" i="18"/>
  <c r="C83" i="18" s="1"/>
  <c r="G91" i="18"/>
  <c r="G92" i="18"/>
  <c r="C51" i="18" l="1"/>
  <c r="C32" i="18"/>
  <c r="C18" i="18"/>
  <c r="G94" i="18" s="1"/>
  <c r="C30" i="18"/>
  <c r="C29" i="18" s="1"/>
  <c r="C36" i="18"/>
  <c r="C8" i="18"/>
  <c r="G119" i="19"/>
  <c r="G115" i="19"/>
  <c r="G117" i="19"/>
  <c r="G122" i="19"/>
  <c r="G112" i="19"/>
  <c r="G126" i="19"/>
  <c r="C104" i="19"/>
  <c r="D69" i="19" s="1"/>
  <c r="G118" i="19"/>
  <c r="C48" i="18"/>
  <c r="G97" i="18"/>
  <c r="C56" i="18"/>
  <c r="G98" i="18"/>
  <c r="G93" i="18"/>
  <c r="C40" i="18"/>
  <c r="C22" i="18"/>
  <c r="C9" i="17"/>
  <c r="C10" i="17"/>
  <c r="C11" i="17"/>
  <c r="C12" i="17"/>
  <c r="C13" i="17"/>
  <c r="C14" i="17"/>
  <c r="C15" i="17"/>
  <c r="C16" i="17"/>
  <c r="C17" i="17"/>
  <c r="C18" i="17"/>
  <c r="C19" i="17"/>
  <c r="C20" i="17"/>
  <c r="C21" i="17"/>
  <c r="C22" i="17"/>
  <c r="C23" i="17"/>
  <c r="C24" i="17"/>
  <c r="C25" i="17"/>
  <c r="C26" i="17"/>
  <c r="C27" i="17"/>
  <c r="C28" i="17"/>
  <c r="C29" i="17"/>
  <c r="C30" i="17"/>
  <c r="C32" i="17"/>
  <c r="C31" i="17" s="1"/>
  <c r="G117" i="17" s="1"/>
  <c r="C33" i="17"/>
  <c r="C35" i="17"/>
  <c r="C36" i="17"/>
  <c r="C34" i="17" s="1"/>
  <c r="C37" i="17"/>
  <c r="C38" i="17"/>
  <c r="C39" i="17"/>
  <c r="C40" i="17"/>
  <c r="C42" i="17"/>
  <c r="C43" i="17"/>
  <c r="G43" i="17"/>
  <c r="G44" i="17"/>
  <c r="C44" i="17" s="1"/>
  <c r="C45" i="17"/>
  <c r="G45" i="17"/>
  <c r="C47" i="17"/>
  <c r="C48" i="17"/>
  <c r="C49" i="17"/>
  <c r="C50" i="17"/>
  <c r="C52" i="17"/>
  <c r="C53" i="17"/>
  <c r="C54" i="17"/>
  <c r="C56" i="17"/>
  <c r="C57" i="17"/>
  <c r="C58" i="17"/>
  <c r="J60" i="17"/>
  <c r="C60" i="17" s="1"/>
  <c r="G62" i="17"/>
  <c r="C62" i="17" s="1"/>
  <c r="J62" i="17"/>
  <c r="G63" i="17"/>
  <c r="C63" i="17" s="1"/>
  <c r="J66" i="17"/>
  <c r="C66" i="17" s="1"/>
  <c r="C67" i="17"/>
  <c r="G67" i="17"/>
  <c r="C68" i="17"/>
  <c r="G70" i="17"/>
  <c r="C70" i="17" s="1"/>
  <c r="G71" i="17"/>
  <c r="C71" i="17" s="1"/>
  <c r="G72" i="17"/>
  <c r="C72" i="17" s="1"/>
  <c r="G73" i="17"/>
  <c r="C73" i="17" s="1"/>
  <c r="G74" i="17"/>
  <c r="C74" i="17" s="1"/>
  <c r="G75" i="17"/>
  <c r="C75" i="17" s="1"/>
  <c r="G76" i="17"/>
  <c r="C76" i="17" s="1"/>
  <c r="G77" i="17"/>
  <c r="C77" i="17" s="1"/>
  <c r="G78" i="17"/>
  <c r="C78" i="17" s="1"/>
  <c r="G79" i="17"/>
  <c r="C79" i="17" s="1"/>
  <c r="G80" i="17"/>
  <c r="C80" i="17" s="1"/>
  <c r="G81" i="17"/>
  <c r="C81" i="17" s="1"/>
  <c r="G82" i="17"/>
  <c r="C82" i="17" s="1"/>
  <c r="G83" i="17"/>
  <c r="C83" i="17" s="1"/>
  <c r="G84" i="17"/>
  <c r="C84" i="17" s="1"/>
  <c r="G85" i="17"/>
  <c r="C85" i="17" s="1"/>
  <c r="G86" i="17"/>
  <c r="C86" i="17" s="1"/>
  <c r="G87" i="17"/>
  <c r="C87" i="17" s="1"/>
  <c r="G88" i="17"/>
  <c r="C88" i="17" s="1"/>
  <c r="J90" i="17"/>
  <c r="C90" i="17" s="1"/>
  <c r="C91" i="17"/>
  <c r="C92" i="17"/>
  <c r="C93" i="17"/>
  <c r="J95" i="17"/>
  <c r="C95" i="17" s="1"/>
  <c r="J96" i="17"/>
  <c r="C96" i="17" s="1"/>
  <c r="J97" i="17"/>
  <c r="C97" i="17" s="1"/>
  <c r="J98" i="17"/>
  <c r="C98" i="17" s="1"/>
  <c r="J99" i="17"/>
  <c r="C99" i="17" s="1"/>
  <c r="J100" i="17"/>
  <c r="C100" i="17" s="1"/>
  <c r="J101" i="17"/>
  <c r="C101" i="17" s="1"/>
  <c r="J102" i="17"/>
  <c r="C102" i="17" s="1"/>
  <c r="J103" i="17"/>
  <c r="C103" i="17" s="1"/>
  <c r="J104" i="17"/>
  <c r="C104" i="17" s="1"/>
  <c r="J105" i="17"/>
  <c r="C105" i="17" s="1"/>
  <c r="J106" i="17"/>
  <c r="C106" i="17" s="1"/>
  <c r="G114" i="17"/>
  <c r="G115" i="17"/>
  <c r="D73" i="19" l="1"/>
  <c r="D8" i="19"/>
  <c r="G127" i="19"/>
  <c r="H122" i="19" s="1"/>
  <c r="D104" i="19"/>
  <c r="C107" i="19"/>
  <c r="D64" i="19"/>
  <c r="D68" i="19"/>
  <c r="D72" i="19"/>
  <c r="D76" i="19"/>
  <c r="E104" i="19"/>
  <c r="D10" i="19"/>
  <c r="D14" i="19"/>
  <c r="D18" i="19"/>
  <c r="D22" i="19"/>
  <c r="D26" i="19"/>
  <c r="D30" i="19"/>
  <c r="D34" i="19"/>
  <c r="D38" i="19"/>
  <c r="D42" i="19"/>
  <c r="D46" i="19"/>
  <c r="D50" i="19"/>
  <c r="D54" i="19"/>
  <c r="D58" i="19"/>
  <c r="D13" i="19"/>
  <c r="D21" i="19"/>
  <c r="D29" i="19"/>
  <c r="D37" i="19"/>
  <c r="D45" i="19"/>
  <c r="D53" i="19"/>
  <c r="D71" i="19"/>
  <c r="D80" i="19"/>
  <c r="D88" i="19"/>
  <c r="D25" i="19"/>
  <c r="D33" i="19"/>
  <c r="D41" i="19"/>
  <c r="D49" i="19"/>
  <c r="D57" i="19"/>
  <c r="D63" i="19"/>
  <c r="D75" i="19"/>
  <c r="D87" i="19"/>
  <c r="D9" i="19"/>
  <c r="D17" i="19"/>
  <c r="D67" i="19"/>
  <c r="D102" i="19"/>
  <c r="D100" i="19"/>
  <c r="D99" i="19"/>
  <c r="D92" i="19"/>
  <c r="D55" i="19"/>
  <c r="D39" i="19"/>
  <c r="D23" i="19"/>
  <c r="D70" i="19"/>
  <c r="D36" i="19"/>
  <c r="D20" i="19"/>
  <c r="D61" i="19"/>
  <c r="D12" i="19"/>
  <c r="D78" i="19"/>
  <c r="D40" i="19"/>
  <c r="D24" i="19"/>
  <c r="D101" i="19"/>
  <c r="D96" i="19"/>
  <c r="D86" i="19"/>
  <c r="D31" i="19"/>
  <c r="D15" i="19"/>
  <c r="D94" i="19"/>
  <c r="D62" i="19"/>
  <c r="D74" i="19"/>
  <c r="D91" i="19"/>
  <c r="D66" i="19"/>
  <c r="D43" i="19"/>
  <c r="D27" i="19"/>
  <c r="D11" i="19"/>
  <c r="D97" i="19"/>
  <c r="D56" i="19"/>
  <c r="D98" i="19"/>
  <c r="D47" i="19"/>
  <c r="D52" i="19"/>
  <c r="D44" i="19"/>
  <c r="D83" i="19"/>
  <c r="D79" i="19"/>
  <c r="D51" i="19"/>
  <c r="D35" i="19"/>
  <c r="D19" i="19"/>
  <c r="D95" i="19"/>
  <c r="D93" i="19"/>
  <c r="D65" i="19"/>
  <c r="D48" i="19"/>
  <c r="D32" i="19"/>
  <c r="D16" i="19"/>
  <c r="D85" i="19"/>
  <c r="D84" i="19"/>
  <c r="D28" i="19"/>
  <c r="D90" i="19"/>
  <c r="D82" i="19"/>
  <c r="H117" i="19"/>
  <c r="D59" i="19"/>
  <c r="D77" i="19"/>
  <c r="G99" i="18"/>
  <c r="G95" i="18"/>
  <c r="G108" i="18" s="1"/>
  <c r="H97" i="18" s="1"/>
  <c r="G96" i="18"/>
  <c r="G104" i="18"/>
  <c r="C85" i="18"/>
  <c r="D29" i="18" s="1"/>
  <c r="G107" i="18"/>
  <c r="C65" i="17"/>
  <c r="C89" i="17"/>
  <c r="C46" i="17"/>
  <c r="C94" i="17"/>
  <c r="C69" i="17"/>
  <c r="C59" i="17"/>
  <c r="C55" i="17"/>
  <c r="C41" i="17"/>
  <c r="C8" i="17"/>
  <c r="C61" i="17"/>
  <c r="G129" i="17"/>
  <c r="G118" i="17"/>
  <c r="C51" i="17"/>
  <c r="C9" i="16"/>
  <c r="C10" i="16"/>
  <c r="C11" i="16"/>
  <c r="C12" i="16"/>
  <c r="C13" i="16"/>
  <c r="C14" i="16"/>
  <c r="C15" i="16"/>
  <c r="C16" i="16"/>
  <c r="C17" i="16"/>
  <c r="C18" i="16"/>
  <c r="C20" i="16"/>
  <c r="C19" i="16" s="1"/>
  <c r="C22" i="16"/>
  <c r="C23" i="16"/>
  <c r="C24" i="16"/>
  <c r="G26" i="16"/>
  <c r="C26" i="16" s="1"/>
  <c r="G27" i="16"/>
  <c r="C27" i="16" s="1"/>
  <c r="G28" i="16"/>
  <c r="C28" i="16" s="1"/>
  <c r="G29" i="16"/>
  <c r="C29" i="16" s="1"/>
  <c r="C31" i="16"/>
  <c r="C30" i="16" s="1"/>
  <c r="C32" i="16"/>
  <c r="C34" i="16"/>
  <c r="C35" i="16"/>
  <c r="C36" i="16"/>
  <c r="C38" i="16"/>
  <c r="C39" i="16"/>
  <c r="C40" i="16"/>
  <c r="J42" i="16"/>
  <c r="C42" i="16" s="1"/>
  <c r="J46" i="16"/>
  <c r="C46" i="16" s="1"/>
  <c r="C45" i="16" s="1"/>
  <c r="C47" i="16"/>
  <c r="G49" i="16"/>
  <c r="C49" i="16" s="1"/>
  <c r="G50" i="16"/>
  <c r="C50" i="16" s="1"/>
  <c r="G51" i="16"/>
  <c r="C51" i="16" s="1"/>
  <c r="J55" i="16"/>
  <c r="C55" i="16" s="1"/>
  <c r="J56" i="16"/>
  <c r="C56" i="16" s="1"/>
  <c r="J57" i="16"/>
  <c r="C57" i="16" s="1"/>
  <c r="J58" i="16"/>
  <c r="C58" i="16" s="1"/>
  <c r="J59" i="16"/>
  <c r="C59" i="16" s="1"/>
  <c r="J60" i="16"/>
  <c r="C60" i="16" s="1"/>
  <c r="J61" i="16"/>
  <c r="C61" i="16" s="1"/>
  <c r="J62" i="16"/>
  <c r="C62" i="16" s="1"/>
  <c r="J63" i="16"/>
  <c r="C63" i="16" s="1"/>
  <c r="J64" i="16"/>
  <c r="C64" i="16" s="1"/>
  <c r="J65" i="16"/>
  <c r="C65" i="16" s="1"/>
  <c r="J66" i="16"/>
  <c r="C66" i="16" s="1"/>
  <c r="G74" i="16"/>
  <c r="G75" i="16"/>
  <c r="H112" i="19" l="1"/>
  <c r="C21" i="16"/>
  <c r="G78" i="16" s="1"/>
  <c r="C8" i="16"/>
  <c r="H119" i="19"/>
  <c r="H115" i="19"/>
  <c r="H118" i="19"/>
  <c r="E80" i="19"/>
  <c r="E87" i="19"/>
  <c r="E88" i="19"/>
  <c r="E65" i="19"/>
  <c r="E107" i="19"/>
  <c r="E11" i="19"/>
  <c r="E15" i="19"/>
  <c r="E19" i="19"/>
  <c r="E23" i="19"/>
  <c r="E27" i="19"/>
  <c r="E31" i="19"/>
  <c r="E35" i="19"/>
  <c r="E39" i="19"/>
  <c r="E43" i="19"/>
  <c r="E47" i="19"/>
  <c r="E51" i="19"/>
  <c r="E55" i="19"/>
  <c r="E10" i="19"/>
  <c r="E18" i="19"/>
  <c r="E26" i="19"/>
  <c r="E34" i="19"/>
  <c r="E42" i="19"/>
  <c r="E50" i="19"/>
  <c r="E58" i="19"/>
  <c r="E105" i="19"/>
  <c r="E106" i="19"/>
  <c r="E22" i="19"/>
  <c r="E30" i="19"/>
  <c r="E38" i="19"/>
  <c r="E54" i="19"/>
  <c r="E72" i="19"/>
  <c r="E68" i="19"/>
  <c r="E14" i="19"/>
  <c r="E46" i="19"/>
  <c r="E64" i="19"/>
  <c r="E76" i="19"/>
  <c r="E83" i="19"/>
  <c r="E79" i="19"/>
  <c r="E84" i="19"/>
  <c r="E49" i="19"/>
  <c r="E33" i="19"/>
  <c r="E17" i="19"/>
  <c r="E95" i="19"/>
  <c r="E93" i="19"/>
  <c r="E63" i="19"/>
  <c r="E48" i="19"/>
  <c r="E32" i="19"/>
  <c r="E16" i="19"/>
  <c r="E78" i="19"/>
  <c r="E62" i="19"/>
  <c r="E91" i="19"/>
  <c r="E66" i="19"/>
  <c r="E25" i="19"/>
  <c r="E75" i="19"/>
  <c r="E24" i="19"/>
  <c r="E102" i="19"/>
  <c r="E100" i="19"/>
  <c r="E99" i="19"/>
  <c r="E92" i="19"/>
  <c r="E53" i="19"/>
  <c r="E37" i="19"/>
  <c r="E21" i="19"/>
  <c r="E70" i="19"/>
  <c r="E36" i="19"/>
  <c r="E20" i="19"/>
  <c r="E61" i="19"/>
  <c r="E67" i="19"/>
  <c r="E12" i="19"/>
  <c r="E57" i="19"/>
  <c r="E40" i="19"/>
  <c r="E98" i="19"/>
  <c r="E101" i="19"/>
  <c r="E96" i="19"/>
  <c r="E86" i="19"/>
  <c r="E71" i="19"/>
  <c r="E45" i="19"/>
  <c r="E29" i="19"/>
  <c r="E13" i="19"/>
  <c r="E52" i="19"/>
  <c r="E28" i="19"/>
  <c r="E94" i="19"/>
  <c r="E44" i="19"/>
  <c r="E74" i="19"/>
  <c r="E41" i="19"/>
  <c r="E9" i="19"/>
  <c r="E97" i="19"/>
  <c r="E56" i="19"/>
  <c r="E85" i="19"/>
  <c r="E8" i="19"/>
  <c r="E73" i="19"/>
  <c r="E77" i="19"/>
  <c r="E69" i="19"/>
  <c r="E90" i="19"/>
  <c r="E59" i="19"/>
  <c r="E82" i="19"/>
  <c r="H121" i="19"/>
  <c r="H113" i="19"/>
  <c r="H111" i="19"/>
  <c r="H127" i="19"/>
  <c r="H125" i="19"/>
  <c r="H124" i="19"/>
  <c r="H110" i="19"/>
  <c r="H123" i="19"/>
  <c r="H120" i="19"/>
  <c r="H116" i="19"/>
  <c r="H114" i="19"/>
  <c r="H126" i="19"/>
  <c r="H93" i="18"/>
  <c r="H104" i="18"/>
  <c r="D25" i="18"/>
  <c r="D12" i="18"/>
  <c r="D16" i="18"/>
  <c r="D28" i="18"/>
  <c r="D34" i="18"/>
  <c r="D38" i="18"/>
  <c r="D42" i="18"/>
  <c r="D54" i="18"/>
  <c r="D85" i="18"/>
  <c r="C88" i="18"/>
  <c r="D19" i="18"/>
  <c r="D23" i="18"/>
  <c r="D27" i="18"/>
  <c r="D41" i="18"/>
  <c r="E85" i="18"/>
  <c r="D10" i="18"/>
  <c r="D14" i="18"/>
  <c r="D21" i="18"/>
  <c r="D75" i="18"/>
  <c r="D67" i="18"/>
  <c r="D59" i="18"/>
  <c r="D39" i="18"/>
  <c r="D20" i="18"/>
  <c r="D82" i="18"/>
  <c r="D70" i="18"/>
  <c r="D62" i="18"/>
  <c r="D17" i="18"/>
  <c r="D26" i="18"/>
  <c r="D37" i="18"/>
  <c r="D78" i="18"/>
  <c r="D73" i="18"/>
  <c r="D76" i="18"/>
  <c r="D68" i="18"/>
  <c r="D60" i="18"/>
  <c r="D53" i="18"/>
  <c r="D15" i="18"/>
  <c r="D32" i="18"/>
  <c r="D77" i="18"/>
  <c r="D65" i="18"/>
  <c r="D36" i="18"/>
  <c r="D13" i="18"/>
  <c r="D33" i="18"/>
  <c r="D9" i="18"/>
  <c r="D35" i="18"/>
  <c r="D79" i="18"/>
  <c r="D71" i="18"/>
  <c r="D63" i="18"/>
  <c r="D51" i="18"/>
  <c r="D11" i="18"/>
  <c r="D74" i="18"/>
  <c r="D66" i="18"/>
  <c r="D58" i="18"/>
  <c r="D18" i="18"/>
  <c r="D83" i="18"/>
  <c r="D57" i="18"/>
  <c r="D50" i="18"/>
  <c r="D31" i="18"/>
  <c r="D8" i="18"/>
  <c r="D84" i="18"/>
  <c r="D81" i="18"/>
  <c r="D80" i="18"/>
  <c r="D72" i="18"/>
  <c r="D64" i="18"/>
  <c r="D49" i="18"/>
  <c r="D30" i="18"/>
  <c r="D43" i="18"/>
  <c r="D24" i="18"/>
  <c r="D69" i="18"/>
  <c r="D61" i="18"/>
  <c r="D52" i="18"/>
  <c r="H99" i="18"/>
  <c r="H100" i="18"/>
  <c r="H106" i="18"/>
  <c r="H101" i="18"/>
  <c r="H102" i="18"/>
  <c r="H105" i="18"/>
  <c r="H91" i="18"/>
  <c r="H103" i="18"/>
  <c r="H108" i="18"/>
  <c r="H92" i="18"/>
  <c r="H94" i="18"/>
  <c r="D56" i="18"/>
  <c r="H96" i="18"/>
  <c r="H95" i="18"/>
  <c r="D40" i="18"/>
  <c r="H98" i="18"/>
  <c r="H107" i="18"/>
  <c r="D48" i="18"/>
  <c r="D22" i="18"/>
  <c r="G121" i="17"/>
  <c r="G123" i="17"/>
  <c r="G127" i="17"/>
  <c r="C108" i="17"/>
  <c r="D55" i="17" s="1"/>
  <c r="G130" i="17"/>
  <c r="G126" i="17"/>
  <c r="G116" i="17"/>
  <c r="G128" i="17"/>
  <c r="D61" i="17"/>
  <c r="G124" i="17"/>
  <c r="G122" i="17"/>
  <c r="D46" i="17"/>
  <c r="G120" i="17"/>
  <c r="G119" i="17"/>
  <c r="G86" i="16"/>
  <c r="G76" i="16"/>
  <c r="C48" i="16"/>
  <c r="C41" i="16"/>
  <c r="G80" i="16"/>
  <c r="C25" i="16"/>
  <c r="G77" i="16"/>
  <c r="C54" i="16"/>
  <c r="C37" i="16"/>
  <c r="C33" i="16"/>
  <c r="C9" i="15"/>
  <c r="C10" i="15"/>
  <c r="C11" i="15"/>
  <c r="C12" i="15"/>
  <c r="C13" i="15"/>
  <c r="C14" i="15"/>
  <c r="C15" i="15"/>
  <c r="C16" i="15"/>
  <c r="C17" i="15"/>
  <c r="C18" i="15"/>
  <c r="C19" i="15"/>
  <c r="C20" i="15"/>
  <c r="C21" i="15"/>
  <c r="C22" i="15"/>
  <c r="C23" i="15"/>
  <c r="C24" i="15"/>
  <c r="C27" i="15"/>
  <c r="C28" i="15"/>
  <c r="C29" i="15"/>
  <c r="C31" i="15"/>
  <c r="C32" i="15"/>
  <c r="C33" i="15"/>
  <c r="C34" i="15"/>
  <c r="C36" i="15"/>
  <c r="G38" i="15"/>
  <c r="J38" i="15"/>
  <c r="C38" i="15" s="1"/>
  <c r="G39" i="15"/>
  <c r="C39" i="15" s="1"/>
  <c r="J39" i="15"/>
  <c r="C41" i="15"/>
  <c r="C42" i="15"/>
  <c r="C43" i="15"/>
  <c r="C44" i="15"/>
  <c r="C45" i="15"/>
  <c r="C46" i="15"/>
  <c r="C47" i="15"/>
  <c r="C49" i="15"/>
  <c r="J51" i="15"/>
  <c r="C51" i="15" s="1"/>
  <c r="C53" i="15"/>
  <c r="C54" i="15"/>
  <c r="J54" i="15"/>
  <c r="G57" i="15"/>
  <c r="C57" i="15" s="1"/>
  <c r="J61" i="15"/>
  <c r="C61" i="15" s="1"/>
  <c r="G64" i="15" s="1"/>
  <c r="C64" i="15" s="1"/>
  <c r="J62" i="15"/>
  <c r="C62" i="15" s="1"/>
  <c r="J63" i="15"/>
  <c r="C63" i="15" s="1"/>
  <c r="C66" i="15"/>
  <c r="G73" i="15" s="1"/>
  <c r="C73" i="15" s="1"/>
  <c r="C67" i="15"/>
  <c r="C68" i="15"/>
  <c r="C69" i="15"/>
  <c r="C70" i="15"/>
  <c r="C71" i="15"/>
  <c r="C72" i="15"/>
  <c r="J75" i="15"/>
  <c r="C75" i="15" s="1"/>
  <c r="J78" i="15"/>
  <c r="C78" i="15" s="1"/>
  <c r="J79" i="15"/>
  <c r="C79" i="15" s="1"/>
  <c r="J80" i="15"/>
  <c r="C80" i="15" s="1"/>
  <c r="J81" i="15"/>
  <c r="C81" i="15" s="1"/>
  <c r="J82" i="15"/>
  <c r="C82" i="15" s="1"/>
  <c r="J83" i="15"/>
  <c r="C83" i="15" s="1"/>
  <c r="J84" i="15"/>
  <c r="C84" i="15" s="1"/>
  <c r="J85" i="15"/>
  <c r="C85" i="15" s="1"/>
  <c r="J86" i="15"/>
  <c r="C86" i="15" s="1"/>
  <c r="J87" i="15"/>
  <c r="C87" i="15" s="1"/>
  <c r="J88" i="15"/>
  <c r="C88" i="15" s="1"/>
  <c r="J89" i="15"/>
  <c r="C89" i="15" s="1"/>
  <c r="J90" i="15"/>
  <c r="C90" i="15" s="1"/>
  <c r="J91" i="15"/>
  <c r="C91" i="15" s="1"/>
  <c r="J92" i="15"/>
  <c r="C92" i="15" s="1"/>
  <c r="J93" i="15"/>
  <c r="C93" i="15" s="1"/>
  <c r="J94" i="15"/>
  <c r="C94" i="15" s="1"/>
  <c r="G102" i="15"/>
  <c r="G103" i="15"/>
  <c r="G58" i="15" l="1"/>
  <c r="C58" i="15"/>
  <c r="C56" i="15" s="1"/>
  <c r="G112" i="15" s="1"/>
  <c r="E25" i="18"/>
  <c r="E31" i="18"/>
  <c r="E43" i="18"/>
  <c r="E12" i="18"/>
  <c r="E16" i="18"/>
  <c r="E20" i="18"/>
  <c r="E24" i="18"/>
  <c r="E28" i="18"/>
  <c r="E34" i="18"/>
  <c r="E38" i="18"/>
  <c r="E42" i="18"/>
  <c r="E54" i="18"/>
  <c r="E88" i="18"/>
  <c r="E11" i="18"/>
  <c r="E15" i="18"/>
  <c r="E23" i="18"/>
  <c r="E37" i="18"/>
  <c r="E86" i="18"/>
  <c r="E87" i="18"/>
  <c r="E78" i="18"/>
  <c r="E73" i="18"/>
  <c r="E76" i="18"/>
  <c r="E68" i="18"/>
  <c r="E60" i="18"/>
  <c r="E49" i="18"/>
  <c r="E32" i="18"/>
  <c r="E18" i="18"/>
  <c r="E10" i="18"/>
  <c r="E77" i="18"/>
  <c r="E65" i="18"/>
  <c r="E57" i="18"/>
  <c r="E52" i="18"/>
  <c r="E35" i="18"/>
  <c r="E9" i="18"/>
  <c r="E41" i="18"/>
  <c r="E79" i="18"/>
  <c r="E71" i="18"/>
  <c r="E63" i="18"/>
  <c r="E30" i="18"/>
  <c r="E74" i="18"/>
  <c r="E66" i="18"/>
  <c r="E58" i="18"/>
  <c r="E83" i="18"/>
  <c r="E50" i="18"/>
  <c r="E84" i="18"/>
  <c r="E19" i="18"/>
  <c r="E21" i="18"/>
  <c r="E81" i="18"/>
  <c r="E80" i="18"/>
  <c r="E72" i="18"/>
  <c r="E64" i="18"/>
  <c r="E69" i="18"/>
  <c r="E61" i="18"/>
  <c r="E53" i="18"/>
  <c r="E17" i="18"/>
  <c r="E26" i="18"/>
  <c r="E75" i="18"/>
  <c r="E67" i="18"/>
  <c r="E59" i="18"/>
  <c r="E51" i="18"/>
  <c r="E82" i="18"/>
  <c r="E70" i="18"/>
  <c r="E62" i="18"/>
  <c r="E14" i="18"/>
  <c r="E36" i="18"/>
  <c r="E27" i="18"/>
  <c r="E8" i="18"/>
  <c r="E33" i="18"/>
  <c r="E39" i="18"/>
  <c r="E13" i="18"/>
  <c r="E40" i="18"/>
  <c r="E29" i="18"/>
  <c r="E48" i="18"/>
  <c r="E22" i="18"/>
  <c r="E56" i="18"/>
  <c r="D48" i="17"/>
  <c r="D52" i="17"/>
  <c r="D56" i="17"/>
  <c r="D108" i="17"/>
  <c r="C111" i="17"/>
  <c r="E108" i="17"/>
  <c r="D24" i="17"/>
  <c r="D28" i="17"/>
  <c r="D32" i="17"/>
  <c r="D36" i="17"/>
  <c r="D40" i="17"/>
  <c r="D47" i="17"/>
  <c r="D11" i="17"/>
  <c r="D19" i="17"/>
  <c r="D27" i="17"/>
  <c r="D35" i="17"/>
  <c r="D15" i="17"/>
  <c r="D45" i="17"/>
  <c r="D50" i="17"/>
  <c r="D23" i="17"/>
  <c r="D39" i="17"/>
  <c r="D43" i="17"/>
  <c r="D58" i="17"/>
  <c r="D93" i="17"/>
  <c r="D31" i="17"/>
  <c r="D44" i="17"/>
  <c r="D54" i="17"/>
  <c r="D96" i="17"/>
  <c r="D66" i="17"/>
  <c r="D87" i="17"/>
  <c r="D79" i="17"/>
  <c r="D71" i="17"/>
  <c r="D37" i="17"/>
  <c r="D21" i="17"/>
  <c r="D95" i="17"/>
  <c r="D78" i="17"/>
  <c r="D70" i="17"/>
  <c r="D60" i="17"/>
  <c r="D57" i="17"/>
  <c r="D12" i="17"/>
  <c r="D103" i="17"/>
  <c r="D80" i="17"/>
  <c r="D106" i="17"/>
  <c r="D98" i="17"/>
  <c r="D92" i="17"/>
  <c r="D38" i="17"/>
  <c r="D22" i="17"/>
  <c r="D9" i="17"/>
  <c r="D90" i="17"/>
  <c r="D75" i="17"/>
  <c r="D13" i="17"/>
  <c r="D72" i="17"/>
  <c r="D20" i="17"/>
  <c r="D99" i="17"/>
  <c r="D102" i="17"/>
  <c r="D101" i="17"/>
  <c r="D85" i="17"/>
  <c r="D77" i="17"/>
  <c r="D16" i="17"/>
  <c r="D76" i="17"/>
  <c r="D63" i="17"/>
  <c r="D42" i="17"/>
  <c r="D25" i="17"/>
  <c r="D26" i="17"/>
  <c r="D74" i="17"/>
  <c r="D53" i="17"/>
  <c r="D18" i="17"/>
  <c r="D83" i="17"/>
  <c r="D29" i="17"/>
  <c r="D68" i="17"/>
  <c r="D105" i="17"/>
  <c r="D97" i="17"/>
  <c r="D81" i="17"/>
  <c r="D73" i="17"/>
  <c r="D49" i="17"/>
  <c r="D100" i="17"/>
  <c r="D82" i="17"/>
  <c r="D33" i="17"/>
  <c r="D17" i="17"/>
  <c r="D62" i="17"/>
  <c r="D34" i="17"/>
  <c r="D10" i="17"/>
  <c r="D84" i="17"/>
  <c r="D30" i="17"/>
  <c r="D14" i="17"/>
  <c r="D88" i="17"/>
  <c r="D104" i="17"/>
  <c r="D86" i="17"/>
  <c r="D91" i="17"/>
  <c r="D67" i="17"/>
  <c r="G131" i="17"/>
  <c r="H123" i="17" s="1"/>
  <c r="D8" i="17"/>
  <c r="D65" i="17"/>
  <c r="D94" i="17"/>
  <c r="D41" i="17"/>
  <c r="H122" i="17"/>
  <c r="D89" i="17"/>
  <c r="D69" i="17"/>
  <c r="D59" i="17"/>
  <c r="D51" i="17"/>
  <c r="G90" i="16"/>
  <c r="C68" i="16"/>
  <c r="D41" i="16" s="1"/>
  <c r="G81" i="16"/>
  <c r="G83" i="16"/>
  <c r="G87" i="16"/>
  <c r="G82" i="16"/>
  <c r="G79" i="16"/>
  <c r="C74" i="15"/>
  <c r="C77" i="15"/>
  <c r="C60" i="15"/>
  <c r="G55" i="15"/>
  <c r="C55" i="15" s="1"/>
  <c r="C52" i="15" s="1"/>
  <c r="C48" i="15"/>
  <c r="C40" i="15"/>
  <c r="C30" i="15"/>
  <c r="C35" i="15"/>
  <c r="C26" i="15"/>
  <c r="C65" i="15"/>
  <c r="C50" i="15"/>
  <c r="G25" i="15"/>
  <c r="C25" i="15" s="1"/>
  <c r="D5" i="14"/>
  <c r="C9" i="14"/>
  <c r="C10" i="14"/>
  <c r="C11" i="14"/>
  <c r="C12" i="14"/>
  <c r="C13" i="14"/>
  <c r="C14" i="14"/>
  <c r="C15" i="14"/>
  <c r="C16" i="14"/>
  <c r="C17" i="14"/>
  <c r="C18" i="14"/>
  <c r="C19" i="14"/>
  <c r="C20" i="14"/>
  <c r="C21" i="14"/>
  <c r="C22" i="14"/>
  <c r="C23" i="14"/>
  <c r="C24" i="14"/>
  <c r="C25" i="14"/>
  <c r="C26" i="14"/>
  <c r="C28" i="14"/>
  <c r="C27" i="14" s="1"/>
  <c r="C29" i="14"/>
  <c r="C31" i="14"/>
  <c r="C32" i="14"/>
  <c r="C33" i="14"/>
  <c r="C34" i="14"/>
  <c r="C35" i="14"/>
  <c r="C36" i="14"/>
  <c r="C37" i="14"/>
  <c r="C38" i="14"/>
  <c r="G40" i="14"/>
  <c r="J40" i="14"/>
  <c r="C43" i="14"/>
  <c r="C44" i="14"/>
  <c r="C45" i="14"/>
  <c r="C46" i="14"/>
  <c r="C47" i="14"/>
  <c r="C48" i="14"/>
  <c r="C49" i="14"/>
  <c r="C50" i="14"/>
  <c r="C52" i="14"/>
  <c r="C53" i="14"/>
  <c r="C54" i="14"/>
  <c r="C56" i="14"/>
  <c r="C57" i="14"/>
  <c r="C58" i="14"/>
  <c r="J60" i="14"/>
  <c r="C60" i="14" s="1"/>
  <c r="C61" i="14"/>
  <c r="C66" i="14"/>
  <c r="G67" i="14"/>
  <c r="C67" i="14" s="1"/>
  <c r="C69" i="14"/>
  <c r="C68" i="14" s="1"/>
  <c r="J72" i="14"/>
  <c r="C72" i="14" s="1"/>
  <c r="J73" i="14"/>
  <c r="C73" i="14" s="1"/>
  <c r="J74" i="14"/>
  <c r="C74" i="14" s="1"/>
  <c r="J75" i="14"/>
  <c r="C75" i="14" s="1"/>
  <c r="J76" i="14"/>
  <c r="C76" i="14" s="1"/>
  <c r="J77" i="14"/>
  <c r="C77" i="14" s="1"/>
  <c r="J78" i="14"/>
  <c r="C78" i="14" s="1"/>
  <c r="J79" i="14"/>
  <c r="C79" i="14" s="1"/>
  <c r="J80" i="14"/>
  <c r="C80" i="14" s="1"/>
  <c r="J81" i="14"/>
  <c r="C81" i="14" s="1"/>
  <c r="J82" i="14"/>
  <c r="C82" i="14" s="1"/>
  <c r="J83" i="14"/>
  <c r="C83" i="14" s="1"/>
  <c r="C85" i="14"/>
  <c r="C84" i="14" s="1"/>
  <c r="G92" i="14"/>
  <c r="G93" i="14"/>
  <c r="D25" i="16" l="1"/>
  <c r="D37" i="16"/>
  <c r="D33" i="16"/>
  <c r="C8" i="14"/>
  <c r="H116" i="17"/>
  <c r="H126" i="17"/>
  <c r="H128" i="17"/>
  <c r="C40" i="14"/>
  <c r="H124" i="17"/>
  <c r="H119" i="17"/>
  <c r="H120" i="17"/>
  <c r="H130" i="17"/>
  <c r="H121" i="17"/>
  <c r="H125" i="17"/>
  <c r="H131" i="17"/>
  <c r="H114" i="17"/>
  <c r="H115" i="17"/>
  <c r="H117" i="17"/>
  <c r="H129" i="17"/>
  <c r="H118" i="17"/>
  <c r="E25" i="17"/>
  <c r="E33" i="17"/>
  <c r="E37" i="17"/>
  <c r="E48" i="17"/>
  <c r="E52" i="17"/>
  <c r="E56" i="17"/>
  <c r="E91" i="17"/>
  <c r="E11" i="17"/>
  <c r="E15" i="17"/>
  <c r="E19" i="17"/>
  <c r="E23" i="17"/>
  <c r="E16" i="17"/>
  <c r="E24" i="17"/>
  <c r="E32" i="17"/>
  <c r="E40" i="17"/>
  <c r="E20" i="17"/>
  <c r="E71" i="17"/>
  <c r="E75" i="17"/>
  <c r="E77" i="17"/>
  <c r="E81" i="17"/>
  <c r="E87" i="17"/>
  <c r="E110" i="17"/>
  <c r="E47" i="17"/>
  <c r="E109" i="17"/>
  <c r="E12" i="17"/>
  <c r="E28" i="17"/>
  <c r="E79" i="17"/>
  <c r="E83" i="17"/>
  <c r="E111" i="17"/>
  <c r="E36" i="17"/>
  <c r="E73" i="17"/>
  <c r="E85" i="17"/>
  <c r="E105" i="17"/>
  <c r="E97" i="17"/>
  <c r="E100" i="17"/>
  <c r="E31" i="17"/>
  <c r="E93" i="17"/>
  <c r="E58" i="17"/>
  <c r="E26" i="17"/>
  <c r="E92" i="17"/>
  <c r="E86" i="17"/>
  <c r="E78" i="17"/>
  <c r="E70" i="17"/>
  <c r="E53" i="17"/>
  <c r="E38" i="17"/>
  <c r="E22" i="17"/>
  <c r="E29" i="17"/>
  <c r="E9" i="17"/>
  <c r="E98" i="17"/>
  <c r="E76" i="17"/>
  <c r="E67" i="17"/>
  <c r="E66" i="17"/>
  <c r="E101" i="17"/>
  <c r="E82" i="17"/>
  <c r="E74" i="17"/>
  <c r="E30" i="17"/>
  <c r="E17" i="17"/>
  <c r="E96" i="17"/>
  <c r="E18" i="17"/>
  <c r="E49" i="17"/>
  <c r="E35" i="17"/>
  <c r="E68" i="17"/>
  <c r="E95" i="17"/>
  <c r="E60" i="17"/>
  <c r="E54" i="17"/>
  <c r="E62" i="17"/>
  <c r="E43" i="17"/>
  <c r="E103" i="17"/>
  <c r="E106" i="17"/>
  <c r="E84" i="17"/>
  <c r="E21" i="17"/>
  <c r="E63" i="17"/>
  <c r="E39" i="17"/>
  <c r="E34" i="17"/>
  <c r="E50" i="17"/>
  <c r="E90" i="17"/>
  <c r="E27" i="17"/>
  <c r="E57" i="17"/>
  <c r="E42" i="17"/>
  <c r="E104" i="17"/>
  <c r="E99" i="17"/>
  <c r="E102" i="17"/>
  <c r="E88" i="17"/>
  <c r="E80" i="17"/>
  <c r="E72" i="17"/>
  <c r="E45" i="17"/>
  <c r="E13" i="17"/>
  <c r="E44" i="17"/>
  <c r="E10" i="17"/>
  <c r="E14" i="17"/>
  <c r="E61" i="17"/>
  <c r="E51" i="17"/>
  <c r="E59" i="17"/>
  <c r="E46" i="17"/>
  <c r="E55" i="17"/>
  <c r="E69" i="17"/>
  <c r="E65" i="17"/>
  <c r="E8" i="17"/>
  <c r="E89" i="17"/>
  <c r="E41" i="17"/>
  <c r="E94" i="17"/>
  <c r="H127" i="17"/>
  <c r="D13" i="16"/>
  <c r="D17" i="16"/>
  <c r="D32" i="16"/>
  <c r="D36" i="16"/>
  <c r="D40" i="16"/>
  <c r="D11" i="16"/>
  <c r="D15" i="16"/>
  <c r="D10" i="16"/>
  <c r="D14" i="16"/>
  <c r="D18" i="16"/>
  <c r="D22" i="16"/>
  <c r="D68" i="16"/>
  <c r="C71" i="16"/>
  <c r="E68" i="16" s="1"/>
  <c r="D66" i="16"/>
  <c r="D23" i="16"/>
  <c r="D61" i="16"/>
  <c r="D55" i="16"/>
  <c r="D29" i="16"/>
  <c r="D65" i="16"/>
  <c r="D51" i="16"/>
  <c r="D60" i="16"/>
  <c r="D39" i="16"/>
  <c r="D20" i="16"/>
  <c r="D57" i="16"/>
  <c r="D45" i="16"/>
  <c r="D27" i="16"/>
  <c r="D16" i="16"/>
  <c r="D8" i="16"/>
  <c r="D64" i="16"/>
  <c r="D56" i="16"/>
  <c r="D26" i="16"/>
  <c r="D28" i="16"/>
  <c r="D59" i="16"/>
  <c r="D47" i="16"/>
  <c r="D24" i="16"/>
  <c r="D34" i="16"/>
  <c r="D46" i="16"/>
  <c r="D9" i="16"/>
  <c r="D42" i="16"/>
  <c r="D63" i="16"/>
  <c r="D58" i="16"/>
  <c r="D50" i="16"/>
  <c r="D21" i="16"/>
  <c r="D12" i="16"/>
  <c r="D30" i="16"/>
  <c r="D19" i="16"/>
  <c r="D62" i="16"/>
  <c r="D35" i="16"/>
  <c r="D38" i="16"/>
  <c r="D31" i="16"/>
  <c r="D49" i="16"/>
  <c r="G91" i="16"/>
  <c r="H83" i="16" s="1"/>
  <c r="D48" i="16"/>
  <c r="D54" i="16"/>
  <c r="G108" i="15"/>
  <c r="G110" i="15"/>
  <c r="G115" i="15"/>
  <c r="G105" i="15"/>
  <c r="G106" i="15"/>
  <c r="G109" i="15"/>
  <c r="G111" i="15"/>
  <c r="G116" i="15"/>
  <c r="G114" i="15"/>
  <c r="G107" i="15"/>
  <c r="C96" i="15"/>
  <c r="D65" i="15" s="1"/>
  <c r="C8" i="15"/>
  <c r="G41" i="14"/>
  <c r="C41" i="14" s="1"/>
  <c r="C39" i="14" s="1"/>
  <c r="G106" i="14"/>
  <c r="G94" i="14"/>
  <c r="C59" i="14"/>
  <c r="C42" i="14"/>
  <c r="C71" i="14"/>
  <c r="C65" i="14"/>
  <c r="C30" i="14"/>
  <c r="G95" i="14"/>
  <c r="C55" i="14"/>
  <c r="C51" i="14"/>
  <c r="C9" i="13"/>
  <c r="C10" i="13"/>
  <c r="C11" i="13"/>
  <c r="C12" i="13"/>
  <c r="C13" i="13"/>
  <c r="C14" i="13"/>
  <c r="C15" i="13"/>
  <c r="C16" i="13"/>
  <c r="C17" i="13"/>
  <c r="C18" i="13"/>
  <c r="C19" i="13"/>
  <c r="C20" i="13"/>
  <c r="C21" i="13"/>
  <c r="C22" i="13"/>
  <c r="C23" i="13"/>
  <c r="C24" i="13"/>
  <c r="C26" i="13"/>
  <c r="C25" i="13" s="1"/>
  <c r="G109" i="13" s="1"/>
  <c r="C27" i="13"/>
  <c r="C28" i="13"/>
  <c r="C29" i="13"/>
  <c r="C31" i="13"/>
  <c r="C32" i="13"/>
  <c r="C33" i="13"/>
  <c r="C34" i="13"/>
  <c r="C35" i="13"/>
  <c r="C36" i="13"/>
  <c r="C37" i="13"/>
  <c r="C39" i="13"/>
  <c r="G40" i="13"/>
  <c r="C40" i="13" s="1"/>
  <c r="G41" i="13"/>
  <c r="C41" i="13" s="1"/>
  <c r="G42" i="13"/>
  <c r="C42" i="13" s="1"/>
  <c r="G43" i="13"/>
  <c r="C43" i="13" s="1"/>
  <c r="C45" i="13"/>
  <c r="C46" i="13"/>
  <c r="C47" i="13"/>
  <c r="C48" i="13"/>
  <c r="C49" i="13"/>
  <c r="C50" i="13"/>
  <c r="C51" i="13"/>
  <c r="C52" i="13"/>
  <c r="C53" i="13"/>
  <c r="C54" i="13"/>
  <c r="C55" i="13"/>
  <c r="C57" i="13"/>
  <c r="C58" i="13"/>
  <c r="C59" i="13"/>
  <c r="C61" i="13"/>
  <c r="C62" i="13"/>
  <c r="C63" i="13"/>
  <c r="G64" i="13"/>
  <c r="C64" i="13" s="1"/>
  <c r="J66" i="13"/>
  <c r="C66" i="13" s="1"/>
  <c r="C67" i="13"/>
  <c r="C68" i="13"/>
  <c r="C71" i="13"/>
  <c r="C73" i="13"/>
  <c r="J73" i="13"/>
  <c r="G75" i="13"/>
  <c r="C75" i="13" s="1"/>
  <c r="G76" i="13"/>
  <c r="C76" i="13" s="1"/>
  <c r="G77" i="13"/>
  <c r="C77" i="13" s="1"/>
  <c r="G78" i="13"/>
  <c r="C78" i="13" s="1"/>
  <c r="G79" i="13"/>
  <c r="C79" i="13" s="1"/>
  <c r="G80" i="13"/>
  <c r="C80" i="13" s="1"/>
  <c r="G81" i="13"/>
  <c r="C81" i="13" s="1"/>
  <c r="G82" i="13"/>
  <c r="C82" i="13" s="1"/>
  <c r="J84" i="13"/>
  <c r="C84" i="13" s="1"/>
  <c r="J87" i="13"/>
  <c r="C87" i="13" s="1"/>
  <c r="J88" i="13"/>
  <c r="C88" i="13" s="1"/>
  <c r="J89" i="13"/>
  <c r="C89" i="13" s="1"/>
  <c r="J90" i="13"/>
  <c r="C90" i="13" s="1"/>
  <c r="J91" i="13"/>
  <c r="C91" i="13" s="1"/>
  <c r="J92" i="13"/>
  <c r="C92" i="13" s="1"/>
  <c r="J93" i="13"/>
  <c r="C93" i="13" s="1"/>
  <c r="J94" i="13"/>
  <c r="C94" i="13" s="1"/>
  <c r="J95" i="13"/>
  <c r="C95" i="13" s="1"/>
  <c r="J96" i="13"/>
  <c r="C96" i="13" s="1"/>
  <c r="J97" i="13"/>
  <c r="C97" i="13" s="1"/>
  <c r="J98" i="13"/>
  <c r="C98" i="13" s="1"/>
  <c r="G106" i="13"/>
  <c r="G107" i="13"/>
  <c r="H90" i="16" l="1"/>
  <c r="D77" i="15"/>
  <c r="D48" i="15"/>
  <c r="D50" i="15"/>
  <c r="D35" i="15"/>
  <c r="D40" i="15"/>
  <c r="C74" i="13"/>
  <c r="D25" i="15"/>
  <c r="H75" i="16"/>
  <c r="H89" i="16"/>
  <c r="H88" i="16"/>
  <c r="H91" i="16"/>
  <c r="H84" i="16"/>
  <c r="H85" i="16"/>
  <c r="H74" i="16"/>
  <c r="H76" i="16"/>
  <c r="H80" i="16"/>
  <c r="H86" i="16"/>
  <c r="H77" i="16"/>
  <c r="H78" i="16"/>
  <c r="H82" i="16"/>
  <c r="H79" i="16"/>
  <c r="E10" i="16"/>
  <c r="E14" i="16"/>
  <c r="E18" i="16"/>
  <c r="E22" i="16"/>
  <c r="E71" i="16"/>
  <c r="E32" i="16"/>
  <c r="E36" i="16"/>
  <c r="E40" i="16"/>
  <c r="E70" i="16"/>
  <c r="E11" i="16"/>
  <c r="E15" i="16"/>
  <c r="E69" i="16"/>
  <c r="E66" i="16"/>
  <c r="E57" i="16"/>
  <c r="E45" i="16"/>
  <c r="E27" i="16"/>
  <c r="E51" i="16"/>
  <c r="E64" i="16"/>
  <c r="E56" i="16"/>
  <c r="E49" i="16"/>
  <c r="E30" i="16"/>
  <c r="E28" i="16"/>
  <c r="E59" i="16"/>
  <c r="E46" i="16"/>
  <c r="E35" i="16"/>
  <c r="E23" i="16"/>
  <c r="E20" i="16"/>
  <c r="E9" i="16"/>
  <c r="E26" i="16"/>
  <c r="E29" i="16"/>
  <c r="E58" i="16"/>
  <c r="E13" i="16"/>
  <c r="E42" i="16"/>
  <c r="E62" i="16"/>
  <c r="E39" i="16"/>
  <c r="E16" i="16"/>
  <c r="E50" i="16"/>
  <c r="E47" i="16"/>
  <c r="E31" i="16"/>
  <c r="E65" i="16"/>
  <c r="E60" i="16"/>
  <c r="E17" i="16"/>
  <c r="E63" i="16"/>
  <c r="E55" i="16"/>
  <c r="E12" i="16"/>
  <c r="E34" i="16"/>
  <c r="E38" i="16"/>
  <c r="E21" i="16"/>
  <c r="E8" i="16"/>
  <c r="E19" i="16"/>
  <c r="E61" i="16"/>
  <c r="E24" i="16"/>
  <c r="E33" i="16"/>
  <c r="E25" i="16"/>
  <c r="E54" i="16"/>
  <c r="E37" i="16"/>
  <c r="E41" i="16"/>
  <c r="E48" i="16"/>
  <c r="H81" i="16"/>
  <c r="H87" i="16"/>
  <c r="D8" i="15"/>
  <c r="G104" i="15"/>
  <c r="D55" i="15"/>
  <c r="D60" i="15"/>
  <c r="D74" i="15"/>
  <c r="D52" i="15"/>
  <c r="D30" i="15"/>
  <c r="D26" i="15"/>
  <c r="D69" i="15"/>
  <c r="D10" i="15"/>
  <c r="D14" i="15"/>
  <c r="D27" i="15"/>
  <c r="D31" i="15"/>
  <c r="D11" i="15"/>
  <c r="D15" i="15"/>
  <c r="D19" i="15"/>
  <c r="D23" i="15"/>
  <c r="D28" i="15"/>
  <c r="D32" i="15"/>
  <c r="D36" i="15"/>
  <c r="D43" i="15"/>
  <c r="D47" i="15"/>
  <c r="D18" i="15"/>
  <c r="D22" i="15"/>
  <c r="D34" i="15"/>
  <c r="D68" i="15"/>
  <c r="D72" i="15"/>
  <c r="D96" i="15"/>
  <c r="D9" i="15"/>
  <c r="D17" i="15"/>
  <c r="D37" i="15"/>
  <c r="D56" i="15"/>
  <c r="D82" i="15"/>
  <c r="D90" i="15"/>
  <c r="D94" i="15"/>
  <c r="D38" i="15"/>
  <c r="D42" i="15"/>
  <c r="D46" i="15"/>
  <c r="D67" i="15"/>
  <c r="D71" i="15"/>
  <c r="D85" i="15"/>
  <c r="D93" i="15"/>
  <c r="C99" i="15"/>
  <c r="D21" i="15"/>
  <c r="D39" i="15"/>
  <c r="D57" i="15"/>
  <c r="D80" i="15"/>
  <c r="D84" i="15"/>
  <c r="D88" i="15"/>
  <c r="D78" i="15"/>
  <c r="D86" i="15"/>
  <c r="D81" i="15"/>
  <c r="D89" i="15"/>
  <c r="D13" i="15"/>
  <c r="D58" i="15"/>
  <c r="D92" i="15"/>
  <c r="D64" i="15"/>
  <c r="D62" i="15"/>
  <c r="D12" i="15"/>
  <c r="D63" i="15"/>
  <c r="D54" i="15"/>
  <c r="D45" i="15"/>
  <c r="D53" i="15"/>
  <c r="D16" i="15"/>
  <c r="D33" i="15"/>
  <c r="D29" i="15"/>
  <c r="D91" i="15"/>
  <c r="D70" i="15"/>
  <c r="D44" i="15"/>
  <c r="D87" i="15"/>
  <c r="D79" i="15"/>
  <c r="D61" i="15"/>
  <c r="D41" i="15"/>
  <c r="D75" i="15"/>
  <c r="D20" i="15"/>
  <c r="D66" i="15"/>
  <c r="D51" i="15"/>
  <c r="D24" i="15"/>
  <c r="D73" i="15"/>
  <c r="D83" i="15"/>
  <c r="D49" i="15"/>
  <c r="G97" i="14"/>
  <c r="D39" i="14"/>
  <c r="G96" i="14"/>
  <c r="G99" i="14"/>
  <c r="G105" i="14"/>
  <c r="G98" i="14"/>
  <c r="C86" i="14"/>
  <c r="D65" i="14" s="1"/>
  <c r="G108" i="14"/>
  <c r="G100" i="14"/>
  <c r="G101" i="14"/>
  <c r="D59" i="14"/>
  <c r="D41" i="14"/>
  <c r="C65" i="13"/>
  <c r="C86" i="13"/>
  <c r="G119" i="13"/>
  <c r="C83" i="13"/>
  <c r="C60" i="13"/>
  <c r="C38" i="13"/>
  <c r="C30" i="13"/>
  <c r="C72" i="13"/>
  <c r="C56" i="13"/>
  <c r="C44" i="13"/>
  <c r="C70" i="13"/>
  <c r="C8" i="13"/>
  <c r="G114" i="12"/>
  <c r="G113" i="12"/>
  <c r="J105" i="12"/>
  <c r="C105" i="12"/>
  <c r="J104" i="12"/>
  <c r="C104" i="12" s="1"/>
  <c r="J103" i="12"/>
  <c r="C103" i="12"/>
  <c r="J102" i="12"/>
  <c r="C102" i="12" s="1"/>
  <c r="J101" i="12"/>
  <c r="C101" i="12"/>
  <c r="J100" i="12"/>
  <c r="C100" i="12" s="1"/>
  <c r="J99" i="12"/>
  <c r="C99" i="12"/>
  <c r="J98" i="12"/>
  <c r="C98" i="12" s="1"/>
  <c r="J97" i="12"/>
  <c r="C97" i="12"/>
  <c r="J96" i="12"/>
  <c r="C96" i="12" s="1"/>
  <c r="J95" i="12"/>
  <c r="C95" i="12"/>
  <c r="J94" i="12"/>
  <c r="C94" i="12" s="1"/>
  <c r="J93" i="12"/>
  <c r="C93" i="12"/>
  <c r="J92" i="12"/>
  <c r="C92" i="12" s="1"/>
  <c r="J91" i="12"/>
  <c r="C91" i="12"/>
  <c r="J90" i="12"/>
  <c r="C90" i="12" s="1"/>
  <c r="J89" i="12"/>
  <c r="C89" i="12"/>
  <c r="C85" i="12"/>
  <c r="C84" i="12"/>
  <c r="C83" i="12"/>
  <c r="J81" i="12"/>
  <c r="C81" i="12" s="1"/>
  <c r="J80" i="12"/>
  <c r="C80" i="12" s="1"/>
  <c r="J79" i="12"/>
  <c r="C79" i="12" s="1"/>
  <c r="J78" i="12"/>
  <c r="C78" i="12" s="1"/>
  <c r="J77" i="12"/>
  <c r="C77" i="12" s="1"/>
  <c r="J76" i="12"/>
  <c r="C76" i="12" s="1"/>
  <c r="J75" i="12"/>
  <c r="C75" i="12" s="1"/>
  <c r="J74" i="12"/>
  <c r="C74" i="12" s="1"/>
  <c r="C72" i="12"/>
  <c r="C71" i="12"/>
  <c r="C70" i="12"/>
  <c r="C69" i="12"/>
  <c r="J67" i="12"/>
  <c r="C67" i="12"/>
  <c r="C66" i="12" s="1"/>
  <c r="C65" i="12"/>
  <c r="C64" i="12"/>
  <c r="C63" i="12"/>
  <c r="C62" i="12" s="1"/>
  <c r="G121" i="12" s="1"/>
  <c r="C61" i="12"/>
  <c r="C60" i="12"/>
  <c r="C59" i="12"/>
  <c r="C58" i="12" s="1"/>
  <c r="C57" i="12"/>
  <c r="C56" i="12"/>
  <c r="C55" i="12"/>
  <c r="C54" i="12"/>
  <c r="C53" i="12"/>
  <c r="C52" i="12"/>
  <c r="J50" i="12"/>
  <c r="G50" i="12"/>
  <c r="J49" i="12"/>
  <c r="G49" i="12"/>
  <c r="C49" i="12" s="1"/>
  <c r="J48" i="12"/>
  <c r="C48" i="12" s="1"/>
  <c r="G48" i="12"/>
  <c r="J47" i="12"/>
  <c r="G47" i="12"/>
  <c r="C47" i="12"/>
  <c r="C46" i="12"/>
  <c r="J45" i="12"/>
  <c r="G45" i="12"/>
  <c r="C45" i="12"/>
  <c r="C43" i="12"/>
  <c r="C42" i="12"/>
  <c r="C41" i="12"/>
  <c r="C40" i="12"/>
  <c r="C39" i="12"/>
  <c r="C38" i="12"/>
  <c r="C37" i="12"/>
  <c r="C36" i="12"/>
  <c r="C35" i="12"/>
  <c r="C34" i="12"/>
  <c r="C33" i="12"/>
  <c r="C32" i="12"/>
  <c r="C30" i="12"/>
  <c r="C29" i="12"/>
  <c r="C28" i="12"/>
  <c r="C27" i="12"/>
  <c r="C26" i="12"/>
  <c r="C25" i="12"/>
  <c r="C24" i="12"/>
  <c r="C23" i="12"/>
  <c r="C22" i="12"/>
  <c r="C21" i="12"/>
  <c r="C20" i="12"/>
  <c r="C19" i="12"/>
  <c r="C18" i="12"/>
  <c r="C17" i="12"/>
  <c r="C16" i="12"/>
  <c r="C15" i="12"/>
  <c r="C14" i="12"/>
  <c r="C13" i="12"/>
  <c r="C12" i="12"/>
  <c r="C11" i="12"/>
  <c r="C8" i="12" s="1"/>
  <c r="C10" i="12"/>
  <c r="C9" i="12"/>
  <c r="D51" i="14" l="1"/>
  <c r="C50" i="12"/>
  <c r="G109" i="14"/>
  <c r="H102" i="14" s="1"/>
  <c r="E37" i="15"/>
  <c r="E99" i="15"/>
  <c r="E28" i="15"/>
  <c r="E32" i="15"/>
  <c r="E97" i="15"/>
  <c r="E11" i="15"/>
  <c r="E15" i="15"/>
  <c r="E19" i="15"/>
  <c r="E23" i="15"/>
  <c r="E31" i="15"/>
  <c r="E36" i="15"/>
  <c r="E57" i="15"/>
  <c r="E58" i="15"/>
  <c r="E14" i="15"/>
  <c r="E22" i="15"/>
  <c r="E43" i="15"/>
  <c r="E47" i="15"/>
  <c r="E68" i="15"/>
  <c r="E72" i="15"/>
  <c r="E98" i="15"/>
  <c r="E10" i="15"/>
  <c r="E27" i="15"/>
  <c r="E42" i="15"/>
  <c r="E61" i="15"/>
  <c r="E18" i="15"/>
  <c r="E38" i="15"/>
  <c r="E46" i="15"/>
  <c r="E51" i="15"/>
  <c r="E63" i="15"/>
  <c r="E69" i="15"/>
  <c r="E24" i="15"/>
  <c r="E21" i="15"/>
  <c r="E49" i="15"/>
  <c r="E16" i="15"/>
  <c r="E33" i="15"/>
  <c r="E93" i="15"/>
  <c r="E67" i="15"/>
  <c r="E29" i="15"/>
  <c r="E90" i="15"/>
  <c r="E82" i="15"/>
  <c r="E70" i="15"/>
  <c r="E83" i="15"/>
  <c r="E91" i="15"/>
  <c r="E80" i="15"/>
  <c r="E13" i="15"/>
  <c r="E94" i="15"/>
  <c r="E78" i="15"/>
  <c r="E56" i="15"/>
  <c r="E17" i="15"/>
  <c r="E75" i="15"/>
  <c r="E79" i="15"/>
  <c r="E39" i="15"/>
  <c r="E71" i="15"/>
  <c r="E87" i="15"/>
  <c r="E54" i="15"/>
  <c r="E92" i="15"/>
  <c r="E89" i="15"/>
  <c r="E45" i="15"/>
  <c r="E88" i="15"/>
  <c r="E85" i="15"/>
  <c r="E64" i="15"/>
  <c r="E12" i="15"/>
  <c r="E41" i="15"/>
  <c r="E84" i="15"/>
  <c r="E44" i="15"/>
  <c r="E34" i="15"/>
  <c r="E81" i="15"/>
  <c r="E86" i="15"/>
  <c r="E62" i="15"/>
  <c r="E53" i="15"/>
  <c r="E73" i="15"/>
  <c r="E20" i="15"/>
  <c r="E66" i="15"/>
  <c r="E9" i="15"/>
  <c r="E50" i="15"/>
  <c r="E26" i="15"/>
  <c r="E55" i="15"/>
  <c r="E60" i="15"/>
  <c r="E65" i="15"/>
  <c r="E48" i="15"/>
  <c r="E77" i="15"/>
  <c r="E40" i="15"/>
  <c r="E35" i="15"/>
  <c r="E52" i="15"/>
  <c r="E74" i="15"/>
  <c r="E25" i="15"/>
  <c r="E30" i="15"/>
  <c r="E8" i="15"/>
  <c r="H104" i="15"/>
  <c r="G119" i="15"/>
  <c r="E96" i="15"/>
  <c r="H107" i="14"/>
  <c r="H104" i="14"/>
  <c r="H103" i="14"/>
  <c r="H93" i="14"/>
  <c r="H95" i="14"/>
  <c r="H94" i="14"/>
  <c r="D71" i="14"/>
  <c r="H99" i="14"/>
  <c r="D30" i="14"/>
  <c r="D55" i="14"/>
  <c r="D42" i="14"/>
  <c r="H96" i="14"/>
  <c r="H98" i="14"/>
  <c r="H100" i="14"/>
  <c r="D12" i="14"/>
  <c r="D85" i="14"/>
  <c r="D9" i="14"/>
  <c r="D13" i="14"/>
  <c r="D17" i="14"/>
  <c r="D21" i="14"/>
  <c r="D25" i="14"/>
  <c r="D29" i="14"/>
  <c r="D33" i="14"/>
  <c r="D37" i="14"/>
  <c r="D44" i="14"/>
  <c r="D48" i="14"/>
  <c r="D52" i="14"/>
  <c r="D56" i="14"/>
  <c r="D61" i="14"/>
  <c r="D86" i="14"/>
  <c r="C89" i="14"/>
  <c r="E86" i="14" s="1"/>
  <c r="D16" i="14"/>
  <c r="D20" i="14"/>
  <c r="D24" i="14"/>
  <c r="D28" i="14"/>
  <c r="D43" i="14"/>
  <c r="D32" i="14"/>
  <c r="D36" i="14"/>
  <c r="D47" i="14"/>
  <c r="D8" i="14"/>
  <c r="D22" i="14"/>
  <c r="D84" i="14"/>
  <c r="D80" i="14"/>
  <c r="D76" i="14"/>
  <c r="D72" i="14"/>
  <c r="D58" i="14"/>
  <c r="D35" i="14"/>
  <c r="D23" i="14"/>
  <c r="D82" i="14"/>
  <c r="D78" i="14"/>
  <c r="D50" i="14"/>
  <c r="D49" i="14"/>
  <c r="D53" i="14"/>
  <c r="D60" i="14"/>
  <c r="D18" i="14"/>
  <c r="D57" i="14"/>
  <c r="D83" i="14"/>
  <c r="D79" i="14"/>
  <c r="D75" i="14"/>
  <c r="D54" i="14"/>
  <c r="D31" i="14"/>
  <c r="D19" i="14"/>
  <c r="D69" i="14"/>
  <c r="D67" i="14"/>
  <c r="D45" i="14"/>
  <c r="D66" i="14"/>
  <c r="D15" i="14"/>
  <c r="D68" i="14"/>
  <c r="D14" i="14"/>
  <c r="D34" i="14"/>
  <c r="D81" i="14"/>
  <c r="D77" i="14"/>
  <c r="D73" i="14"/>
  <c r="D46" i="14"/>
  <c r="D27" i="14"/>
  <c r="D11" i="14"/>
  <c r="D40" i="14"/>
  <c r="D26" i="14"/>
  <c r="D38" i="14"/>
  <c r="D10" i="14"/>
  <c r="D74" i="14"/>
  <c r="G113" i="13"/>
  <c r="G108" i="13"/>
  <c r="G114" i="13"/>
  <c r="G120" i="13"/>
  <c r="C100" i="13"/>
  <c r="D70" i="13" s="1"/>
  <c r="G122" i="13"/>
  <c r="G117" i="13"/>
  <c r="G110" i="13"/>
  <c r="D44" i="13"/>
  <c r="G112" i="13"/>
  <c r="G118" i="13"/>
  <c r="D38" i="13"/>
  <c r="G111" i="13"/>
  <c r="G115" i="13"/>
  <c r="C44" i="12"/>
  <c r="G115" i="12"/>
  <c r="G120" i="12"/>
  <c r="C73" i="12"/>
  <c r="G116" i="12"/>
  <c r="C31" i="12"/>
  <c r="C82" i="12"/>
  <c r="C88" i="12"/>
  <c r="G122" i="12"/>
  <c r="G124" i="12"/>
  <c r="C51" i="12"/>
  <c r="C68" i="12"/>
  <c r="D72" i="13" l="1"/>
  <c r="D65" i="13"/>
  <c r="D83" i="13"/>
  <c r="D8" i="13"/>
  <c r="H101" i="14"/>
  <c r="H105" i="14"/>
  <c r="H106" i="14"/>
  <c r="H92" i="14"/>
  <c r="H97" i="14"/>
  <c r="H108" i="14"/>
  <c r="H109" i="14"/>
  <c r="H119" i="15"/>
  <c r="H102" i="15"/>
  <c r="H117" i="15"/>
  <c r="H113" i="15"/>
  <c r="H118" i="15"/>
  <c r="H103" i="15"/>
  <c r="H112" i="15"/>
  <c r="H110" i="15"/>
  <c r="H116" i="15"/>
  <c r="H107" i="15"/>
  <c r="H106" i="15"/>
  <c r="H108" i="15"/>
  <c r="H109" i="15"/>
  <c r="H105" i="15"/>
  <c r="H111" i="15"/>
  <c r="H115" i="15"/>
  <c r="H114" i="15"/>
  <c r="E25" i="14"/>
  <c r="E29" i="14"/>
  <c r="E89" i="14"/>
  <c r="E22" i="14"/>
  <c r="E26" i="14"/>
  <c r="E34" i="14"/>
  <c r="E38" i="14"/>
  <c r="E45" i="14"/>
  <c r="E49" i="14"/>
  <c r="E53" i="14"/>
  <c r="E57" i="14"/>
  <c r="E9" i="14"/>
  <c r="E13" i="14"/>
  <c r="E17" i="14"/>
  <c r="E21" i="14"/>
  <c r="E33" i="14"/>
  <c r="E37" i="14"/>
  <c r="E44" i="14"/>
  <c r="E48" i="14"/>
  <c r="E52" i="14"/>
  <c r="E56" i="14"/>
  <c r="E12" i="14"/>
  <c r="E16" i="14"/>
  <c r="E87" i="14"/>
  <c r="E88" i="14"/>
  <c r="E61" i="14"/>
  <c r="E69" i="14"/>
  <c r="E54" i="14"/>
  <c r="E80" i="14"/>
  <c r="E72" i="14"/>
  <c r="E32" i="14"/>
  <c r="E15" i="14"/>
  <c r="E68" i="14"/>
  <c r="E81" i="14"/>
  <c r="E58" i="14"/>
  <c r="E79" i="14"/>
  <c r="E66" i="14"/>
  <c r="E28" i="14"/>
  <c r="E18" i="14"/>
  <c r="E46" i="14"/>
  <c r="E73" i="14"/>
  <c r="E35" i="14"/>
  <c r="E78" i="14"/>
  <c r="E50" i="14"/>
  <c r="E40" i="14"/>
  <c r="E27" i="14"/>
  <c r="E11" i="14"/>
  <c r="E75" i="14"/>
  <c r="E8" i="14"/>
  <c r="E77" i="14"/>
  <c r="E24" i="14"/>
  <c r="E14" i="14"/>
  <c r="E84" i="14"/>
  <c r="E23" i="14"/>
  <c r="E47" i="14"/>
  <c r="E10" i="14"/>
  <c r="E82" i="14"/>
  <c r="E74" i="14"/>
  <c r="E36" i="14"/>
  <c r="E19" i="14"/>
  <c r="E67" i="14"/>
  <c r="E60" i="14"/>
  <c r="E31" i="14"/>
  <c r="E83" i="14"/>
  <c r="E85" i="14"/>
  <c r="E43" i="14"/>
  <c r="E76" i="14"/>
  <c r="E20" i="14"/>
  <c r="E39" i="14"/>
  <c r="E30" i="14"/>
  <c r="E51" i="14"/>
  <c r="E42" i="14"/>
  <c r="E71" i="14"/>
  <c r="E41" i="14"/>
  <c r="E55" i="14"/>
  <c r="E59" i="14"/>
  <c r="E65" i="14"/>
  <c r="D11" i="13"/>
  <c r="D15" i="13"/>
  <c r="D19" i="13"/>
  <c r="D23" i="13"/>
  <c r="D27" i="13"/>
  <c r="D31" i="13"/>
  <c r="D35" i="13"/>
  <c r="D14" i="13"/>
  <c r="D22" i="13"/>
  <c r="D78" i="13"/>
  <c r="D82" i="13"/>
  <c r="D79" i="13"/>
  <c r="D34" i="13"/>
  <c r="D47" i="13"/>
  <c r="D51" i="13"/>
  <c r="D59" i="13"/>
  <c r="D10" i="13"/>
  <c r="D18" i="13"/>
  <c r="D26" i="13"/>
  <c r="D39" i="13"/>
  <c r="D53" i="13"/>
  <c r="D58" i="13"/>
  <c r="D61" i="13"/>
  <c r="D67" i="13"/>
  <c r="C103" i="13"/>
  <c r="E100" i="13" s="1"/>
  <c r="D46" i="13"/>
  <c r="D50" i="13"/>
  <c r="D55" i="13"/>
  <c r="D63" i="13"/>
  <c r="D75" i="13"/>
  <c r="D100" i="13"/>
  <c r="D89" i="13"/>
  <c r="D81" i="13"/>
  <c r="D93" i="13"/>
  <c r="D80" i="13"/>
  <c r="D52" i="13"/>
  <c r="D24" i="13"/>
  <c r="D29" i="13"/>
  <c r="D13" i="13"/>
  <c r="D40" i="13"/>
  <c r="D36" i="13"/>
  <c r="D17" i="13"/>
  <c r="D49" i="13"/>
  <c r="D25" i="13"/>
  <c r="D91" i="13"/>
  <c r="D95" i="13"/>
  <c r="D20" i="13"/>
  <c r="D98" i="13"/>
  <c r="D57" i="13"/>
  <c r="D9" i="13"/>
  <c r="D97" i="13"/>
  <c r="D96" i="13"/>
  <c r="D77" i="13"/>
  <c r="D66" i="13"/>
  <c r="D74" i="13"/>
  <c r="D64" i="13"/>
  <c r="D92" i="13"/>
  <c r="D68" i="13"/>
  <c r="D48" i="13"/>
  <c r="D33" i="13"/>
  <c r="D37" i="13"/>
  <c r="D45" i="13"/>
  <c r="D28" i="13"/>
  <c r="D12" i="13"/>
  <c r="D94" i="13"/>
  <c r="D73" i="13"/>
  <c r="D43" i="13"/>
  <c r="D16" i="13"/>
  <c r="D76" i="13"/>
  <c r="D21" i="13"/>
  <c r="D71" i="13"/>
  <c r="D62" i="13"/>
  <c r="D88" i="13"/>
  <c r="D87" i="13"/>
  <c r="D54" i="13"/>
  <c r="D84" i="13"/>
  <c r="D41" i="13"/>
  <c r="D32" i="13"/>
  <c r="D42" i="13"/>
  <c r="D90" i="13"/>
  <c r="D60" i="13"/>
  <c r="D30" i="13"/>
  <c r="G123" i="13"/>
  <c r="H115" i="13" s="1"/>
  <c r="H118" i="13"/>
  <c r="D86" i="13"/>
  <c r="D56" i="13"/>
  <c r="G117" i="12"/>
  <c r="G123" i="12"/>
  <c r="G119" i="12"/>
  <c r="G126" i="12"/>
  <c r="G125" i="12"/>
  <c r="G118" i="12"/>
  <c r="C107" i="12"/>
  <c r="D31" i="12" s="1"/>
  <c r="H111" i="13" l="1"/>
  <c r="H114" i="13"/>
  <c r="H112" i="13"/>
  <c r="H113" i="13"/>
  <c r="H123" i="13"/>
  <c r="H121" i="13"/>
  <c r="H116" i="13"/>
  <c r="H106" i="13"/>
  <c r="H107" i="13"/>
  <c r="H109" i="13"/>
  <c r="H119" i="13"/>
  <c r="H117" i="13"/>
  <c r="H108" i="13"/>
  <c r="H110" i="13"/>
  <c r="H120" i="13"/>
  <c r="E103" i="13"/>
  <c r="E12" i="13"/>
  <c r="E16" i="13"/>
  <c r="E20" i="13"/>
  <c r="E24" i="13"/>
  <c r="E28" i="13"/>
  <c r="E32" i="13"/>
  <c r="E11" i="13"/>
  <c r="E19" i="13"/>
  <c r="E27" i="13"/>
  <c r="E40" i="13"/>
  <c r="E42" i="13"/>
  <c r="E48" i="13"/>
  <c r="E52" i="13"/>
  <c r="E55" i="13"/>
  <c r="E63" i="13"/>
  <c r="E75" i="13"/>
  <c r="E79" i="13"/>
  <c r="E101" i="13"/>
  <c r="E31" i="13"/>
  <c r="E36" i="13"/>
  <c r="E102" i="13"/>
  <c r="E15" i="13"/>
  <c r="E23" i="13"/>
  <c r="E47" i="13"/>
  <c r="E51" i="13"/>
  <c r="E59" i="13"/>
  <c r="E35" i="13"/>
  <c r="E39" i="13"/>
  <c r="E58" i="13"/>
  <c r="E76" i="13"/>
  <c r="E80" i="13"/>
  <c r="E96" i="13"/>
  <c r="E71" i="13"/>
  <c r="E92" i="13"/>
  <c r="E84" i="13"/>
  <c r="E81" i="13"/>
  <c r="E41" i="13"/>
  <c r="E67" i="13"/>
  <c r="E54" i="13"/>
  <c r="E18" i="13"/>
  <c r="E94" i="13"/>
  <c r="E97" i="13"/>
  <c r="E89" i="13"/>
  <c r="E9" i="13"/>
  <c r="E46" i="13"/>
  <c r="E10" i="13"/>
  <c r="E93" i="13"/>
  <c r="E43" i="13"/>
  <c r="E68" i="13"/>
  <c r="E49" i="13"/>
  <c r="E82" i="13"/>
  <c r="E87" i="13"/>
  <c r="E22" i="13"/>
  <c r="E77" i="13"/>
  <c r="E50" i="13"/>
  <c r="E29" i="13"/>
  <c r="E13" i="13"/>
  <c r="E62" i="13"/>
  <c r="E53" i="13"/>
  <c r="E90" i="13"/>
  <c r="E34" i="13"/>
  <c r="E17" i="13"/>
  <c r="E91" i="13"/>
  <c r="E78" i="13"/>
  <c r="E88" i="13"/>
  <c r="E95" i="13"/>
  <c r="E74" i="13"/>
  <c r="E64" i="13"/>
  <c r="E33" i="13"/>
  <c r="E37" i="13"/>
  <c r="E61" i="13"/>
  <c r="E45" i="13"/>
  <c r="E26" i="13"/>
  <c r="E66" i="13"/>
  <c r="E57" i="13"/>
  <c r="E14" i="13"/>
  <c r="E73" i="13"/>
  <c r="E21" i="13"/>
  <c r="E98" i="13"/>
  <c r="E25" i="13"/>
  <c r="E8" i="13"/>
  <c r="E44" i="13"/>
  <c r="E30" i="13"/>
  <c r="E56" i="13"/>
  <c r="E86" i="13"/>
  <c r="E70" i="13"/>
  <c r="E38" i="13"/>
  <c r="E65" i="13"/>
  <c r="E83" i="13"/>
  <c r="E72" i="13"/>
  <c r="E60" i="13"/>
  <c r="H122" i="13"/>
  <c r="H118" i="12"/>
  <c r="G130" i="12"/>
  <c r="D88" i="12"/>
  <c r="D51" i="12"/>
  <c r="D82" i="12"/>
  <c r="D85" i="12"/>
  <c r="D69" i="12"/>
  <c r="D64" i="12"/>
  <c r="D60" i="12"/>
  <c r="D56" i="12"/>
  <c r="D52" i="12"/>
  <c r="D42" i="12"/>
  <c r="D38" i="12"/>
  <c r="D34" i="12"/>
  <c r="D30" i="12"/>
  <c r="D26" i="12"/>
  <c r="D22" i="12"/>
  <c r="D18" i="12"/>
  <c r="D14" i="12"/>
  <c r="D10" i="12"/>
  <c r="D72" i="12"/>
  <c r="D84" i="12"/>
  <c r="D63" i="12"/>
  <c r="C110" i="12"/>
  <c r="E107" i="12" s="1"/>
  <c r="D107" i="12"/>
  <c r="D67" i="12"/>
  <c r="D59" i="12"/>
  <c r="D45" i="12"/>
  <c r="D37" i="12"/>
  <c r="D25" i="12"/>
  <c r="D17" i="12"/>
  <c r="D9" i="12"/>
  <c r="D47" i="12"/>
  <c r="D29" i="12"/>
  <c r="D21" i="12"/>
  <c r="D13" i="12"/>
  <c r="D55" i="12"/>
  <c r="D41" i="12"/>
  <c r="D33" i="12"/>
  <c r="D48" i="12"/>
  <c r="D8" i="12"/>
  <c r="D24" i="12"/>
  <c r="D81" i="12"/>
  <c r="D36" i="12"/>
  <c r="D58" i="12"/>
  <c r="D74" i="12"/>
  <c r="D12" i="12"/>
  <c r="D46" i="12"/>
  <c r="D75" i="12"/>
  <c r="D80" i="12"/>
  <c r="D71" i="12"/>
  <c r="D89" i="12"/>
  <c r="D93" i="12"/>
  <c r="D97" i="12"/>
  <c r="D101" i="12"/>
  <c r="D105" i="12"/>
  <c r="D15" i="12"/>
  <c r="D35" i="12"/>
  <c r="D57" i="12"/>
  <c r="D70" i="12"/>
  <c r="D49" i="12"/>
  <c r="D83" i="12"/>
  <c r="D99" i="12"/>
  <c r="D23" i="12"/>
  <c r="D54" i="12"/>
  <c r="D53" i="12"/>
  <c r="D50" i="12"/>
  <c r="D28" i="12"/>
  <c r="D77" i="12"/>
  <c r="D40" i="12"/>
  <c r="D90" i="12"/>
  <c r="D94" i="12"/>
  <c r="D98" i="12"/>
  <c r="D102" i="12"/>
  <c r="D19" i="12"/>
  <c r="D39" i="12"/>
  <c r="D61" i="12"/>
  <c r="D16" i="12"/>
  <c r="D20" i="12"/>
  <c r="D79" i="12"/>
  <c r="D32" i="12"/>
  <c r="D76" i="12"/>
  <c r="D62" i="12"/>
  <c r="D91" i="12"/>
  <c r="D95" i="12"/>
  <c r="D103" i="12"/>
  <c r="D43" i="12"/>
  <c r="D78" i="12"/>
  <c r="D66" i="12"/>
  <c r="D92" i="12"/>
  <c r="D96" i="12"/>
  <c r="D100" i="12"/>
  <c r="D104" i="12"/>
  <c r="D11" i="12"/>
  <c r="D27" i="12"/>
  <c r="D65" i="12"/>
  <c r="H125" i="12"/>
  <c r="H123" i="12"/>
  <c r="H126" i="12"/>
  <c r="D44" i="12"/>
  <c r="D73" i="12"/>
  <c r="H119" i="12"/>
  <c r="D68" i="12"/>
  <c r="H130" i="12" l="1"/>
  <c r="H127" i="12"/>
  <c r="H113" i="12"/>
  <c r="H128" i="12"/>
  <c r="H129" i="12"/>
  <c r="H121" i="12"/>
  <c r="H114" i="12"/>
  <c r="H116" i="12"/>
  <c r="H120" i="12"/>
  <c r="H124" i="12"/>
  <c r="H115" i="12"/>
  <c r="H122" i="12"/>
  <c r="E108" i="12"/>
  <c r="E9" i="12"/>
  <c r="E110" i="12"/>
  <c r="E109" i="12"/>
  <c r="E84" i="12"/>
  <c r="E72" i="12"/>
  <c r="E67" i="12"/>
  <c r="E63" i="12"/>
  <c r="E59" i="12"/>
  <c r="E55" i="12"/>
  <c r="E47" i="12"/>
  <c r="E45" i="12"/>
  <c r="E41" i="12"/>
  <c r="E37" i="12"/>
  <c r="E33" i="12"/>
  <c r="E29" i="12"/>
  <c r="E25" i="12"/>
  <c r="E21" i="12"/>
  <c r="E17" i="12"/>
  <c r="E13" i="12"/>
  <c r="E85" i="12"/>
  <c r="E69" i="12"/>
  <c r="E64" i="12"/>
  <c r="E60" i="12"/>
  <c r="E56" i="12"/>
  <c r="E42" i="12"/>
  <c r="E34" i="12"/>
  <c r="E22" i="12"/>
  <c r="E14" i="12"/>
  <c r="E30" i="12"/>
  <c r="E50" i="12"/>
  <c r="E26" i="12"/>
  <c r="E18" i="12"/>
  <c r="E10" i="12"/>
  <c r="E52" i="12"/>
  <c r="E38" i="12"/>
  <c r="E99" i="12"/>
  <c r="E11" i="12"/>
  <c r="E83" i="12"/>
  <c r="E92" i="12"/>
  <c r="E100" i="12"/>
  <c r="E77" i="12"/>
  <c r="E23" i="12"/>
  <c r="E40" i="12"/>
  <c r="E71" i="12"/>
  <c r="E93" i="12"/>
  <c r="E54" i="12"/>
  <c r="E62" i="12"/>
  <c r="E48" i="12"/>
  <c r="E81" i="12"/>
  <c r="E36" i="12"/>
  <c r="E74" i="12"/>
  <c r="E12" i="12"/>
  <c r="E46" i="12"/>
  <c r="E90" i="12"/>
  <c r="E15" i="12"/>
  <c r="E80" i="12"/>
  <c r="E16" i="12"/>
  <c r="E35" i="12"/>
  <c r="E89" i="12"/>
  <c r="E101" i="12"/>
  <c r="E19" i="12"/>
  <c r="E61" i="12"/>
  <c r="E43" i="12"/>
  <c r="E20" i="12"/>
  <c r="E49" i="12"/>
  <c r="E66" i="12"/>
  <c r="E79" i="12"/>
  <c r="E94" i="12"/>
  <c r="E102" i="12"/>
  <c r="E32" i="12"/>
  <c r="E76" i="12"/>
  <c r="E57" i="12"/>
  <c r="E95" i="12"/>
  <c r="E103" i="12"/>
  <c r="E27" i="12"/>
  <c r="E58" i="12"/>
  <c r="E65" i="12"/>
  <c r="E78" i="12"/>
  <c r="E91" i="12"/>
  <c r="E39" i="12"/>
  <c r="E70" i="12"/>
  <c r="E96" i="12"/>
  <c r="E104" i="12"/>
  <c r="E8" i="12"/>
  <c r="E24" i="12"/>
  <c r="E97" i="12"/>
  <c r="E105" i="12"/>
  <c r="E28" i="12"/>
  <c r="E53" i="12"/>
  <c r="E75" i="12"/>
  <c r="E98" i="12"/>
  <c r="E31" i="12"/>
  <c r="E82" i="12"/>
  <c r="E68" i="12"/>
  <c r="E51" i="12"/>
  <c r="E73" i="12"/>
  <c r="E88" i="12"/>
  <c r="E44" i="12"/>
  <c r="H117" i="12"/>
  <c r="G77" i="11" l="1"/>
  <c r="G76" i="11"/>
  <c r="J68" i="11"/>
  <c r="C68" i="11" s="1"/>
  <c r="J67" i="11"/>
  <c r="C67" i="11" s="1"/>
  <c r="J66" i="11"/>
  <c r="C66" i="11" s="1"/>
  <c r="J65" i="11"/>
  <c r="C65" i="11" s="1"/>
  <c r="J64" i="11"/>
  <c r="C64" i="11" s="1"/>
  <c r="J63" i="11"/>
  <c r="C63" i="11" s="1"/>
  <c r="J62" i="11"/>
  <c r="C62" i="11" s="1"/>
  <c r="J61" i="11"/>
  <c r="C61" i="11" s="1"/>
  <c r="J60" i="11"/>
  <c r="C60" i="11" s="1"/>
  <c r="J59" i="11"/>
  <c r="C59" i="11" s="1"/>
  <c r="J58" i="11"/>
  <c r="C58" i="11" s="1"/>
  <c r="J57" i="11"/>
  <c r="C57" i="11" s="1"/>
  <c r="C53" i="11"/>
  <c r="C52" i="11"/>
  <c r="C49" i="11"/>
  <c r="C48" i="11"/>
  <c r="G87" i="11" s="1"/>
  <c r="J46" i="11"/>
  <c r="C46" i="11"/>
  <c r="C44" i="11"/>
  <c r="C43" i="11"/>
  <c r="C42" i="11"/>
  <c r="C40" i="11"/>
  <c r="C39" i="11"/>
  <c r="C38" i="11"/>
  <c r="C36" i="11"/>
  <c r="C35" i="11"/>
  <c r="C34" i="11"/>
  <c r="G32" i="11"/>
  <c r="C32" i="11" s="1"/>
  <c r="G31" i="11"/>
  <c r="C31" i="11" s="1"/>
  <c r="C29" i="11"/>
  <c r="C27" i="11"/>
  <c r="C26" i="11"/>
  <c r="C25" i="11"/>
  <c r="C24" i="11"/>
  <c r="C23" i="11"/>
  <c r="C22" i="11"/>
  <c r="C21" i="11"/>
  <c r="C19" i="11"/>
  <c r="C17" i="11" s="1"/>
  <c r="C18" i="11"/>
  <c r="C16" i="11"/>
  <c r="C15" i="11"/>
  <c r="C14" i="11"/>
  <c r="C13" i="11"/>
  <c r="C12" i="11"/>
  <c r="C11" i="11"/>
  <c r="C10" i="11"/>
  <c r="C9" i="11"/>
  <c r="C56" i="11" l="1"/>
  <c r="C8" i="11"/>
  <c r="G79" i="11"/>
  <c r="C28" i="11"/>
  <c r="C33" i="11"/>
  <c r="C20" i="11"/>
  <c r="C37" i="11"/>
  <c r="C41" i="11"/>
  <c r="C51" i="11"/>
  <c r="C45" i="11"/>
  <c r="G89" i="11" l="1"/>
  <c r="G85" i="11"/>
  <c r="G84" i="11"/>
  <c r="G81" i="11"/>
  <c r="G78" i="11"/>
  <c r="G80" i="11"/>
  <c r="G82" i="11"/>
  <c r="C70" i="11"/>
  <c r="D51" i="11" s="1"/>
  <c r="G92" i="11"/>
  <c r="G83" i="11"/>
  <c r="D20" i="11" l="1"/>
  <c r="D37" i="11"/>
  <c r="H84" i="11"/>
  <c r="C73" i="11"/>
  <c r="E70" i="11" s="1"/>
  <c r="D70" i="11"/>
  <c r="D44" i="11"/>
  <c r="D40" i="11"/>
  <c r="D36" i="11"/>
  <c r="D30" i="11"/>
  <c r="D27" i="11"/>
  <c r="D23" i="11"/>
  <c r="D19" i="11"/>
  <c r="D15" i="11"/>
  <c r="D11" i="11"/>
  <c r="D49" i="11"/>
  <c r="D43" i="11"/>
  <c r="D35" i="11"/>
  <c r="D18" i="11"/>
  <c r="D10" i="11"/>
  <c r="D26" i="11"/>
  <c r="D14" i="11"/>
  <c r="D39" i="11"/>
  <c r="D22" i="11"/>
  <c r="D25" i="11"/>
  <c r="D65" i="11"/>
  <c r="D17" i="11"/>
  <c r="D34" i="11"/>
  <c r="D21" i="11"/>
  <c r="D46" i="11"/>
  <c r="D63" i="11"/>
  <c r="D31" i="11"/>
  <c r="D53" i="11"/>
  <c r="D24" i="11"/>
  <c r="D52" i="11"/>
  <c r="D57" i="11"/>
  <c r="D9" i="11"/>
  <c r="D29" i="11"/>
  <c r="D62" i="11"/>
  <c r="D13" i="11"/>
  <c r="D42" i="11"/>
  <c r="D60" i="11"/>
  <c r="D68" i="11"/>
  <c r="D48" i="11"/>
  <c r="D59" i="11"/>
  <c r="D66" i="11"/>
  <c r="D38" i="11"/>
  <c r="D16" i="11"/>
  <c r="D67" i="11"/>
  <c r="D12" i="11"/>
  <c r="D32" i="11"/>
  <c r="D58" i="11"/>
  <c r="D64" i="11"/>
  <c r="D61" i="11"/>
  <c r="D33" i="11"/>
  <c r="D28" i="11"/>
  <c r="D41" i="11"/>
  <c r="D56" i="11"/>
  <c r="H78" i="11"/>
  <c r="G93" i="11"/>
  <c r="H83" i="11" s="1"/>
  <c r="H80" i="11"/>
  <c r="D8" i="11"/>
  <c r="H81" i="11"/>
  <c r="D45" i="11"/>
  <c r="H82" i="11" l="1"/>
  <c r="H89" i="11"/>
  <c r="E49" i="11"/>
  <c r="E39" i="11"/>
  <c r="E26" i="11"/>
  <c r="E73" i="11"/>
  <c r="E72" i="11"/>
  <c r="E71" i="11"/>
  <c r="E43" i="11"/>
  <c r="E35" i="11"/>
  <c r="E22" i="11"/>
  <c r="E18" i="11"/>
  <c r="E14" i="11"/>
  <c r="E10" i="11"/>
  <c r="E44" i="11"/>
  <c r="E15" i="11"/>
  <c r="E40" i="11"/>
  <c r="E30" i="11"/>
  <c r="E23" i="11"/>
  <c r="E36" i="11"/>
  <c r="E19" i="11"/>
  <c r="E11" i="11"/>
  <c r="E27" i="11"/>
  <c r="E9" i="11"/>
  <c r="E58" i="11"/>
  <c r="E66" i="11"/>
  <c r="E13" i="11"/>
  <c r="E64" i="11"/>
  <c r="E61" i="11"/>
  <c r="E25" i="11"/>
  <c r="E65" i="11"/>
  <c r="E34" i="11"/>
  <c r="E12" i="11"/>
  <c r="E63" i="11"/>
  <c r="E46" i="11"/>
  <c r="E53" i="11"/>
  <c r="E32" i="11"/>
  <c r="E24" i="11"/>
  <c r="E60" i="11"/>
  <c r="E68" i="11"/>
  <c r="E48" i="11"/>
  <c r="E16" i="11"/>
  <c r="E57" i="11"/>
  <c r="E67" i="11"/>
  <c r="E52" i="11"/>
  <c r="E29" i="11"/>
  <c r="E62" i="11"/>
  <c r="E38" i="11"/>
  <c r="E42" i="11"/>
  <c r="E17" i="11"/>
  <c r="E21" i="11"/>
  <c r="E59" i="11"/>
  <c r="E31" i="11"/>
  <c r="E51" i="11"/>
  <c r="E56" i="11"/>
  <c r="E41" i="11"/>
  <c r="E28" i="11"/>
  <c r="E33" i="11"/>
  <c r="E20" i="11"/>
  <c r="E45" i="11"/>
  <c r="E8" i="11"/>
  <c r="E37" i="11"/>
  <c r="H90" i="11"/>
  <c r="H91" i="11"/>
  <c r="H88" i="11"/>
  <c r="H86" i="11"/>
  <c r="H93" i="11"/>
  <c r="H77" i="11"/>
  <c r="H87" i="11"/>
  <c r="H76" i="11"/>
  <c r="H79" i="11"/>
  <c r="H85" i="11"/>
  <c r="H92" i="11"/>
  <c r="C58" i="10" l="1"/>
  <c r="C57" i="10" s="1"/>
  <c r="C62" i="10"/>
  <c r="C29" i="10"/>
  <c r="C30" i="10"/>
  <c r="C31" i="10"/>
  <c r="C32" i="10"/>
  <c r="C33" i="10"/>
  <c r="C34" i="10"/>
  <c r="J65" i="10"/>
  <c r="C65" i="10" s="1"/>
  <c r="J66" i="10"/>
  <c r="C66" i="10" s="1"/>
  <c r="J67" i="10"/>
  <c r="C67" i="10"/>
  <c r="J68" i="10"/>
  <c r="C68" i="10" s="1"/>
  <c r="J69" i="10"/>
  <c r="C69" i="10" s="1"/>
  <c r="J70" i="10"/>
  <c r="C70" i="10" s="1"/>
  <c r="J71" i="10"/>
  <c r="C71" i="10"/>
  <c r="J72" i="10"/>
  <c r="C72" i="10" s="1"/>
  <c r="J73" i="10"/>
  <c r="C73" i="10"/>
  <c r="J74" i="10"/>
  <c r="C74" i="10" s="1"/>
  <c r="J75" i="10"/>
  <c r="C75" i="10"/>
  <c r="J76" i="10"/>
  <c r="C76" i="10" s="1"/>
  <c r="J55" i="10"/>
  <c r="C55" i="10" s="1"/>
  <c r="C51" i="10"/>
  <c r="C52" i="10"/>
  <c r="C53" i="10"/>
  <c r="C47" i="10"/>
  <c r="C48" i="10"/>
  <c r="C49" i="10"/>
  <c r="C42" i="10"/>
  <c r="C43" i="10"/>
  <c r="C44" i="10"/>
  <c r="C37" i="10"/>
  <c r="G39" i="10"/>
  <c r="C39" i="10"/>
  <c r="C36" i="10" s="1"/>
  <c r="G40" i="10"/>
  <c r="C40" i="10"/>
  <c r="C28" i="10"/>
  <c r="C35" i="10"/>
  <c r="C24" i="10"/>
  <c r="C25" i="10"/>
  <c r="C26" i="10"/>
  <c r="C9" i="10"/>
  <c r="C10" i="10"/>
  <c r="C11" i="10"/>
  <c r="C12" i="10"/>
  <c r="C13" i="10"/>
  <c r="C14" i="10"/>
  <c r="C15" i="10"/>
  <c r="C16" i="10"/>
  <c r="C17" i="10"/>
  <c r="C18" i="10"/>
  <c r="C19" i="10"/>
  <c r="C20" i="10"/>
  <c r="C21" i="10"/>
  <c r="G84" i="10"/>
  <c r="G85" i="10"/>
  <c r="C45" i="10"/>
  <c r="G22" i="10" l="1"/>
  <c r="C27" i="10"/>
  <c r="G89" i="10"/>
  <c r="G88" i="10"/>
  <c r="C54" i="10"/>
  <c r="C41" i="10"/>
  <c r="C22" i="10"/>
  <c r="C8" i="10" s="1"/>
  <c r="C23" i="10"/>
  <c r="C64" i="10"/>
  <c r="C50" i="10"/>
  <c r="C46" i="10"/>
  <c r="C61" i="10"/>
  <c r="G86" i="10" l="1"/>
  <c r="G98" i="10"/>
  <c r="G92" i="10"/>
  <c r="G100" i="10"/>
  <c r="C78" i="10"/>
  <c r="G93" i="10"/>
  <c r="G91" i="10"/>
  <c r="G87" i="10"/>
  <c r="D22" i="10"/>
  <c r="G90" i="10"/>
  <c r="D8" i="10" l="1"/>
  <c r="C81" i="10"/>
  <c r="D61" i="10"/>
  <c r="D64" i="10"/>
  <c r="D41" i="10"/>
  <c r="D50" i="10"/>
  <c r="G101" i="10"/>
  <c r="H91" i="10" s="1"/>
  <c r="D58" i="10"/>
  <c r="D34" i="10"/>
  <c r="D30" i="10"/>
  <c r="D40" i="10"/>
  <c r="D42" i="10"/>
  <c r="D37" i="10"/>
  <c r="D29" i="10"/>
  <c r="D24" i="10"/>
  <c r="D12" i="10"/>
  <c r="D17" i="10"/>
  <c r="D21" i="10"/>
  <c r="E78" i="10"/>
  <c r="D25" i="10"/>
  <c r="D33" i="10"/>
  <c r="D48" i="10"/>
  <c r="D39" i="10"/>
  <c r="D66" i="10"/>
  <c r="D70" i="10"/>
  <c r="D74" i="10"/>
  <c r="D51" i="10"/>
  <c r="D28" i="10"/>
  <c r="D9" i="10"/>
  <c r="D13" i="10"/>
  <c r="D18" i="10"/>
  <c r="D78" i="10"/>
  <c r="D57" i="10"/>
  <c r="D31" i="10"/>
  <c r="D52" i="10"/>
  <c r="D16" i="10"/>
  <c r="D45" i="10"/>
  <c r="D38" i="10"/>
  <c r="D68" i="10"/>
  <c r="D72" i="10"/>
  <c r="D76" i="10"/>
  <c r="D43" i="10"/>
  <c r="D35" i="10"/>
  <c r="D11" i="10"/>
  <c r="D15" i="10"/>
  <c r="D20" i="10"/>
  <c r="D47" i="10"/>
  <c r="D19" i="10"/>
  <c r="D32" i="10"/>
  <c r="D36" i="10"/>
  <c r="D53" i="10"/>
  <c r="D49" i="10"/>
  <c r="D62" i="10"/>
  <c r="D67" i="10"/>
  <c r="D27" i="10"/>
  <c r="D73" i="10"/>
  <c r="D14" i="10"/>
  <c r="D69" i="10"/>
  <c r="D55" i="10"/>
  <c r="D71" i="10"/>
  <c r="D10" i="10"/>
  <c r="D65" i="10"/>
  <c r="D75" i="10"/>
  <c r="D44" i="10"/>
  <c r="D26" i="10"/>
  <c r="D23" i="10"/>
  <c r="D46" i="10"/>
  <c r="D54" i="10"/>
  <c r="H87" i="10" l="1"/>
  <c r="H92" i="10"/>
  <c r="H98" i="10"/>
  <c r="H86" i="10"/>
  <c r="H97" i="10"/>
  <c r="H84" i="10"/>
  <c r="H101" i="10"/>
  <c r="H85" i="10"/>
  <c r="H96" i="10"/>
  <c r="H94" i="10"/>
  <c r="H99" i="10"/>
  <c r="H95" i="10"/>
  <c r="H88" i="10"/>
  <c r="H89" i="10"/>
  <c r="H100" i="10"/>
  <c r="H90" i="10"/>
  <c r="H93" i="10"/>
  <c r="E33" i="10"/>
  <c r="E16" i="10"/>
  <c r="E38" i="10"/>
  <c r="E35" i="10"/>
  <c r="E20" i="10"/>
  <c r="E81" i="10"/>
  <c r="E58" i="10"/>
  <c r="E44" i="10"/>
  <c r="E32" i="10"/>
  <c r="E53" i="10"/>
  <c r="E30" i="10"/>
  <c r="E65" i="10"/>
  <c r="E69" i="10"/>
  <c r="E73" i="10"/>
  <c r="E62" i="10"/>
  <c r="E37" i="10"/>
  <c r="E24" i="10"/>
  <c r="E12" i="10"/>
  <c r="E17" i="10"/>
  <c r="E21" i="10"/>
  <c r="E47" i="10"/>
  <c r="E34" i="10"/>
  <c r="E49" i="10"/>
  <c r="E40" i="10"/>
  <c r="E42" i="10"/>
  <c r="E29" i="10"/>
  <c r="E10" i="10"/>
  <c r="E14" i="10"/>
  <c r="E80" i="10"/>
  <c r="E79" i="10"/>
  <c r="E27" i="10"/>
  <c r="E55" i="10"/>
  <c r="E66" i="10"/>
  <c r="E26" i="10"/>
  <c r="E15" i="10"/>
  <c r="E19" i="10"/>
  <c r="E18" i="10"/>
  <c r="E68" i="10"/>
  <c r="E48" i="10"/>
  <c r="E28" i="10"/>
  <c r="E72" i="10"/>
  <c r="E51" i="10"/>
  <c r="E25" i="10"/>
  <c r="E45" i="10"/>
  <c r="E76" i="10"/>
  <c r="E70" i="10"/>
  <c r="E9" i="10"/>
  <c r="E36" i="10"/>
  <c r="E75" i="10"/>
  <c r="E11" i="10"/>
  <c r="E74" i="10"/>
  <c r="E71" i="10"/>
  <c r="E52" i="10"/>
  <c r="E13" i="10"/>
  <c r="E31" i="10"/>
  <c r="E39" i="10"/>
  <c r="E67" i="10"/>
  <c r="E57" i="10"/>
  <c r="E43" i="10"/>
  <c r="E8" i="10"/>
  <c r="E50" i="10"/>
  <c r="E54" i="10"/>
  <c r="E46" i="10"/>
  <c r="E22" i="10"/>
  <c r="E41" i="10"/>
  <c r="E64" i="10"/>
  <c r="E23" i="10"/>
  <c r="E61" i="10"/>
</calcChain>
</file>

<file path=xl/sharedStrings.xml><?xml version="1.0" encoding="utf-8"?>
<sst xmlns="http://schemas.openxmlformats.org/spreadsheetml/2006/main" count="4033" uniqueCount="1198">
  <si>
    <t>その他</t>
    <rPh sb="2" eb="3">
      <t>タ</t>
    </rPh>
    <phoneticPr fontId="3"/>
  </si>
  <si>
    <t>投資</t>
    <rPh sb="0" eb="2">
      <t>トウシ</t>
    </rPh>
    <phoneticPr fontId="3"/>
  </si>
  <si>
    <t>リース（下流）</t>
    <rPh sb="4" eb="6">
      <t>カリュウ</t>
    </rPh>
    <phoneticPr fontId="3"/>
  </si>
  <si>
    <t>フランチャイズ</t>
    <phoneticPr fontId="3"/>
  </si>
  <si>
    <t>購入した製品・サービス</t>
    <rPh sb="0" eb="2">
      <t>コウニュウ</t>
    </rPh>
    <rPh sb="4" eb="6">
      <t>セイヒン</t>
    </rPh>
    <phoneticPr fontId="3"/>
  </si>
  <si>
    <t>資本財</t>
    <rPh sb="0" eb="3">
      <t>シホンザイ</t>
    </rPh>
    <phoneticPr fontId="3"/>
  </si>
  <si>
    <t>エネルギー関連活動</t>
    <rPh sb="5" eb="7">
      <t>カンレン</t>
    </rPh>
    <rPh sb="7" eb="9">
      <t>カツドウ</t>
    </rPh>
    <phoneticPr fontId="3"/>
  </si>
  <si>
    <t>輸送、配送（上流）</t>
    <rPh sb="0" eb="2">
      <t>ユソウ</t>
    </rPh>
    <rPh sb="3" eb="5">
      <t>ハイソウ</t>
    </rPh>
    <rPh sb="6" eb="8">
      <t>ジョウリュウ</t>
    </rPh>
    <phoneticPr fontId="3"/>
  </si>
  <si>
    <t>事業から出る廃棄物</t>
    <rPh sb="0" eb="2">
      <t>ジギョウ</t>
    </rPh>
    <rPh sb="4" eb="5">
      <t>デ</t>
    </rPh>
    <rPh sb="6" eb="9">
      <t>ハイキブツ</t>
    </rPh>
    <phoneticPr fontId="3"/>
  </si>
  <si>
    <t>出張</t>
    <rPh sb="0" eb="2">
      <t>シュッチョウ</t>
    </rPh>
    <phoneticPr fontId="3"/>
  </si>
  <si>
    <t>雇用者の通勤</t>
    <rPh sb="0" eb="3">
      <t>コヨウシャ</t>
    </rPh>
    <rPh sb="4" eb="6">
      <t>ツウキン</t>
    </rPh>
    <phoneticPr fontId="3"/>
  </si>
  <si>
    <t>リース資産（上流）</t>
    <rPh sb="3" eb="5">
      <t>シサン</t>
    </rPh>
    <rPh sb="6" eb="8">
      <t>ジョウリュウ</t>
    </rPh>
    <phoneticPr fontId="3"/>
  </si>
  <si>
    <t>輸送、配送（下流）</t>
    <rPh sb="0" eb="2">
      <t>ユソウ</t>
    </rPh>
    <rPh sb="3" eb="5">
      <t>ハイソウ</t>
    </rPh>
    <rPh sb="6" eb="8">
      <t>カリュウ</t>
    </rPh>
    <phoneticPr fontId="3"/>
  </si>
  <si>
    <t>販売した製品の加工</t>
    <rPh sb="0" eb="2">
      <t>ハンバイ</t>
    </rPh>
    <rPh sb="4" eb="6">
      <t>セイヒン</t>
    </rPh>
    <rPh sb="7" eb="9">
      <t>カコウ</t>
    </rPh>
    <phoneticPr fontId="3"/>
  </si>
  <si>
    <t>販売した製品の使用</t>
    <rPh sb="0" eb="2">
      <t>ハンバイ</t>
    </rPh>
    <rPh sb="4" eb="6">
      <t>セイヒン</t>
    </rPh>
    <rPh sb="7" eb="9">
      <t>シヨウ</t>
    </rPh>
    <phoneticPr fontId="3"/>
  </si>
  <si>
    <t>販売した製品の廃棄</t>
    <rPh sb="0" eb="2">
      <t>ハンバイ</t>
    </rPh>
    <rPh sb="4" eb="6">
      <t>セイヒン</t>
    </rPh>
    <rPh sb="7" eb="9">
      <t>ハイキ</t>
    </rPh>
    <phoneticPr fontId="3"/>
  </si>
  <si>
    <t>該当する活動</t>
    <rPh sb="0" eb="2">
      <t>ガイトウ</t>
    </rPh>
    <rPh sb="4" eb="6">
      <t>カツドウ</t>
    </rPh>
    <phoneticPr fontId="3"/>
  </si>
  <si>
    <t>合計</t>
    <rPh sb="0" eb="2">
      <t>ゴウケイ</t>
    </rPh>
    <phoneticPr fontId="3"/>
  </si>
  <si>
    <t>総計</t>
    <rPh sb="0" eb="2">
      <t>ソウケイ</t>
    </rPh>
    <phoneticPr fontId="3"/>
  </si>
  <si>
    <t>汚泥</t>
    <rPh sb="0" eb="2">
      <t>オデイ</t>
    </rPh>
    <phoneticPr fontId="3"/>
  </si>
  <si>
    <t>金属くず</t>
    <rPh sb="0" eb="2">
      <t>キンゾク</t>
    </rPh>
    <phoneticPr fontId="3"/>
  </si>
  <si>
    <t>t</t>
    <phoneticPr fontId="3"/>
  </si>
  <si>
    <t>%</t>
    <phoneticPr fontId="3"/>
  </si>
  <si>
    <t>項目</t>
    <rPh sb="0" eb="2">
      <t>コウモク</t>
    </rPh>
    <phoneticPr fontId="3"/>
  </si>
  <si>
    <t>CO2（ton）</t>
    <phoneticPr fontId="3"/>
  </si>
  <si>
    <t>スコープ１　海外含む</t>
    <rPh sb="6" eb="8">
      <t>カイガイ</t>
    </rPh>
    <rPh sb="8" eb="9">
      <t>フク</t>
    </rPh>
    <phoneticPr fontId="3"/>
  </si>
  <si>
    <t>スコープ２　海外含む</t>
    <rPh sb="6" eb="8">
      <t>カイガイ</t>
    </rPh>
    <rPh sb="8" eb="9">
      <t>フク</t>
    </rPh>
    <phoneticPr fontId="3"/>
  </si>
  <si>
    <t>割合</t>
    <rPh sb="0" eb="2">
      <t>ワリアイ</t>
    </rPh>
    <phoneticPr fontId="3"/>
  </si>
  <si>
    <t>ＧＪ</t>
    <phoneticPr fontId="3"/>
  </si>
  <si>
    <t>電気</t>
    <rPh sb="0" eb="2">
      <t>デンキ</t>
    </rPh>
    <phoneticPr fontId="3"/>
  </si>
  <si>
    <t>蒸気</t>
    <rPh sb="0" eb="2">
      <t>ジョウキ</t>
    </rPh>
    <phoneticPr fontId="3"/>
  </si>
  <si>
    <t>フランチャイズ展開をしていないため、算定対象外</t>
    <rPh sb="7" eb="9">
      <t>テンカイ</t>
    </rPh>
    <rPh sb="18" eb="20">
      <t>サンテイ</t>
    </rPh>
    <rPh sb="20" eb="22">
      <t>タイショウ</t>
    </rPh>
    <rPh sb="22" eb="23">
      <t>ガイ</t>
    </rPh>
    <phoneticPr fontId="3"/>
  </si>
  <si>
    <t>B</t>
    <phoneticPr fontId="3"/>
  </si>
  <si>
    <t>C</t>
    <phoneticPr fontId="3"/>
  </si>
  <si>
    <t>D</t>
    <phoneticPr fontId="3"/>
  </si>
  <si>
    <t>F</t>
    <phoneticPr fontId="3"/>
  </si>
  <si>
    <t>G</t>
    <phoneticPr fontId="3"/>
  </si>
  <si>
    <t>H</t>
    <phoneticPr fontId="3"/>
  </si>
  <si>
    <t>I</t>
    <phoneticPr fontId="3"/>
  </si>
  <si>
    <t>J</t>
    <phoneticPr fontId="3"/>
  </si>
  <si>
    <t>K</t>
    <phoneticPr fontId="3"/>
  </si>
  <si>
    <t>L</t>
    <phoneticPr fontId="3"/>
  </si>
  <si>
    <t>E</t>
    <phoneticPr fontId="3"/>
  </si>
  <si>
    <t>備考</t>
    <rPh sb="0" eb="2">
      <t>ビコウ</t>
    </rPh>
    <phoneticPr fontId="3"/>
  </si>
  <si>
    <t>環境省DB[7]電力</t>
    <rPh sb="0" eb="1">
      <t>カンキョウ</t>
    </rPh>
    <rPh sb="1" eb="2">
      <t>ショウ</t>
    </rPh>
    <rPh sb="8" eb="10">
      <t>デンリョク</t>
    </rPh>
    <phoneticPr fontId="3"/>
  </si>
  <si>
    <t>環境省DB[7]蒸気</t>
    <rPh sb="0" eb="1">
      <t>カンキョウ</t>
    </rPh>
    <rPh sb="1" eb="2">
      <t>ショウ</t>
    </rPh>
    <rPh sb="8" eb="10">
      <t>ジョウキ</t>
    </rPh>
    <phoneticPr fontId="3"/>
  </si>
  <si>
    <t>該当する活動は特に算定していない</t>
    <rPh sb="0" eb="1">
      <t>ガイトウ</t>
    </rPh>
    <rPh sb="3" eb="5">
      <t>カツドウ</t>
    </rPh>
    <rPh sb="6" eb="7">
      <t>トク</t>
    </rPh>
    <rPh sb="9" eb="11">
      <t>サンテイ</t>
    </rPh>
    <phoneticPr fontId="3"/>
  </si>
  <si>
    <t>リース（下流）</t>
    <phoneticPr fontId="3"/>
  </si>
  <si>
    <t>カテゴリ</t>
  </si>
  <si>
    <t>排出量
①×②</t>
    <rPh sb="0" eb="2">
      <t>ハイシュツ</t>
    </rPh>
    <rPh sb="2" eb="3">
      <t>リョウ</t>
    </rPh>
    <phoneticPr fontId="3"/>
  </si>
  <si>
    <t>活動量</t>
    <rPh sb="0" eb="2">
      <t>カツドウ</t>
    </rPh>
    <rPh sb="2" eb="3">
      <t>リョウ</t>
    </rPh>
    <phoneticPr fontId="3"/>
  </si>
  <si>
    <t>排出原単位</t>
    <rPh sb="0" eb="2">
      <t>ハイシュツ</t>
    </rPh>
    <rPh sb="2" eb="5">
      <t>ゲンタンイ</t>
    </rPh>
    <phoneticPr fontId="3"/>
  </si>
  <si>
    <t>%（SC3）</t>
  </si>
  <si>
    <t>%（SC123）</t>
  </si>
  <si>
    <t>①数値</t>
    <rPh sb="1" eb="3">
      <t>スウチ</t>
    </rPh>
    <phoneticPr fontId="3"/>
  </si>
  <si>
    <t>単位</t>
    <rPh sb="0" eb="2">
      <t>タンイ</t>
    </rPh>
    <phoneticPr fontId="3"/>
  </si>
  <si>
    <t>ソース</t>
  </si>
  <si>
    <t>②数値</t>
    <rPh sb="1" eb="3">
      <t>スウチ</t>
    </rPh>
    <phoneticPr fontId="3"/>
  </si>
  <si>
    <t>リネンサプライ</t>
    <phoneticPr fontId="3"/>
  </si>
  <si>
    <t>t-CO2/百万円</t>
    <rPh sb="6" eb="9">
      <t>ヒャクマンエン</t>
    </rPh>
    <phoneticPr fontId="3"/>
  </si>
  <si>
    <t>t-CO2</t>
    <phoneticPr fontId="3"/>
  </si>
  <si>
    <t>t-CO2/t</t>
  </si>
  <si>
    <t>コピー用紙</t>
    <rPh sb="3" eb="5">
      <t>ヨウシ</t>
    </rPh>
    <phoneticPr fontId="3"/>
  </si>
  <si>
    <t>環境省DB[5]「洗濯業」</t>
  </si>
  <si>
    <t>百万円</t>
    <rPh sb="0" eb="3">
      <t>ヒャクマンエン</t>
    </rPh>
    <phoneticPr fontId="3"/>
  </si>
  <si>
    <t>（他グループ会社売上高）／（親会社売上高）</t>
    <rPh sb="1" eb="2">
      <t>タ</t>
    </rPh>
    <rPh sb="6" eb="8">
      <t>カイシャ</t>
    </rPh>
    <rPh sb="8" eb="10">
      <t>ウリアゲ</t>
    </rPh>
    <rPh sb="10" eb="11">
      <t>ダカ</t>
    </rPh>
    <rPh sb="14" eb="17">
      <t>オヤガイシャ</t>
    </rPh>
    <rPh sb="17" eb="19">
      <t>ウリアゲ</t>
    </rPh>
    <rPh sb="19" eb="20">
      <t>ダカ</t>
    </rPh>
    <phoneticPr fontId="3"/>
  </si>
  <si>
    <t>事務用品</t>
    <rPh sb="0" eb="2">
      <t>ジム</t>
    </rPh>
    <rPh sb="2" eb="4">
      <t>ヨウヒン</t>
    </rPh>
    <phoneticPr fontId="3"/>
  </si>
  <si>
    <t>経理部</t>
    <rPh sb="0" eb="2">
      <t>ケイリ</t>
    </rPh>
    <rPh sb="2" eb="3">
      <t>ブ</t>
    </rPh>
    <phoneticPr fontId="3"/>
  </si>
  <si>
    <t>出荷物流（国内陸上輸送）</t>
    <rPh sb="0" eb="2">
      <t>シュッカ</t>
    </rPh>
    <rPh sb="2" eb="4">
      <t>ブツリュウ</t>
    </rPh>
    <rPh sb="5" eb="7">
      <t>コクナイ</t>
    </rPh>
    <rPh sb="7" eb="9">
      <t>リクジョウ</t>
    </rPh>
    <rPh sb="9" eb="11">
      <t>ユソウ</t>
    </rPh>
    <phoneticPr fontId="3"/>
  </si>
  <si>
    <t>調達物流（国内陸上輸送）</t>
    <rPh sb="0" eb="2">
      <t>チョウタツ</t>
    </rPh>
    <rPh sb="2" eb="4">
      <t>ブツリュウ</t>
    </rPh>
    <rPh sb="5" eb="7">
      <t>コクナイ</t>
    </rPh>
    <phoneticPr fontId="3"/>
  </si>
  <si>
    <t>調達物流はグループ会社が担いScope1,2に計上されており、カテゴリ4では計上しない</t>
    <rPh sb="23" eb="25">
      <t>ケイジョウ</t>
    </rPh>
    <rPh sb="38" eb="40">
      <t>ケイジョウ</t>
    </rPh>
    <phoneticPr fontId="3"/>
  </si>
  <si>
    <t>kg-CO2/kwh</t>
    <phoneticPr fontId="3"/>
  </si>
  <si>
    <t>kg-CO2/MJ</t>
    <phoneticPr fontId="3"/>
  </si>
  <si>
    <t>環境省DB[5]「事務用品」</t>
    <rPh sb="9" eb="11">
      <t>ジム</t>
    </rPh>
    <rPh sb="11" eb="13">
      <t>ヨウヒン</t>
    </rPh>
    <phoneticPr fontId="3"/>
  </si>
  <si>
    <t>環境省DB[5]「洋紙・和紙」</t>
    <rPh sb="9" eb="11">
      <t>ヨウシ</t>
    </rPh>
    <rPh sb="12" eb="14">
      <t>ワシ</t>
    </rPh>
    <phoneticPr fontId="3"/>
  </si>
  <si>
    <t>算定・報告・公表制度 報告書</t>
    <rPh sb="0" eb="2">
      <t>サンテイ</t>
    </rPh>
    <rPh sb="3" eb="5">
      <t>ホウコク</t>
    </rPh>
    <rPh sb="6" eb="8">
      <t>コウヒョウ</t>
    </rPh>
    <rPh sb="8" eb="10">
      <t>セイド</t>
    </rPh>
    <rPh sb="11" eb="14">
      <t>ホウコクショ</t>
    </rPh>
    <phoneticPr fontId="3"/>
  </si>
  <si>
    <t>t</t>
    <phoneticPr fontId="3"/>
  </si>
  <si>
    <t>t-CO2/tkm</t>
    <phoneticPr fontId="3"/>
  </si>
  <si>
    <t>tkm</t>
    <phoneticPr fontId="3"/>
  </si>
  <si>
    <t>輸出重量
輸送シナリオ（500km）</t>
    <rPh sb="0" eb="2">
      <t>ユシュツ</t>
    </rPh>
    <rPh sb="2" eb="4">
      <t>ジュウリョウ</t>
    </rPh>
    <rPh sb="5" eb="7">
      <t>ユソウ</t>
    </rPh>
    <phoneticPr fontId="3"/>
  </si>
  <si>
    <t>MWh</t>
    <phoneticPr fontId="3"/>
  </si>
  <si>
    <t>オフィスごみ</t>
    <phoneticPr fontId="3"/>
  </si>
  <si>
    <t>オフィスごみの大部分は紙であるから、「紙くず」の原単位を適用</t>
    <rPh sb="7" eb="10">
      <t>ダイブブン</t>
    </rPh>
    <rPh sb="11" eb="12">
      <t>カミ</t>
    </rPh>
    <rPh sb="19" eb="20">
      <t>カミ</t>
    </rPh>
    <rPh sb="24" eb="27">
      <t>ゲンタンイ</t>
    </rPh>
    <rPh sb="28" eb="30">
      <t>テキヨウ</t>
    </rPh>
    <phoneticPr fontId="3"/>
  </si>
  <si>
    <t>産業廃棄物管理票</t>
    <rPh sb="0" eb="2">
      <t>サンギョウ</t>
    </rPh>
    <rPh sb="2" eb="5">
      <t>ハイキブツ</t>
    </rPh>
    <rPh sb="5" eb="7">
      <t>カンリ</t>
    </rPh>
    <rPh sb="7" eb="8">
      <t>ヒョウ</t>
    </rPh>
    <phoneticPr fontId="3"/>
  </si>
  <si>
    <t>グループ会社（推計）</t>
    <rPh sb="4" eb="6">
      <t>ガイシャ</t>
    </rPh>
    <rPh sb="7" eb="9">
      <t>スイケイ</t>
    </rPh>
    <phoneticPr fontId="3"/>
  </si>
  <si>
    <t>環境部保有データ</t>
    <rPh sb="0" eb="3">
      <t>カンキョウブ</t>
    </rPh>
    <rPh sb="3" eb="5">
      <t>ホユウ</t>
    </rPh>
    <phoneticPr fontId="3"/>
  </si>
  <si>
    <t>株式保有先</t>
    <rPh sb="0" eb="1">
      <t>カブシキ</t>
    </rPh>
    <rPh sb="1" eb="3">
      <t>ホユウ</t>
    </rPh>
    <rPh sb="3" eb="4">
      <t>サキ</t>
    </rPh>
    <phoneticPr fontId="3"/>
  </si>
  <si>
    <t>CFP DB B-JP DB ver.1.01「コンテナ船＜4000TEU」</t>
  </si>
  <si>
    <t>有価証券報告書</t>
    <rPh sb="0" eb="2">
      <t>ショウケン</t>
    </rPh>
    <rPh sb="2" eb="5">
      <t>ホウコクショ</t>
    </rPh>
    <phoneticPr fontId="3"/>
  </si>
  <si>
    <t>株式保有割合</t>
    <rPh sb="0" eb="1">
      <t>カブシキ</t>
    </rPh>
    <rPh sb="1" eb="3">
      <t>ホユウ</t>
    </rPh>
    <phoneticPr fontId="3"/>
  </si>
  <si>
    <t>A社 CSR報告書</t>
    <rPh sb="0" eb="1">
      <t>シャ</t>
    </rPh>
    <rPh sb="5" eb="8">
      <t>ホウコクショ</t>
    </rPh>
    <phoneticPr fontId="3"/>
  </si>
  <si>
    <t>B社 CSR報告書</t>
    <rPh sb="0" eb="1">
      <t>シャ</t>
    </rPh>
    <rPh sb="5" eb="8">
      <t>ホウコクショ</t>
    </rPh>
    <phoneticPr fontId="3"/>
  </si>
  <si>
    <t>C社 CSR報告書</t>
    <rPh sb="4" eb="7">
      <t>ホウコクショ</t>
    </rPh>
    <phoneticPr fontId="3"/>
  </si>
  <si>
    <t>D社 CSR報告書</t>
    <rPh sb="0" eb="1">
      <t>シャ</t>
    </rPh>
    <rPh sb="4" eb="7">
      <t>ホウコクショ</t>
    </rPh>
    <phoneticPr fontId="3"/>
  </si>
  <si>
    <t>E社 CSR報告書</t>
    <rPh sb="0" eb="1">
      <t>シャ</t>
    </rPh>
    <rPh sb="4" eb="7">
      <t>ホウコクショ</t>
    </rPh>
    <phoneticPr fontId="3"/>
  </si>
  <si>
    <t>F社 CSR報告書</t>
    <rPh sb="0" eb="1">
      <t>シャ</t>
    </rPh>
    <rPh sb="4" eb="7">
      <t>ホウコクショ</t>
    </rPh>
    <phoneticPr fontId="3"/>
  </si>
  <si>
    <t>G社 CSR報告書</t>
    <rPh sb="0" eb="1">
      <t>シャ</t>
    </rPh>
    <rPh sb="4" eb="7">
      <t>ホウコクショ</t>
    </rPh>
    <phoneticPr fontId="3"/>
  </si>
  <si>
    <t>スコープ1,2
排出量[t]</t>
    <rPh sb="7" eb="9">
      <t>ハイシュツ</t>
    </rPh>
    <rPh sb="8" eb="9">
      <t>リョウ</t>
    </rPh>
    <phoneticPr fontId="3"/>
  </si>
  <si>
    <t>スコープ1,2排出量非公開</t>
    <rPh sb="7" eb="9">
      <t>ハイシュツ</t>
    </rPh>
    <rPh sb="9" eb="10">
      <t>リョウ</t>
    </rPh>
    <rPh sb="10" eb="13">
      <t>ヒコウカイ</t>
    </rPh>
    <phoneticPr fontId="3"/>
  </si>
  <si>
    <t>I社 CSR報告書</t>
    <rPh sb="4" eb="7">
      <t>ホウコクショ</t>
    </rPh>
    <phoneticPr fontId="3"/>
  </si>
  <si>
    <t>L社 CSR報告書</t>
    <rPh sb="0" eb="1">
      <t>シャ</t>
    </rPh>
    <rPh sb="4" eb="7">
      <t>ホウコクショ</t>
    </rPh>
    <phoneticPr fontId="3"/>
  </si>
  <si>
    <t>株式情報'ソース</t>
    <rPh sb="0" eb="1">
      <t>カブシキ</t>
    </rPh>
    <rPh sb="1" eb="3">
      <t>ジョウホウ</t>
    </rPh>
    <phoneticPr fontId="3"/>
  </si>
  <si>
    <t>発行株式数
[株]</t>
    <rPh sb="0" eb="1">
      <t>ハッコウ</t>
    </rPh>
    <rPh sb="1" eb="2">
      <t>スミ</t>
    </rPh>
    <rPh sb="2" eb="4">
      <t>カブシキ</t>
    </rPh>
    <rPh sb="4" eb="5">
      <t>カズ</t>
    </rPh>
    <rPh sb="7" eb="8">
      <t>カブ</t>
    </rPh>
    <phoneticPr fontId="3"/>
  </si>
  <si>
    <t>算定対象範囲：
環境マネジメントシステムの対象範囲</t>
  </si>
  <si>
    <t>算定対象範囲：
環境マネジメントシステムの対象範囲</t>
    <rPh sb="0" eb="2">
      <t>サンテイ</t>
    </rPh>
    <rPh sb="2" eb="4">
      <t>タイショウ</t>
    </rPh>
    <rPh sb="4" eb="6">
      <t>ハンイ</t>
    </rPh>
    <rPh sb="21" eb="23">
      <t>タイショウ</t>
    </rPh>
    <rPh sb="23" eb="25">
      <t>ハンイ</t>
    </rPh>
    <phoneticPr fontId="3"/>
  </si>
  <si>
    <t xml:space="preserve">
算定対象範囲：
環境マネジメントシステムの対象範囲の保有株式割合より算定</t>
    <rPh sb="28" eb="30">
      <t>ホユウ</t>
    </rPh>
    <rPh sb="30" eb="32">
      <t>カブシキ</t>
    </rPh>
    <rPh sb="32" eb="34">
      <t>ワリアイ</t>
    </rPh>
    <rPh sb="36" eb="38">
      <t>サンテイ</t>
    </rPh>
    <phoneticPr fontId="3"/>
  </si>
  <si>
    <t>中核会社のカテゴリ1排出量の和</t>
    <rPh sb="0" eb="2">
      <t>チュウカク</t>
    </rPh>
    <rPh sb="2" eb="4">
      <t>カイシャ</t>
    </rPh>
    <rPh sb="10" eb="12">
      <t>ハイシュツ</t>
    </rPh>
    <rPh sb="12" eb="13">
      <t>リョウ</t>
    </rPh>
    <rPh sb="14" eb="15">
      <t>ワ</t>
    </rPh>
    <phoneticPr fontId="3"/>
  </si>
  <si>
    <t>倉庫</t>
    <rPh sb="0" eb="1">
      <t>ソウコ</t>
    </rPh>
    <phoneticPr fontId="3"/>
  </si>
  <si>
    <t>t-CO2/m2</t>
    <phoneticPr fontId="3"/>
  </si>
  <si>
    <t>3～5月のみ賃借する外部倉庫が該当。年間排出量の原単位のため、３か月分に換算して適用する。</t>
    <rPh sb="3" eb="4">
      <t>ガツ</t>
    </rPh>
    <rPh sb="6" eb="8">
      <t>チンシャク</t>
    </rPh>
    <rPh sb="10" eb="12">
      <t>ガイブ</t>
    </rPh>
    <rPh sb="12" eb="14">
      <t>ソウコ</t>
    </rPh>
    <rPh sb="15" eb="17">
      <t>ガイトウ</t>
    </rPh>
    <rPh sb="18" eb="20">
      <t>ネンカン</t>
    </rPh>
    <rPh sb="20" eb="22">
      <t>ハイシュツ</t>
    </rPh>
    <rPh sb="22" eb="23">
      <t>リョウ</t>
    </rPh>
    <rPh sb="24" eb="27">
      <t>ゲンタンイ</t>
    </rPh>
    <rPh sb="33" eb="35">
      <t>ゲツブン</t>
    </rPh>
    <rPh sb="36" eb="38">
      <t>カンザン</t>
    </rPh>
    <rPh sb="40" eb="42">
      <t>テキヨウ</t>
    </rPh>
    <phoneticPr fontId="3"/>
  </si>
  <si>
    <t>賃借している床面積</t>
    <rPh sb="6" eb="9">
      <t>ユカメンセキ</t>
    </rPh>
    <phoneticPr fontId="3"/>
  </si>
  <si>
    <t>m2</t>
    <phoneticPr fontId="3"/>
  </si>
  <si>
    <t>スコープ１</t>
    <phoneticPr fontId="3"/>
  </si>
  <si>
    <t>スコープ２</t>
    <phoneticPr fontId="3"/>
  </si>
  <si>
    <t>輸送段階を含めて評価している。
なお、有価物に関しては、カテゴリ5の活動に該当しないため除外。</t>
    <rPh sb="0" eb="2">
      <t>ユソウ</t>
    </rPh>
    <rPh sb="2" eb="4">
      <t>ダンカイ</t>
    </rPh>
    <rPh sb="5" eb="6">
      <t>フク</t>
    </rPh>
    <rPh sb="8" eb="10">
      <t>ヒョウカ</t>
    </rPh>
    <phoneticPr fontId="3"/>
  </si>
  <si>
    <t>環境省DB[9]廃棄物種類別</t>
    <rPh sb="0" eb="3">
      <t>カンキョウショウ</t>
    </rPh>
    <rPh sb="8" eb="11">
      <t>ハイキブツ</t>
    </rPh>
    <rPh sb="11" eb="13">
      <t>シュルイ</t>
    </rPh>
    <rPh sb="13" eb="14">
      <t>ベツ</t>
    </rPh>
    <phoneticPr fontId="3"/>
  </si>
  <si>
    <t>JI社 CSR報告書</t>
    <rPh sb="4" eb="7">
      <t>ホウコクショ</t>
    </rPh>
    <phoneticPr fontId="3"/>
  </si>
  <si>
    <t>スコープ1,2排出量情報ソース</t>
    <rPh sb="5" eb="7">
      <t>ハイシュツ</t>
    </rPh>
    <rPh sb="7" eb="8">
      <t>リョウ</t>
    </rPh>
    <rPh sb="9" eb="11">
      <t>ジョウホウ</t>
    </rPh>
    <phoneticPr fontId="3"/>
  </si>
  <si>
    <t>中核会社の売上高当たり排出量に、グループ会社の売上高を乗じることで推計</t>
    <rPh sb="0" eb="2">
      <t>チュウカク</t>
    </rPh>
    <rPh sb="2" eb="4">
      <t>カイシャ</t>
    </rPh>
    <rPh sb="5" eb="7">
      <t>ウリアゲ</t>
    </rPh>
    <rPh sb="7" eb="8">
      <t>ダカ</t>
    </rPh>
    <rPh sb="8" eb="9">
      <t>ア</t>
    </rPh>
    <rPh sb="11" eb="13">
      <t>ハイシュツ</t>
    </rPh>
    <rPh sb="13" eb="14">
      <t>リョウ</t>
    </rPh>
    <rPh sb="20" eb="22">
      <t>カイシャ</t>
    </rPh>
    <rPh sb="23" eb="25">
      <t>ウリアゲ</t>
    </rPh>
    <rPh sb="25" eb="26">
      <t>ダカ</t>
    </rPh>
    <rPh sb="27" eb="28">
      <t>ジョウ</t>
    </rPh>
    <rPh sb="33" eb="35">
      <t>スイケイ</t>
    </rPh>
    <phoneticPr fontId="3"/>
  </si>
  <si>
    <t>台</t>
    <rPh sb="0" eb="1">
      <t>ダイ</t>
    </rPh>
    <phoneticPr fontId="3"/>
  </si>
  <si>
    <t>環境省DB[16]その他サービス業,代替値
（１年間のうち３か月分に換算）</t>
    <rPh sb="0" eb="2">
      <t>カンキョウショウ</t>
    </rPh>
    <rPh sb="10" eb="11">
      <t>タ</t>
    </rPh>
    <rPh sb="15" eb="16">
      <t>ギョウ</t>
    </rPh>
    <rPh sb="18" eb="20">
      <t>ダイタイ</t>
    </rPh>
    <rPh sb="20" eb="21">
      <t>アタイ</t>
    </rPh>
    <rPh sb="24" eb="26">
      <t>ネンカン</t>
    </rPh>
    <rPh sb="31" eb="33">
      <t>ゲツブン</t>
    </rPh>
    <rPh sb="34" eb="36">
      <t>カンサン</t>
    </rPh>
    <phoneticPr fontId="3"/>
  </si>
  <si>
    <t>全体に占める割合</t>
    <rPh sb="0" eb="2">
      <t>ゼンタイ</t>
    </rPh>
    <rPh sb="3" eb="4">
      <t>シ</t>
    </rPh>
    <rPh sb="6" eb="8">
      <t>ワリアイ</t>
    </rPh>
    <phoneticPr fontId="3"/>
  </si>
  <si>
    <t>オフィス用品やユニフォーム管理に関しては、金額情報のみ把握しているため、産業連関表ベースの排出原単位（環境省DB[5]産業連関表ベースの排出原単位のうち②金額ベースの排出原単位）を使用</t>
    <rPh sb="4" eb="6">
      <t>ヨウヒン</t>
    </rPh>
    <rPh sb="13" eb="15">
      <t>カンリ</t>
    </rPh>
    <rPh sb="16" eb="17">
      <t>カン</t>
    </rPh>
    <rPh sb="21" eb="23">
      <t>キンガク</t>
    </rPh>
    <rPh sb="23" eb="25">
      <t>ジョウホウ</t>
    </rPh>
    <rPh sb="27" eb="29">
      <t>ハアク</t>
    </rPh>
    <rPh sb="36" eb="38">
      <t>サンギョウ</t>
    </rPh>
    <rPh sb="38" eb="40">
      <t>レンカン</t>
    </rPh>
    <rPh sb="40" eb="41">
      <t>ヒョウ</t>
    </rPh>
    <rPh sb="45" eb="47">
      <t>ハイシュツ</t>
    </rPh>
    <rPh sb="47" eb="50">
      <t>ゲンタンイ</t>
    </rPh>
    <rPh sb="51" eb="54">
      <t>カンキョウショウ</t>
    </rPh>
    <rPh sb="59" eb="61">
      <t>サンギョウ</t>
    </rPh>
    <rPh sb="61" eb="63">
      <t>レンカン</t>
    </rPh>
    <rPh sb="63" eb="64">
      <t>ヒョウ</t>
    </rPh>
    <rPh sb="68" eb="70">
      <t>ハイシュツ</t>
    </rPh>
    <rPh sb="70" eb="73">
      <t>ゲンタンイ</t>
    </rPh>
    <rPh sb="77" eb="79">
      <t>キンガク</t>
    </rPh>
    <rPh sb="83" eb="85">
      <t>ハイシュツ</t>
    </rPh>
    <rPh sb="85" eb="88">
      <t>ゲンタンイ</t>
    </rPh>
    <rPh sb="90" eb="92">
      <t>シヨウ</t>
    </rPh>
    <phoneticPr fontId="3"/>
  </si>
  <si>
    <t>t-CO2</t>
    <phoneticPr fontId="3"/>
  </si>
  <si>
    <t>省エネ法特定荷主定期報告値</t>
    <rPh sb="0" eb="1">
      <t>ショウ</t>
    </rPh>
    <rPh sb="3" eb="4">
      <t>ホウ</t>
    </rPh>
    <rPh sb="12" eb="13">
      <t>アタイ</t>
    </rPh>
    <phoneticPr fontId="3"/>
  </si>
  <si>
    <t>スコープ1,2排出量との重複分</t>
    <rPh sb="7" eb="9">
      <t>ハイシュツ</t>
    </rPh>
    <rPh sb="9" eb="10">
      <t>リョウ</t>
    </rPh>
    <rPh sb="12" eb="14">
      <t>チョウフク</t>
    </rPh>
    <rPh sb="14" eb="15">
      <t>ブン</t>
    </rPh>
    <phoneticPr fontId="3"/>
  </si>
  <si>
    <t>自社保有
株式数[株]</t>
    <rPh sb="0" eb="2">
      <t>ジシャ</t>
    </rPh>
    <rPh sb="2" eb="3">
      <t>ホユウ</t>
    </rPh>
    <rPh sb="5" eb="7">
      <t>カブシキ</t>
    </rPh>
    <rPh sb="7" eb="8">
      <t>スウ</t>
    </rPh>
    <rPh sb="9" eb="10">
      <t>カブ</t>
    </rPh>
    <phoneticPr fontId="3"/>
  </si>
  <si>
    <t>A</t>
    <phoneticPr fontId="3"/>
  </si>
  <si>
    <t>カテゴリ１</t>
    <phoneticPr fontId="3"/>
  </si>
  <si>
    <t>カテゴリ２</t>
    <phoneticPr fontId="3"/>
  </si>
  <si>
    <t>カテゴリ３</t>
    <phoneticPr fontId="3"/>
  </si>
  <si>
    <t>カテゴリ４</t>
    <phoneticPr fontId="3"/>
  </si>
  <si>
    <t>カテゴリ５</t>
    <phoneticPr fontId="3"/>
  </si>
  <si>
    <t>カテゴリ６</t>
  </si>
  <si>
    <t>カテゴリ７</t>
  </si>
  <si>
    <t>カテゴリ８</t>
  </si>
  <si>
    <t>カテゴリ９</t>
  </si>
  <si>
    <t>カテゴリ１０</t>
  </si>
  <si>
    <t>カテゴリ１１</t>
  </si>
  <si>
    <t>カテゴリ１２</t>
  </si>
  <si>
    <t>カテゴリ１３</t>
  </si>
  <si>
    <t>カテゴリ１４</t>
  </si>
  <si>
    <t>カテゴリ１５</t>
  </si>
  <si>
    <t>ブタンガス</t>
  </si>
  <si>
    <t>資材部</t>
  </si>
  <si>
    <t>銅鉱石調達（商社）</t>
    <rPh sb="0" eb="1">
      <t>ドウ</t>
    </rPh>
    <rPh sb="1" eb="3">
      <t>コウセキ</t>
    </rPh>
    <rPh sb="3" eb="5">
      <t>チョウタツ</t>
    </rPh>
    <rPh sb="6" eb="8">
      <t>ショウシャ</t>
    </rPh>
    <phoneticPr fontId="3"/>
  </si>
  <si>
    <t>銅鉱石調達（採掘）</t>
    <rPh sb="0" eb="1">
      <t>ドウ</t>
    </rPh>
    <rPh sb="1" eb="3">
      <t>コウセキ</t>
    </rPh>
    <rPh sb="3" eb="5">
      <t>チョウタツ</t>
    </rPh>
    <rPh sb="6" eb="8">
      <t>サイクツ</t>
    </rPh>
    <phoneticPr fontId="3"/>
  </si>
  <si>
    <t>銅くず</t>
    <rPh sb="0" eb="1">
      <t>ドウ</t>
    </rPh>
    <phoneticPr fontId="3"/>
  </si>
  <si>
    <t>外部委託（精錬）</t>
    <rPh sb="0" eb="2">
      <t>ガイブ</t>
    </rPh>
    <rPh sb="2" eb="4">
      <t>イタク</t>
    </rPh>
    <rPh sb="5" eb="7">
      <t>セイレン</t>
    </rPh>
    <phoneticPr fontId="3"/>
  </si>
  <si>
    <t>含有量t</t>
    <rPh sb="0" eb="3">
      <t>ガンユウリョウ</t>
    </rPh>
    <phoneticPr fontId="261"/>
  </si>
  <si>
    <t>自社データから作成</t>
    <rPh sb="0" eb="2">
      <t>ジシャ</t>
    </rPh>
    <rPh sb="7" eb="9">
      <t>サクセイ</t>
    </rPh>
    <phoneticPr fontId="3"/>
  </si>
  <si>
    <t>■想定した素材製造業の事業イメージ</t>
    <rPh sb="1" eb="3">
      <t>ソウテイ</t>
    </rPh>
    <rPh sb="5" eb="7">
      <t>ソザイ</t>
    </rPh>
    <rPh sb="7" eb="10">
      <t>セイゾウギョウ</t>
    </rPh>
    <rPh sb="11" eb="13">
      <t>ジギョウ</t>
    </rPh>
    <phoneticPr fontId="3"/>
  </si>
  <si>
    <t>硫酸</t>
    <rPh sb="0" eb="2">
      <t>リュウサン</t>
    </rPh>
    <phoneticPr fontId="3"/>
  </si>
  <si>
    <t>亜鉛くず</t>
    <rPh sb="0" eb="2">
      <t>アエン</t>
    </rPh>
    <phoneticPr fontId="3"/>
  </si>
  <si>
    <t>亜鉛鉱石（商社）</t>
    <rPh sb="0" eb="2">
      <t>アエン</t>
    </rPh>
    <rPh sb="2" eb="3">
      <t>コウ</t>
    </rPh>
    <rPh sb="3" eb="4">
      <t>セキ</t>
    </rPh>
    <rPh sb="5" eb="7">
      <t>ショウシャ</t>
    </rPh>
    <phoneticPr fontId="3"/>
  </si>
  <si>
    <t>亜鉛鉱石（採掘）</t>
    <rPh sb="0" eb="2">
      <t>アエン</t>
    </rPh>
    <rPh sb="2" eb="4">
      <t>コウセキ</t>
    </rPh>
    <rPh sb="5" eb="7">
      <t>サイクツ</t>
    </rPh>
    <phoneticPr fontId="3"/>
  </si>
  <si>
    <t>百万円</t>
  </si>
  <si>
    <t>百万円</t>
    <rPh sb="0" eb="3">
      <t>ヒャクマンエン</t>
    </rPh>
    <phoneticPr fontId="3"/>
  </si>
  <si>
    <t>商社からの調達のため購入者価格ベースを適用</t>
    <rPh sb="0" eb="2">
      <t>ショウシャ</t>
    </rPh>
    <rPh sb="5" eb="7">
      <t>チョウタツ</t>
    </rPh>
    <rPh sb="19" eb="21">
      <t>テキヨウ</t>
    </rPh>
    <phoneticPr fontId="3"/>
  </si>
  <si>
    <t>生産者である採掘事業者からの調達にあたるため、生産者価格ベースを適用</t>
    <rPh sb="0" eb="3">
      <t>セイサンシャ</t>
    </rPh>
    <rPh sb="6" eb="8">
      <t>サイクツ</t>
    </rPh>
    <rPh sb="8" eb="10">
      <t>ジギョウ</t>
    </rPh>
    <rPh sb="10" eb="11">
      <t>シャ</t>
    </rPh>
    <rPh sb="14" eb="16">
      <t>チョウタツ</t>
    </rPh>
    <rPh sb="32" eb="34">
      <t>テキヨウ</t>
    </rPh>
    <phoneticPr fontId="3"/>
  </si>
  <si>
    <t>t-CO2/含有量t</t>
    <rPh sb="6" eb="9">
      <t>ガンユウリョウ</t>
    </rPh>
    <phoneticPr fontId="3"/>
  </si>
  <si>
    <t>資材部</t>
    <phoneticPr fontId="3"/>
  </si>
  <si>
    <t>環境省DB[5]「圧縮ガス・液化ガス」</t>
    <rPh sb="9" eb="11">
      <t>アッシュク</t>
    </rPh>
    <rPh sb="14" eb="16">
      <t>エキカ</t>
    </rPh>
    <phoneticPr fontId="220"/>
  </si>
  <si>
    <t>環境省DB[5]「金属鉱物」</t>
  </si>
  <si>
    <t>環境省DB[5]「金属鉱物」</t>
    <rPh sb="9" eb="11">
      <t>キンゾク</t>
    </rPh>
    <rPh sb="11" eb="13">
      <t>コウブツ</t>
    </rPh>
    <phoneticPr fontId="220"/>
  </si>
  <si>
    <t>環境省DB[5]「非鉄金属屑」</t>
    <rPh sb="9" eb="11">
      <t>ヒテツ</t>
    </rPh>
    <rPh sb="11" eb="13">
      <t>キンゾク</t>
    </rPh>
    <rPh sb="13" eb="14">
      <t>クズ</t>
    </rPh>
    <phoneticPr fontId="3"/>
  </si>
  <si>
    <t>環境省DB[5]「その他の無機化学工業製品」</t>
    <rPh sb="11" eb="12">
      <t>タ</t>
    </rPh>
    <rPh sb="13" eb="15">
      <t>ムキ</t>
    </rPh>
    <rPh sb="15" eb="17">
      <t>カガク</t>
    </rPh>
    <rPh sb="17" eb="19">
      <t>コウギョウ</t>
    </rPh>
    <rPh sb="19" eb="21">
      <t>セイヒン</t>
    </rPh>
    <phoneticPr fontId="220"/>
  </si>
  <si>
    <t>金属鉱物</t>
    <rPh sb="0" eb="2">
      <t>キンゾク</t>
    </rPh>
    <rPh sb="2" eb="4">
      <t>コウブツ</t>
    </rPh>
    <phoneticPr fontId="3"/>
  </si>
  <si>
    <t>環境省DB ver.2.2[6]「金属鉱物」</t>
    <rPh sb="0" eb="3">
      <t>カンキョウショウ</t>
    </rPh>
    <rPh sb="17" eb="19">
      <t>キンゾク</t>
    </rPh>
    <rPh sb="19" eb="21">
      <t>コウブツ</t>
    </rPh>
    <phoneticPr fontId="3"/>
  </si>
  <si>
    <t>灯油</t>
  </si>
  <si>
    <t>kL</t>
  </si>
  <si>
    <t>CFP DB ver.1.01 「灯油」</t>
    <rPh sb="17" eb="19">
      <t>トウユ</t>
    </rPh>
    <phoneticPr fontId="261"/>
  </si>
  <si>
    <t>軽油</t>
  </si>
  <si>
    <t>CFP DB ver.1.01 「軽油」</t>
    <rPh sb="17" eb="19">
      <t>ケイユ</t>
    </rPh>
    <phoneticPr fontId="261"/>
  </si>
  <si>
    <t>Ａ重油</t>
  </si>
  <si>
    <t>CFP DB ver.1.01 「A重油」</t>
    <rPh sb="18" eb="20">
      <t>ジュウユ</t>
    </rPh>
    <phoneticPr fontId="261"/>
  </si>
  <si>
    <t>Ｂ重油</t>
  </si>
  <si>
    <t>CFP DB ver.1.01 「B重油」</t>
    <rPh sb="18" eb="20">
      <t>ジュウユ</t>
    </rPh>
    <phoneticPr fontId="261"/>
  </si>
  <si>
    <t>ガソリン</t>
  </si>
  <si>
    <t>CFP DB ver.1.01 「ガソリン」</t>
  </si>
  <si>
    <t>都市ガス</t>
  </si>
  <si>
    <t>千m3</t>
  </si>
  <si>
    <t>CFP DB ver.1.01 「都市ガス」</t>
    <rPh sb="17" eb="19">
      <t>トシ</t>
    </rPh>
    <phoneticPr fontId="261"/>
  </si>
  <si>
    <t>CFP PCR「金属製容器包装」の原材料製造国陸運段階の輸送シナリオをもとに、500km、4トントラック、積載率25%と設定</t>
    <rPh sb="8" eb="11">
      <t>キンゾクセイ</t>
    </rPh>
    <rPh sb="11" eb="13">
      <t>ヨウキ</t>
    </rPh>
    <rPh sb="13" eb="15">
      <t>ホウソウ</t>
    </rPh>
    <rPh sb="17" eb="20">
      <t>ゲンザイリョウ</t>
    </rPh>
    <rPh sb="20" eb="22">
      <t>セイゾウ</t>
    </rPh>
    <rPh sb="22" eb="23">
      <t>コク</t>
    </rPh>
    <rPh sb="23" eb="25">
      <t>リクウン</t>
    </rPh>
    <rPh sb="25" eb="27">
      <t>ダンカイ</t>
    </rPh>
    <rPh sb="28" eb="30">
      <t>ユソウ</t>
    </rPh>
    <rPh sb="53" eb="55">
      <t>セキサイ</t>
    </rPh>
    <rPh sb="55" eb="56">
      <t>リツ</t>
    </rPh>
    <rPh sb="60" eb="62">
      <t>セッテイ</t>
    </rPh>
    <phoneticPr fontId="3"/>
  </si>
  <si>
    <t>CFP DB B-JP DB ver.1.01
「トラック輸送（4トン車：積載率25%）」</t>
    <phoneticPr fontId="3"/>
  </si>
  <si>
    <t>百万円</t>
    <rPh sb="0" eb="2">
      <t>ヒャクマン</t>
    </rPh>
    <rPh sb="2" eb="3">
      <t>エン</t>
    </rPh>
    <phoneticPr fontId="261"/>
  </si>
  <si>
    <t>環境省DB[11]「旅客鉄道」</t>
    <rPh sb="0" eb="3">
      <t>カンキョウショウ</t>
    </rPh>
    <rPh sb="10" eb="12">
      <t>リョカク</t>
    </rPh>
    <rPh sb="12" eb="14">
      <t>テツドウ</t>
    </rPh>
    <phoneticPr fontId="261"/>
  </si>
  <si>
    <t>国内航空機</t>
    <rPh sb="0" eb="2">
      <t>コクナイ</t>
    </rPh>
    <rPh sb="2" eb="4">
      <t>コウクウ</t>
    </rPh>
    <rPh sb="4" eb="5">
      <t>キ</t>
    </rPh>
    <phoneticPr fontId="261"/>
  </si>
  <si>
    <t>環境省DB[11]「旅客航空機 国内線」</t>
    <rPh sb="0" eb="3">
      <t>カンキョウショウ</t>
    </rPh>
    <rPh sb="10" eb="12">
      <t>リョカク</t>
    </rPh>
    <rPh sb="12" eb="15">
      <t>コウクウキ</t>
    </rPh>
    <rPh sb="16" eb="19">
      <t>コクナイセン</t>
    </rPh>
    <phoneticPr fontId="261"/>
  </si>
  <si>
    <t>国際航空機</t>
    <rPh sb="0" eb="2">
      <t>コクサイ</t>
    </rPh>
    <rPh sb="2" eb="5">
      <t>コウクウキ</t>
    </rPh>
    <phoneticPr fontId="261"/>
  </si>
  <si>
    <t>環境省DB[11]「旅客航空機 国際線」</t>
    <rPh sb="0" eb="3">
      <t>カンキョウショウ</t>
    </rPh>
    <rPh sb="10" eb="12">
      <t>リョカク</t>
    </rPh>
    <rPh sb="12" eb="15">
      <t>コウクウキ</t>
    </rPh>
    <rPh sb="16" eb="18">
      <t>コクサイ</t>
    </rPh>
    <phoneticPr fontId="261"/>
  </si>
  <si>
    <t>鉄道</t>
    <rPh sb="0" eb="2">
      <t>テツドウ</t>
    </rPh>
    <phoneticPr fontId="261"/>
  </si>
  <si>
    <t>鉄道</t>
    <rPh sb="0" eb="2">
      <t>テツドウ</t>
    </rPh>
    <phoneticPr fontId="3"/>
  </si>
  <si>
    <t>環境省DB[11]「鉄道」</t>
    <rPh sb="0" eb="3">
      <t>カンキョウショウ</t>
    </rPh>
    <rPh sb="10" eb="12">
      <t>テツドウ</t>
    </rPh>
    <phoneticPr fontId="261"/>
  </si>
  <si>
    <t>バス</t>
  </si>
  <si>
    <t>環境省DB[11]「自動車 バス（営業用乗合）」</t>
    <rPh sb="0" eb="3">
      <t>カンキョウショウ</t>
    </rPh>
    <rPh sb="10" eb="13">
      <t>ジドウシャ</t>
    </rPh>
    <rPh sb="17" eb="20">
      <t>エイギョウヨウ</t>
    </rPh>
    <rPh sb="20" eb="22">
      <t>ノリアイ</t>
    </rPh>
    <phoneticPr fontId="261"/>
  </si>
  <si>
    <t>自動車</t>
    <rPh sb="0" eb="3">
      <t>ジドウシャ</t>
    </rPh>
    <phoneticPr fontId="3"/>
  </si>
  <si>
    <t>CFP DB「ガソリンの燃焼」、石油情報センター 一般小売価格（2014年度全国平均値）</t>
    <rPh sb="12" eb="14">
      <t>ネンショウ</t>
    </rPh>
    <rPh sb="16" eb="18">
      <t>セキユ</t>
    </rPh>
    <rPh sb="18" eb="20">
      <t>ジョウホウ</t>
    </rPh>
    <rPh sb="25" eb="27">
      <t>イッパン</t>
    </rPh>
    <rPh sb="27" eb="29">
      <t>コウリ</t>
    </rPh>
    <rPh sb="29" eb="31">
      <t>カカク</t>
    </rPh>
    <rPh sb="36" eb="38">
      <t>ネンド</t>
    </rPh>
    <rPh sb="38" eb="40">
      <t>ゼンコク</t>
    </rPh>
    <rPh sb="40" eb="43">
      <t>ヘイキンチ</t>
    </rPh>
    <phoneticPr fontId="261"/>
  </si>
  <si>
    <t>百万円で購入できるガソリン量が全て燃焼することを想定し、排出原単位を作成</t>
    <rPh sb="0" eb="3">
      <t>ヒャクマンエン</t>
    </rPh>
    <rPh sb="4" eb="6">
      <t>コウニュウ</t>
    </rPh>
    <rPh sb="13" eb="14">
      <t>リョウ</t>
    </rPh>
    <rPh sb="15" eb="16">
      <t>スベ</t>
    </rPh>
    <rPh sb="17" eb="19">
      <t>ネンショウ</t>
    </rPh>
    <rPh sb="24" eb="26">
      <t>ソウテイ</t>
    </rPh>
    <rPh sb="28" eb="30">
      <t>ハイシュツ</t>
    </rPh>
    <rPh sb="30" eb="33">
      <t>ゲンタンイ</t>
    </rPh>
    <rPh sb="34" eb="36">
      <t>サクセイ</t>
    </rPh>
    <phoneticPr fontId="3"/>
  </si>
  <si>
    <t>当社製品は中間製品であり、潜在的に下流側で多くの用途を持ち、また用途によってGHG排出が異なることから、下流側排出量を合理的に見積もることが出来ないため、Scope3基準に則り本カテゴリは除外する。</t>
    <rPh sb="0" eb="1">
      <t>トウシャ</t>
    </rPh>
    <rPh sb="1" eb="3">
      <t>セイヒン</t>
    </rPh>
    <rPh sb="4" eb="6">
      <t>チュウカン</t>
    </rPh>
    <rPh sb="6" eb="8">
      <t>セイヒン</t>
    </rPh>
    <rPh sb="12" eb="15">
      <t>センザイテキ</t>
    </rPh>
    <rPh sb="16" eb="18">
      <t>カリュウ</t>
    </rPh>
    <rPh sb="18" eb="19">
      <t>ガワ</t>
    </rPh>
    <rPh sb="20" eb="21">
      <t>オオ</t>
    </rPh>
    <rPh sb="23" eb="25">
      <t>ヨウト</t>
    </rPh>
    <rPh sb="26" eb="27">
      <t>モ</t>
    </rPh>
    <rPh sb="31" eb="33">
      <t>ヨウト</t>
    </rPh>
    <rPh sb="40" eb="42">
      <t>ハイシュツ</t>
    </rPh>
    <rPh sb="43" eb="44">
      <t>コト</t>
    </rPh>
    <rPh sb="51" eb="53">
      <t>カリュウ</t>
    </rPh>
    <rPh sb="53" eb="54">
      <t>ガワ</t>
    </rPh>
    <rPh sb="54" eb="56">
      <t>ハイシュツ</t>
    </rPh>
    <rPh sb="56" eb="57">
      <t>リョウ</t>
    </rPh>
    <rPh sb="58" eb="61">
      <t>ゴウリテキ</t>
    </rPh>
    <rPh sb="62" eb="64">
      <t>ミツ</t>
    </rPh>
    <rPh sb="69" eb="71">
      <t>デキ</t>
    </rPh>
    <rPh sb="82" eb="84">
      <t>キジュン</t>
    </rPh>
    <rPh sb="85" eb="86">
      <t>ノット</t>
    </rPh>
    <rPh sb="87" eb="88">
      <t>ホン</t>
    </rPh>
    <rPh sb="93" eb="95">
      <t>ジョガイ</t>
    </rPh>
    <phoneticPr fontId="3"/>
  </si>
  <si>
    <t>採掘機器</t>
    <rPh sb="0" eb="2">
      <t>サイクツ</t>
    </rPh>
    <rPh sb="2" eb="4">
      <t>キキ</t>
    </rPh>
    <phoneticPr fontId="3"/>
  </si>
  <si>
    <t>非鉄金属精錬・精製</t>
    <rPh sb="0" eb="2">
      <t>ヒテツ</t>
    </rPh>
    <rPh sb="2" eb="4">
      <t>キンゾク</t>
    </rPh>
    <rPh sb="4" eb="6">
      <t>セイレン</t>
    </rPh>
    <rPh sb="7" eb="9">
      <t>セイセイ</t>
    </rPh>
    <phoneticPr fontId="3"/>
  </si>
  <si>
    <t>非鉄金属加工製品</t>
    <rPh sb="0" eb="2">
      <t>ヒテツ</t>
    </rPh>
    <rPh sb="2" eb="4">
      <t>キンゾク</t>
    </rPh>
    <rPh sb="4" eb="6">
      <t>カコウ</t>
    </rPh>
    <rPh sb="6" eb="8">
      <t>セイヒン</t>
    </rPh>
    <phoneticPr fontId="3"/>
  </si>
  <si>
    <t>t-CO2/百万円</t>
  </si>
  <si>
    <t>t-CO2/百万円</t>
    <phoneticPr fontId="3"/>
  </si>
  <si>
    <t>t-CO2/kL</t>
  </si>
  <si>
    <t>t-CO2/千Nm3</t>
    <rPh sb="6" eb="7">
      <t>セン</t>
    </rPh>
    <phoneticPr fontId="261"/>
  </si>
  <si>
    <t>t-CO2/百万円</t>
    <rPh sb="6" eb="9">
      <t>ヒャクマンエン</t>
    </rPh>
    <phoneticPr fontId="261"/>
  </si>
  <si>
    <t>t-CO2/台</t>
    <rPh sb="6" eb="7">
      <t>ダイ</t>
    </rPh>
    <phoneticPr fontId="3"/>
  </si>
  <si>
    <t>環境省DB ver.2.2[6]「非鉄金属精錬・精製」</t>
    <rPh sb="0" eb="3">
      <t>カンキョウショウ</t>
    </rPh>
    <rPh sb="17" eb="19">
      <t>ヒテツ</t>
    </rPh>
    <rPh sb="19" eb="21">
      <t>キンゾク</t>
    </rPh>
    <rPh sb="21" eb="23">
      <t>セイレン</t>
    </rPh>
    <rPh sb="24" eb="26">
      <t>セイセイ</t>
    </rPh>
    <phoneticPr fontId="3"/>
  </si>
  <si>
    <t>環境省DB ver.2.2[6]「非鉄金属加工製品」</t>
    <rPh sb="0" eb="3">
      <t>カンキョウショウ</t>
    </rPh>
    <rPh sb="17" eb="19">
      <t>ヒテツ</t>
    </rPh>
    <rPh sb="19" eb="21">
      <t>キンゾク</t>
    </rPh>
    <rPh sb="21" eb="23">
      <t>カコウ</t>
    </rPh>
    <rPh sb="23" eb="25">
      <t>セイヒン</t>
    </rPh>
    <phoneticPr fontId="3"/>
  </si>
  <si>
    <t>有価証券報告書</t>
    <rPh sb="0" eb="1">
      <t>ユウカ</t>
    </rPh>
    <rPh sb="1" eb="3">
      <t>ショウケン</t>
    </rPh>
    <rPh sb="3" eb="6">
      <t>ホウコクショ</t>
    </rPh>
    <phoneticPr fontId="3"/>
  </si>
  <si>
    <t>海上輸送（日本－ペルー）</t>
    <rPh sb="0" eb="2">
      <t>カイジョウ</t>
    </rPh>
    <rPh sb="2" eb="4">
      <t>ユソウ</t>
    </rPh>
    <rPh sb="5" eb="7">
      <t>ニホン</t>
    </rPh>
    <phoneticPr fontId="3"/>
  </si>
  <si>
    <t>陸上輸送（ペルー陸上輸送）</t>
    <rPh sb="0" eb="2">
      <t>リクジョウ</t>
    </rPh>
    <rPh sb="2" eb="4">
      <t>ユソウ</t>
    </rPh>
    <rPh sb="8" eb="10">
      <t>リクジョウ</t>
    </rPh>
    <rPh sb="10" eb="12">
      <t>ユソウ</t>
    </rPh>
    <phoneticPr fontId="3"/>
  </si>
  <si>
    <t>経理部</t>
    <rPh sb="0" eb="3">
      <t>ケイリブ</t>
    </rPh>
    <phoneticPr fontId="3"/>
  </si>
  <si>
    <t>算定対象範囲：
環境マネジメントシステムの対象範囲、ただしグループ会社については売上比率から推計</t>
    <rPh sb="0" eb="2">
      <t>サンテイ</t>
    </rPh>
    <rPh sb="2" eb="4">
      <t>タイショウ</t>
    </rPh>
    <rPh sb="4" eb="6">
      <t>ハンイ</t>
    </rPh>
    <rPh sb="21" eb="23">
      <t>タイショウ</t>
    </rPh>
    <rPh sb="23" eb="25">
      <t>ハンイ</t>
    </rPh>
    <rPh sb="33" eb="35">
      <t>ガイシャ</t>
    </rPh>
    <rPh sb="40" eb="42">
      <t>ウリアゲ</t>
    </rPh>
    <rPh sb="42" eb="44">
      <t>ヒリツ</t>
    </rPh>
    <phoneticPr fontId="3"/>
  </si>
  <si>
    <t>輸出重量
CFP DB B-JP DB国地域間距離「日本-ペルー」</t>
    <rPh sb="0" eb="2">
      <t>ユシュツ</t>
    </rPh>
    <rPh sb="2" eb="4">
      <t>ジュウリョウ</t>
    </rPh>
    <phoneticPr fontId="3"/>
  </si>
  <si>
    <t>鉱さい</t>
    <rPh sb="0" eb="1">
      <t>コウ</t>
    </rPh>
    <phoneticPr fontId="3"/>
  </si>
  <si>
    <t>算定対象範囲：
環境マネジメントシステムの対象範囲のリース資産</t>
    <rPh sb="29" eb="31">
      <t>シサン</t>
    </rPh>
    <phoneticPr fontId="3"/>
  </si>
  <si>
    <t>算定対象範囲：
環境マネジメントシステムの対象範囲が保有し賃貸している採掘機器が対象</t>
    <rPh sb="29" eb="31">
      <t>チンタイ</t>
    </rPh>
    <rPh sb="35" eb="37">
      <t>サイクツ</t>
    </rPh>
    <rPh sb="37" eb="39">
      <t>キキ</t>
    </rPh>
    <rPh sb="40" eb="42">
      <t>タイショウ</t>
    </rPh>
    <phoneticPr fontId="3"/>
  </si>
  <si>
    <t>銅、亜鉛を主に扱う鉱業・精錬会社。また、これらの事業の運営のため、採掘会社、輸送会社、加工会社等も傘下に持つ。</t>
    <rPh sb="0" eb="1">
      <t>ドウ</t>
    </rPh>
    <rPh sb="2" eb="4">
      <t>アエン</t>
    </rPh>
    <rPh sb="5" eb="6">
      <t>オモ</t>
    </rPh>
    <rPh sb="7" eb="8">
      <t>アツカ</t>
    </rPh>
    <rPh sb="9" eb="11">
      <t>コウギョウ</t>
    </rPh>
    <rPh sb="12" eb="14">
      <t>セイレン</t>
    </rPh>
    <rPh sb="14" eb="16">
      <t>カイシャ</t>
    </rPh>
    <rPh sb="33" eb="35">
      <t>サイクツ</t>
    </rPh>
    <rPh sb="35" eb="37">
      <t>カイシャ</t>
    </rPh>
    <rPh sb="43" eb="45">
      <t>カコウ</t>
    </rPh>
    <rPh sb="45" eb="47">
      <t>カイシャ</t>
    </rPh>
    <phoneticPr fontId="3"/>
  </si>
  <si>
    <t>個</t>
    <rPh sb="0" eb="1">
      <t>コ</t>
    </rPh>
    <phoneticPr fontId="3"/>
  </si>
  <si>
    <t>算定対象範囲：
環境マネジメントシステムの対象範囲が販売している金属製品</t>
    <rPh sb="26" eb="28">
      <t>ハンバイ</t>
    </rPh>
    <rPh sb="32" eb="34">
      <t>キンゾク</t>
    </rPh>
    <rPh sb="34" eb="36">
      <t>セイヒン</t>
    </rPh>
    <phoneticPr fontId="3"/>
  </si>
  <si>
    <t>金属製品</t>
    <rPh sb="0" eb="1">
      <t>キンゾク</t>
    </rPh>
    <rPh sb="1" eb="3">
      <t>セイヒン</t>
    </rPh>
    <phoneticPr fontId="3"/>
  </si>
  <si>
    <t>加工会社 生産部</t>
    <rPh sb="0" eb="2">
      <t>カコウ</t>
    </rPh>
    <rPh sb="2" eb="4">
      <t>カイシャ</t>
    </rPh>
    <rPh sb="5" eb="6">
      <t>セイサン</t>
    </rPh>
    <rPh sb="6" eb="7">
      <t>ブ</t>
    </rPh>
    <phoneticPr fontId="3"/>
  </si>
  <si>
    <t>t-CO2/個</t>
    <rPh sb="6" eb="7">
      <t>コ</t>
    </rPh>
    <phoneticPr fontId="3"/>
  </si>
  <si>
    <t>自社における1台当たり年間排出量を推計し、適用</t>
    <rPh sb="0" eb="2">
      <t>ジシャ</t>
    </rPh>
    <rPh sb="7" eb="8">
      <t>ダイ</t>
    </rPh>
    <rPh sb="8" eb="9">
      <t>ア</t>
    </rPh>
    <rPh sb="11" eb="13">
      <t>ネンカン</t>
    </rPh>
    <rPh sb="13" eb="15">
      <t>ハイシュツ</t>
    </rPh>
    <rPh sb="15" eb="16">
      <t>リョウ</t>
    </rPh>
    <rPh sb="17" eb="19">
      <t>スイケイ</t>
    </rPh>
    <rPh sb="21" eb="23">
      <t>テキヨウ</t>
    </rPh>
    <phoneticPr fontId="3"/>
  </si>
  <si>
    <t>自社LCAデータより</t>
    <rPh sb="0" eb="1">
      <t>ジシャ</t>
    </rPh>
    <phoneticPr fontId="3"/>
  </si>
  <si>
    <t>グループ内加工会社で金属銅を金属製品に加工。同製品の販売先における組立時の排出量を対象としている。
なお、素材としての銅、亜鉛の排出量は除外。</t>
    <rPh sb="4" eb="5">
      <t>ナイ</t>
    </rPh>
    <rPh sb="5" eb="7">
      <t>カコウ</t>
    </rPh>
    <rPh sb="7" eb="9">
      <t>カイシャ</t>
    </rPh>
    <rPh sb="10" eb="12">
      <t>キンゾク</t>
    </rPh>
    <rPh sb="12" eb="13">
      <t>ドウ</t>
    </rPh>
    <rPh sb="14" eb="16">
      <t>キンゾク</t>
    </rPh>
    <rPh sb="16" eb="18">
      <t>セイヒン</t>
    </rPh>
    <rPh sb="19" eb="21">
      <t>カコウ</t>
    </rPh>
    <rPh sb="22" eb="23">
      <t>ドウ</t>
    </rPh>
    <rPh sb="23" eb="25">
      <t>セイヒン</t>
    </rPh>
    <rPh sb="26" eb="28">
      <t>ハンバイ</t>
    </rPh>
    <rPh sb="28" eb="29">
      <t>サキ</t>
    </rPh>
    <rPh sb="33" eb="35">
      <t>クミタテ</t>
    </rPh>
    <rPh sb="35" eb="36">
      <t>ジ</t>
    </rPh>
    <rPh sb="37" eb="39">
      <t>ハイシュツ</t>
    </rPh>
    <rPh sb="39" eb="40">
      <t>リョウ</t>
    </rPh>
    <rPh sb="41" eb="43">
      <t>タイショウ</t>
    </rPh>
    <rPh sb="53" eb="55">
      <t>ソザイ</t>
    </rPh>
    <rPh sb="59" eb="60">
      <t>ドウ</t>
    </rPh>
    <rPh sb="60" eb="61">
      <t>コンドウ</t>
    </rPh>
    <rPh sb="61" eb="63">
      <t>アエン</t>
    </rPh>
    <rPh sb="64" eb="66">
      <t>ハイシュツ</t>
    </rPh>
    <rPh sb="66" eb="67">
      <t>リョウ</t>
    </rPh>
    <rPh sb="68" eb="70">
      <t>ジョガイ</t>
    </rPh>
    <phoneticPr fontId="3"/>
  </si>
  <si>
    <t>算定対象範囲：
環境マネジメントシステムの対象範囲</t>
    <phoneticPr fontId="3"/>
  </si>
  <si>
    <t>算定対象範囲：
環境マネジメントシステムの対象範囲</t>
    <phoneticPr fontId="3"/>
  </si>
  <si>
    <t>営業部</t>
    <rPh sb="0" eb="2">
      <t>エイギョウ</t>
    </rPh>
    <rPh sb="2" eb="3">
      <t>ブ</t>
    </rPh>
    <phoneticPr fontId="3"/>
  </si>
  <si>
    <t>問屋までの輸送が該当。特定荷主の定期報告値の合計値からスコープ1,2との重複分を除外。</t>
    <rPh sb="0" eb="2">
      <t>トンヤ</t>
    </rPh>
    <rPh sb="5" eb="7">
      <t>ユソウ</t>
    </rPh>
    <rPh sb="8" eb="10">
      <t>ガイトウ</t>
    </rPh>
    <rPh sb="36" eb="39">
      <t>チョウフクブン</t>
    </rPh>
    <rPh sb="40" eb="42">
      <t>ジョガイ</t>
    </rPh>
    <phoneticPr fontId="3"/>
  </si>
  <si>
    <t>プラスチック製品の製造会社。主に自動車用部品（燃料タンク及び周辺部材）であるが、一部汎用製品も扱っている。また、これらの事業の運営のため、輸送会社を傘下に持つ。</t>
    <rPh sb="6" eb="8">
      <t>セイヒン</t>
    </rPh>
    <rPh sb="9" eb="11">
      <t>セイゾウ</t>
    </rPh>
    <rPh sb="11" eb="13">
      <t>カイシャ</t>
    </rPh>
    <rPh sb="14" eb="15">
      <t>オモ</t>
    </rPh>
    <rPh sb="40" eb="42">
      <t>イチブ</t>
    </rPh>
    <rPh sb="42" eb="44">
      <t>ハンヨウ</t>
    </rPh>
    <rPh sb="44" eb="46">
      <t>セイヒン</t>
    </rPh>
    <rPh sb="47" eb="48">
      <t>アツカ</t>
    </rPh>
    <phoneticPr fontId="3"/>
  </si>
  <si>
    <t>EVOH</t>
    <phoneticPr fontId="3"/>
  </si>
  <si>
    <t>t-CO2/t</t>
    <phoneticPr fontId="3"/>
  </si>
  <si>
    <t>CFP DB B-JP310009「エチレンビニルアルコール共重合樹脂（EVOH）」</t>
    <rPh sb="30" eb="33">
      <t>キョウジュウゴウ</t>
    </rPh>
    <rPh sb="33" eb="35">
      <t>ジュシ</t>
    </rPh>
    <phoneticPr fontId="261"/>
  </si>
  <si>
    <t>HDPE</t>
    <phoneticPr fontId="3"/>
  </si>
  <si>
    <t>CFP DB B-JP310002「高密度ポリエチレン（HDPE）」</t>
    <rPh sb="18" eb="21">
      <t>コウミツド</t>
    </rPh>
    <phoneticPr fontId="261"/>
  </si>
  <si>
    <t>再生ポリエチレン</t>
    <rPh sb="0" eb="1">
      <t>サイ</t>
    </rPh>
    <rPh sb="1" eb="2">
      <t>セイ</t>
    </rPh>
    <phoneticPr fontId="3"/>
  </si>
  <si>
    <t>t-CO2/t</t>
    <phoneticPr fontId="3"/>
  </si>
  <si>
    <t>CFP DB B-JP312012「再生ポリエチレン樹脂（ペレット），産業廃棄物由来」</t>
    <rPh sb="18" eb="20">
      <t>サイセイ</t>
    </rPh>
    <rPh sb="26" eb="28">
      <t>ジュシ</t>
    </rPh>
    <rPh sb="35" eb="37">
      <t>サンギョウ</t>
    </rPh>
    <rPh sb="37" eb="40">
      <t>ハイキブツ</t>
    </rPh>
    <rPh sb="40" eb="42">
      <t>ユライ</t>
    </rPh>
    <phoneticPr fontId="261"/>
  </si>
  <si>
    <t>ヘリウムガス</t>
    <phoneticPr fontId="3"/>
  </si>
  <si>
    <t>Nm3</t>
    <phoneticPr fontId="3"/>
  </si>
  <si>
    <t>t-CO2/Nm3</t>
    <phoneticPr fontId="3"/>
  </si>
  <si>
    <t>CFP DB B-JP310376「ヘリウム,ガス」</t>
    <phoneticPr fontId="261"/>
  </si>
  <si>
    <t>無水マレイン酸</t>
    <rPh sb="0" eb="2">
      <t>ムスイ</t>
    </rPh>
    <rPh sb="6" eb="7">
      <t>サン</t>
    </rPh>
    <phoneticPr fontId="3"/>
  </si>
  <si>
    <t>t</t>
    <phoneticPr fontId="261"/>
  </si>
  <si>
    <t>CFP DB B-JP310192「無水マレイン酸」</t>
    <rPh sb="18" eb="20">
      <t>ムスイ</t>
    </rPh>
    <rPh sb="24" eb="25">
      <t>サン</t>
    </rPh>
    <phoneticPr fontId="261"/>
  </si>
  <si>
    <t>自動車部品・同付属品</t>
    <rPh sb="0" eb="3">
      <t>ジドウシャ</t>
    </rPh>
    <rPh sb="3" eb="5">
      <t>ブヒン</t>
    </rPh>
    <rPh sb="6" eb="7">
      <t>ドウ</t>
    </rPh>
    <rPh sb="7" eb="9">
      <t>フゾク</t>
    </rPh>
    <rPh sb="9" eb="10">
      <t>ヒン</t>
    </rPh>
    <phoneticPr fontId="3"/>
  </si>
  <si>
    <t>t-CO2/百万円</t>
    <phoneticPr fontId="3"/>
  </si>
  <si>
    <t>環境省DB[6]「自動車部品・同付属品」</t>
    <rPh sb="0" eb="3">
      <t>カンキョウショウ</t>
    </rPh>
    <rPh sb="9" eb="12">
      <t>ジドウシャ</t>
    </rPh>
    <rPh sb="12" eb="14">
      <t>ブヒン</t>
    </rPh>
    <rPh sb="15" eb="16">
      <t>ドウ</t>
    </rPh>
    <rPh sb="16" eb="18">
      <t>フゾク</t>
    </rPh>
    <rPh sb="18" eb="19">
      <t>ヒン</t>
    </rPh>
    <phoneticPr fontId="3"/>
  </si>
  <si>
    <t>プラスチック製品</t>
    <rPh sb="6" eb="8">
      <t>セイヒン</t>
    </rPh>
    <phoneticPr fontId="3"/>
  </si>
  <si>
    <t>百万円</t>
    <rPh sb="0" eb="2">
      <t>ヒャクマンエン</t>
    </rPh>
    <phoneticPr fontId="3"/>
  </si>
  <si>
    <t>t-CO2/百万円</t>
    <rPh sb="5" eb="8">
      <t>ヒャクマンエン</t>
    </rPh>
    <phoneticPr fontId="3"/>
  </si>
  <si>
    <t>環境省DB[6]「プラスチック製品」</t>
    <rPh sb="15" eb="17">
      <t>セイヒン</t>
    </rPh>
    <phoneticPr fontId="3"/>
  </si>
  <si>
    <t>MWh</t>
    <phoneticPr fontId="3"/>
  </si>
  <si>
    <t>t-CO2/MWh</t>
    <phoneticPr fontId="3"/>
  </si>
  <si>
    <t>ＧＪ</t>
    <phoneticPr fontId="3"/>
  </si>
  <si>
    <t>kg-CO2/MJ</t>
    <phoneticPr fontId="3"/>
  </si>
  <si>
    <t>t-CO2</t>
    <phoneticPr fontId="3"/>
  </si>
  <si>
    <t>出荷輸送（海上；日本－ドイツ）</t>
    <rPh sb="0" eb="2">
      <t>シュッカ</t>
    </rPh>
    <rPh sb="2" eb="4">
      <t>ユソウ</t>
    </rPh>
    <rPh sb="5" eb="7">
      <t>カイジョウ</t>
    </rPh>
    <rPh sb="8" eb="10">
      <t>ニホン</t>
    </rPh>
    <phoneticPr fontId="3"/>
  </si>
  <si>
    <t>tkm</t>
    <phoneticPr fontId="3"/>
  </si>
  <si>
    <t>輸出重量
CFP DB B-JP DB国地域間距離「日本-ドイツ」</t>
    <rPh sb="0" eb="2">
      <t>ユシュツ</t>
    </rPh>
    <rPh sb="2" eb="4">
      <t>ジュウリョウ</t>
    </rPh>
    <phoneticPr fontId="3"/>
  </si>
  <si>
    <t>t-CO2/tkm</t>
    <phoneticPr fontId="3"/>
  </si>
  <si>
    <t>出荷輸送（ドイツ陸上輸送）</t>
    <rPh sb="0" eb="2">
      <t>シュッカ</t>
    </rPh>
    <rPh sb="2" eb="4">
      <t>ユソウ</t>
    </rPh>
    <rPh sb="8" eb="10">
      <t>リクジョウ</t>
    </rPh>
    <rPh sb="10" eb="12">
      <t>ユソウ</t>
    </rPh>
    <phoneticPr fontId="3"/>
  </si>
  <si>
    <t>tkm</t>
    <phoneticPr fontId="3"/>
  </si>
  <si>
    <t>t-CO2/tkm</t>
    <phoneticPr fontId="3"/>
  </si>
  <si>
    <t>CFP DB B-JP DB ver.1.01
「トラック輸送（10トン車：積載率62%）」</t>
    <phoneticPr fontId="3"/>
  </si>
  <si>
    <t>CFP DB B-JP DB ver.1.01
「トラック輸送（10トン車：積載率62%）」</t>
    <phoneticPr fontId="3"/>
  </si>
  <si>
    <t>CFP-PCR策定のための分野別ガイド“工業製品（食料品以外）”の「生産地が海外の場合（生産サイト→生産国の港）」を代用し、500km、10トントラック、積載率62%と想定</t>
    <rPh sb="7" eb="9">
      <t>サクテイ</t>
    </rPh>
    <rPh sb="13" eb="15">
      <t>ブンヤ</t>
    </rPh>
    <rPh sb="15" eb="16">
      <t>ベツ</t>
    </rPh>
    <rPh sb="20" eb="22">
      <t>コウギョウ</t>
    </rPh>
    <rPh sb="22" eb="24">
      <t>セイヒン</t>
    </rPh>
    <rPh sb="25" eb="28">
      <t>ショクリョウヒン</t>
    </rPh>
    <rPh sb="28" eb="30">
      <t>イガイ</t>
    </rPh>
    <rPh sb="34" eb="37">
      <t>セイサンチ</t>
    </rPh>
    <rPh sb="38" eb="40">
      <t>カイガイ</t>
    </rPh>
    <rPh sb="41" eb="43">
      <t>バアイ</t>
    </rPh>
    <rPh sb="44" eb="46">
      <t>セイサン</t>
    </rPh>
    <rPh sb="50" eb="53">
      <t>セイサンコク</t>
    </rPh>
    <rPh sb="54" eb="55">
      <t>ミナト</t>
    </rPh>
    <rPh sb="58" eb="60">
      <t>ダイヨウ</t>
    </rPh>
    <rPh sb="77" eb="79">
      <t>セキサイ</t>
    </rPh>
    <rPh sb="79" eb="80">
      <t>リツ</t>
    </rPh>
    <rPh sb="84" eb="86">
      <t>ソウテイ</t>
    </rPh>
    <phoneticPr fontId="3"/>
  </si>
  <si>
    <t>算定対象範囲：
環境マネジメントシステムの対象範囲</t>
    <phoneticPr fontId="3"/>
  </si>
  <si>
    <t>廃プラスチック類</t>
    <rPh sb="0" eb="1">
      <t>ハイ</t>
    </rPh>
    <rPh sb="7" eb="8">
      <t>ルイ</t>
    </rPh>
    <phoneticPr fontId="3"/>
  </si>
  <si>
    <t>t</t>
    <phoneticPr fontId="3"/>
  </si>
  <si>
    <t>廃酸</t>
    <rPh sb="0" eb="2">
      <t>ハイサン</t>
    </rPh>
    <phoneticPr fontId="3"/>
  </si>
  <si>
    <t>オフィスごみ</t>
    <phoneticPr fontId="3"/>
  </si>
  <si>
    <t>オフィスごみ</t>
    <phoneticPr fontId="3"/>
  </si>
  <si>
    <t>算定対象範囲：
環境マネジメントシステムの対象範囲</t>
    <phoneticPr fontId="3"/>
  </si>
  <si>
    <t>m2</t>
    <phoneticPr fontId="3"/>
  </si>
  <si>
    <t>t-CO2/m2</t>
    <phoneticPr fontId="3"/>
  </si>
  <si>
    <t>環境省DB[16]その他サービス業,代替値
（１年間のうち３か月分に換算）
0.02575＝0.103×3/12</t>
    <rPh sb="0" eb="2">
      <t>カンキョウショウ</t>
    </rPh>
    <rPh sb="10" eb="11">
      <t>タ</t>
    </rPh>
    <rPh sb="15" eb="16">
      <t>ギョウ</t>
    </rPh>
    <rPh sb="18" eb="20">
      <t>ダイタイ</t>
    </rPh>
    <rPh sb="20" eb="21">
      <t>アタイ</t>
    </rPh>
    <rPh sb="24" eb="26">
      <t>ネンカン</t>
    </rPh>
    <rPh sb="31" eb="33">
      <t>ゲツブン</t>
    </rPh>
    <rPh sb="34" eb="36">
      <t>カンサン</t>
    </rPh>
    <phoneticPr fontId="3"/>
  </si>
  <si>
    <t>当社製品は中間製品であり、最終製品（自動車）に加工された後の輸送先は不明であり、同排出への影響力が無く、排出量を合理的に見積もることが出来ないため、本カテゴリは除外する。</t>
    <rPh sb="0" eb="1">
      <t>トウシャ</t>
    </rPh>
    <rPh sb="1" eb="3">
      <t>セイヒン</t>
    </rPh>
    <rPh sb="4" eb="6">
      <t>チュウカン</t>
    </rPh>
    <rPh sb="6" eb="8">
      <t>セイヒン</t>
    </rPh>
    <rPh sb="13" eb="15">
      <t>サイシュウ</t>
    </rPh>
    <rPh sb="15" eb="17">
      <t>セイヒン</t>
    </rPh>
    <rPh sb="18" eb="21">
      <t>ジドウシャ</t>
    </rPh>
    <rPh sb="23" eb="25">
      <t>カコウ</t>
    </rPh>
    <rPh sb="28" eb="29">
      <t>アト</t>
    </rPh>
    <rPh sb="30" eb="32">
      <t>ユソウ</t>
    </rPh>
    <rPh sb="32" eb="33">
      <t>サキ</t>
    </rPh>
    <rPh sb="34" eb="36">
      <t>フメイ</t>
    </rPh>
    <rPh sb="40" eb="41">
      <t>ドウ</t>
    </rPh>
    <rPh sb="41" eb="43">
      <t>ハイシュツ</t>
    </rPh>
    <rPh sb="45" eb="48">
      <t>エイキョウリョク</t>
    </rPh>
    <rPh sb="49" eb="50">
      <t>ナ</t>
    </rPh>
    <rPh sb="52" eb="54">
      <t>ハイシュツ</t>
    </rPh>
    <rPh sb="53" eb="54">
      <t>リョウ</t>
    </rPh>
    <rPh sb="55" eb="58">
      <t>ゴウリテキ</t>
    </rPh>
    <rPh sb="59" eb="61">
      <t>ミツ</t>
    </rPh>
    <rPh sb="66" eb="68">
      <t>デキ</t>
    </rPh>
    <rPh sb="79" eb="81">
      <t>ジョガイ</t>
    </rPh>
    <phoneticPr fontId="3"/>
  </si>
  <si>
    <t>同製品の販売先における組立時の排出量を対象としている。</t>
    <rPh sb="0" eb="1">
      <t>ドウ</t>
    </rPh>
    <rPh sb="1" eb="3">
      <t>セイヒン</t>
    </rPh>
    <rPh sb="4" eb="6">
      <t>ハンバイ</t>
    </rPh>
    <rPh sb="6" eb="7">
      <t>サキ</t>
    </rPh>
    <rPh sb="11" eb="13">
      <t>クミタテ</t>
    </rPh>
    <rPh sb="13" eb="14">
      <t>ジ</t>
    </rPh>
    <rPh sb="15" eb="17">
      <t>ハイシュツ</t>
    </rPh>
    <rPh sb="17" eb="18">
      <t>リョウ</t>
    </rPh>
    <rPh sb="19" eb="21">
      <t>タイショウ</t>
    </rPh>
    <phoneticPr fontId="3"/>
  </si>
  <si>
    <t>当社製品の使用は、直接的にエネルギーを消費するわけでは無いため、本カテゴリは除外する。</t>
    <rPh sb="0" eb="1">
      <t>トウシャ</t>
    </rPh>
    <rPh sb="1" eb="3">
      <t>セイヒン</t>
    </rPh>
    <rPh sb="4" eb="6">
      <t>シヨウ</t>
    </rPh>
    <rPh sb="8" eb="11">
      <t>チョクセツテキ</t>
    </rPh>
    <rPh sb="18" eb="20">
      <t>ショウヒ</t>
    </rPh>
    <rPh sb="26" eb="27">
      <t>ナ</t>
    </rPh>
    <rPh sb="32" eb="33">
      <t>ホン</t>
    </rPh>
    <rPh sb="38" eb="40">
      <t>ジョガイ</t>
    </rPh>
    <phoneticPr fontId="3"/>
  </si>
  <si>
    <t>算定対象範囲：
環境マネジメントシステムの対象範囲が販売している金属製品</t>
    <phoneticPr fontId="3"/>
  </si>
  <si>
    <t>自動車用部品</t>
    <rPh sb="0" eb="3">
      <t>ジドウシャヨウ</t>
    </rPh>
    <rPh sb="3" eb="5">
      <t>ブヒン</t>
    </rPh>
    <phoneticPr fontId="3"/>
  </si>
  <si>
    <t>t</t>
    <phoneticPr fontId="3"/>
  </si>
  <si>
    <t>出荷量</t>
    <rPh sb="0" eb="1">
      <t>シュッカ</t>
    </rPh>
    <rPh sb="1" eb="2">
      <t>リョウ</t>
    </rPh>
    <phoneticPr fontId="3"/>
  </si>
  <si>
    <t>t-CO2/t</t>
    <phoneticPr fontId="3"/>
  </si>
  <si>
    <t>環境省DB[8]「廃プラスチック類,リサイクル」</t>
    <phoneticPr fontId="3"/>
  </si>
  <si>
    <t>自動車リサイクル法が施行されていることから、リサイクルと仮定。</t>
    <rPh sb="0" eb="2">
      <t>ジドウシャ</t>
    </rPh>
    <rPh sb="7" eb="8">
      <t>ホウ</t>
    </rPh>
    <rPh sb="9" eb="11">
      <t>シコウ</t>
    </rPh>
    <rPh sb="27" eb="29">
      <t>カテイ</t>
    </rPh>
    <phoneticPr fontId="3"/>
  </si>
  <si>
    <t>汎用部品</t>
    <rPh sb="0" eb="1">
      <t>ハンヨウ</t>
    </rPh>
    <rPh sb="1" eb="3">
      <t>ブヒン</t>
    </rPh>
    <phoneticPr fontId="3"/>
  </si>
  <si>
    <t>環境省DB[9]「廃プラスチック類」</t>
    <rPh sb="0" eb="2">
      <t>カンキョウショウ</t>
    </rPh>
    <rPh sb="8" eb="9">
      <t>ハイ</t>
    </rPh>
    <rPh sb="16" eb="17">
      <t>ルイ</t>
    </rPh>
    <phoneticPr fontId="3"/>
  </si>
  <si>
    <t>廃棄処理方法は不明であるため、廃棄処理方法に依らない[9]廃棄物種類別排出原単位を利用</t>
    <rPh sb="0" eb="1">
      <t>ハイキ</t>
    </rPh>
    <rPh sb="1" eb="3">
      <t>ショリ</t>
    </rPh>
    <rPh sb="3" eb="5">
      <t>ホウホウ</t>
    </rPh>
    <rPh sb="6" eb="8">
      <t>フメイ</t>
    </rPh>
    <rPh sb="15" eb="17">
      <t>ハイキ</t>
    </rPh>
    <rPh sb="17" eb="19">
      <t>ショリ</t>
    </rPh>
    <rPh sb="19" eb="21">
      <t>ホウホウ</t>
    </rPh>
    <rPh sb="22" eb="23">
      <t>ヨ</t>
    </rPh>
    <rPh sb="29" eb="32">
      <t>ハイキブツ</t>
    </rPh>
    <rPh sb="32" eb="34">
      <t>シュルイ</t>
    </rPh>
    <rPh sb="34" eb="35">
      <t>ベツ</t>
    </rPh>
    <rPh sb="35" eb="37">
      <t>ハイシュツ</t>
    </rPh>
    <rPh sb="37" eb="40">
      <t>ゲンタンイ</t>
    </rPh>
    <rPh sb="41" eb="43">
      <t>リヨウ</t>
    </rPh>
    <phoneticPr fontId="3"/>
  </si>
  <si>
    <t>リース（下流）</t>
    <phoneticPr fontId="3"/>
  </si>
  <si>
    <t>資産の外部リースは行っていないため、算定対象外</t>
    <rPh sb="0" eb="2">
      <t>シサン</t>
    </rPh>
    <rPh sb="3" eb="5">
      <t>ガイブ</t>
    </rPh>
    <rPh sb="9" eb="10">
      <t>オコナ</t>
    </rPh>
    <rPh sb="18" eb="20">
      <t>サンテイ</t>
    </rPh>
    <rPh sb="20" eb="22">
      <t>タイショウ</t>
    </rPh>
    <rPh sb="22" eb="23">
      <t>ガイ</t>
    </rPh>
    <phoneticPr fontId="3"/>
  </si>
  <si>
    <t>フランチャイズ</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</si>
  <si>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</si>
  <si>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</si>
  <si>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</si>
  <si>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</si>
  <si>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</si>
  <si>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</si>
  <si>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</si>
  <si>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</si>
  <si>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</si>
  <si>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</si>
  <si>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</si>
  <si>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</si>
  <si>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CO2（ton）</t>
    <phoneticPr fontId="3"/>
  </si>
  <si>
    <t>スコープ１</t>
    <phoneticPr fontId="3"/>
  </si>
  <si>
    <t>スコープ２</t>
    <phoneticPr fontId="3"/>
  </si>
  <si>
    <t>カテゴリ１</t>
    <phoneticPr fontId="3"/>
  </si>
  <si>
    <t>カテゴリ２</t>
    <phoneticPr fontId="3"/>
  </si>
  <si>
    <t>カテゴリ３</t>
    <phoneticPr fontId="3"/>
  </si>
  <si>
    <t>カテゴリ４</t>
    <phoneticPr fontId="3"/>
  </si>
  <si>
    <t>カテゴリ５</t>
    <phoneticPr fontId="3"/>
  </si>
  <si>
    <t>フランチャイズ</t>
    <phoneticPr fontId="3"/>
  </si>
  <si>
    <t>■想定した組立機械製造業の事業イメージ</t>
    <rPh sb="1" eb="3">
      <t>ソウテイ</t>
    </rPh>
    <rPh sb="5" eb="7">
      <t>クミタテ</t>
    </rPh>
    <rPh sb="7" eb="9">
      <t>キカイ</t>
    </rPh>
    <rPh sb="9" eb="12">
      <t>セイゾウギョウ</t>
    </rPh>
    <rPh sb="13" eb="15">
      <t>ジギョウ</t>
    </rPh>
    <phoneticPr fontId="3"/>
  </si>
  <si>
    <t>自動車の組立会社。エンジンを内製しており、外部企業向けの販売も行っている。また、これらの事業の運営のため、輸送会社、販売会社（日本、フランス、中国、アメリカ）等も傘下に持つ。</t>
    <rPh sb="63" eb="65">
      <t>ニホン</t>
    </rPh>
    <rPh sb="71" eb="73">
      <t>チュウゴク</t>
    </rPh>
    <phoneticPr fontId="3"/>
  </si>
  <si>
    <t>ポリエチレン</t>
  </si>
  <si>
    <t>t</t>
  </si>
  <si>
    <t>CFP-DB B-JP310001「低密度ポリエチレン（LDPE）」</t>
    <rPh sb="18" eb="21">
      <t>テイミツド</t>
    </rPh>
    <phoneticPr fontId="220"/>
  </si>
  <si>
    <t>塩化ビニル</t>
    <rPh sb="0" eb="2">
      <t>エンカ</t>
    </rPh>
    <phoneticPr fontId="3"/>
  </si>
  <si>
    <t>CFP-DB B-JP310006「塩化ビニル（PVC）」</t>
    <rPh sb="18" eb="20">
      <t>エンカ</t>
    </rPh>
    <phoneticPr fontId="220"/>
  </si>
  <si>
    <t>エポキシ樹脂</t>
    <rPh sb="4" eb="6">
      <t>ジュシ</t>
    </rPh>
    <phoneticPr fontId="3"/>
  </si>
  <si>
    <t>CFP-DB B-JP310249「エポキシ樹脂」</t>
  </si>
  <si>
    <t>合成ゴム</t>
    <rPh sb="0" eb="2">
      <t>ゴウセイ</t>
    </rPh>
    <phoneticPr fontId="3"/>
  </si>
  <si>
    <t>CFP-DB B-JP310263「合成ゴム」</t>
    <rPh sb="18" eb="20">
      <t>ゴウセイ</t>
    </rPh>
    <phoneticPr fontId="220"/>
  </si>
  <si>
    <t>塗料</t>
    <rPh sb="0" eb="2">
      <t>トリョウ</t>
    </rPh>
    <phoneticPr fontId="3"/>
  </si>
  <si>
    <t>CFP-DB B-JP310337「溶剤系合成樹脂塗料」</t>
    <rPh sb="18" eb="20">
      <t>ヨウザイ</t>
    </rPh>
    <rPh sb="20" eb="21">
      <t>ケイ</t>
    </rPh>
    <rPh sb="21" eb="23">
      <t>ゴウセイ</t>
    </rPh>
    <rPh sb="23" eb="25">
      <t>ジュシ</t>
    </rPh>
    <rPh sb="25" eb="27">
      <t>トリョウ</t>
    </rPh>
    <phoneticPr fontId="220"/>
  </si>
  <si>
    <t>エンジンオイル</t>
  </si>
  <si>
    <t>CFP-DB B-JP311010「エンジンオイル」</t>
  </si>
  <si>
    <t>ポリウレタン</t>
  </si>
  <si>
    <t>CFP-DB B-JP312002「軟質ポリウレタン」</t>
    <rPh sb="18" eb="20">
      <t>ナンシツ</t>
    </rPh>
    <phoneticPr fontId="220"/>
  </si>
  <si>
    <t>ガラス</t>
  </si>
  <si>
    <t>CFP-DB B-JP315001「普通板ガラス」</t>
    <rPh sb="18" eb="20">
      <t>フツウ</t>
    </rPh>
    <rPh sb="20" eb="21">
      <t>イタ</t>
    </rPh>
    <phoneticPr fontId="220"/>
  </si>
  <si>
    <t>鉄(高合金鋼除く)</t>
  </si>
  <si>
    <t>CFP-DB B-JP316003「冷延鋼板」</t>
    <rPh sb="18" eb="20">
      <t>レイエン</t>
    </rPh>
    <rPh sb="20" eb="22">
      <t>コウバン</t>
    </rPh>
    <phoneticPr fontId="220"/>
  </si>
  <si>
    <t>特殊鋼</t>
    <rPh sb="0" eb="3">
      <t>トクシュコウ</t>
    </rPh>
    <phoneticPr fontId="3"/>
  </si>
  <si>
    <t>CFP-DB B-JP316010「特殊鋼」</t>
    <rPh sb="18" eb="20">
      <t>トクシュ</t>
    </rPh>
    <rPh sb="20" eb="21">
      <t>ハガネ</t>
    </rPh>
    <phoneticPr fontId="220"/>
  </si>
  <si>
    <t>マグネシウム</t>
  </si>
  <si>
    <t>CFP-DB B-JP317023「金属マグネシウム」</t>
    <rPh sb="18" eb="20">
      <t>キンゾク</t>
    </rPh>
    <phoneticPr fontId="220"/>
  </si>
  <si>
    <t>アルミニウム</t>
  </si>
  <si>
    <t>CFP-DB B-JP317029「アルミニウム再生地金、アルミニウム合金」</t>
  </si>
  <si>
    <t>銅</t>
  </si>
  <si>
    <t>CFP-DB B-JP317057「銅・銅合金鋳物」</t>
    <rPh sb="18" eb="19">
      <t>ドウ</t>
    </rPh>
    <rPh sb="20" eb="21">
      <t>ドウ</t>
    </rPh>
    <rPh sb="21" eb="23">
      <t>ゴウキン</t>
    </rPh>
    <rPh sb="23" eb="25">
      <t>イモノ</t>
    </rPh>
    <phoneticPr fontId="220"/>
  </si>
  <si>
    <t>亜鉛</t>
    <rPh sb="0" eb="2">
      <t>アエン</t>
    </rPh>
    <phoneticPr fontId="3"/>
  </si>
  <si>
    <t>CFP-DB B-JP317080「亜鉛（国内平均）」</t>
    <rPh sb="18" eb="20">
      <t>アエン</t>
    </rPh>
    <rPh sb="21" eb="23">
      <t>コクナイ</t>
    </rPh>
    <rPh sb="23" eb="25">
      <t>ヘイキン</t>
    </rPh>
    <phoneticPr fontId="220"/>
  </si>
  <si>
    <t>タイヤ</t>
  </si>
  <si>
    <t>環境省DB[5]「タイヤ・チューブ」</t>
    <phoneticPr fontId="3"/>
  </si>
  <si>
    <t>重量、数量情報を把握しているが、対応する排出原単位がCFP DB、環境省DBに無いため、産業連関表ベースの排出原単位（環境省DB[5]産業連関表ベースの排出原単位のうち②金額ベースの排出原単位）を使用</t>
    <rPh sb="0" eb="2">
      <t>ジュウリョウ</t>
    </rPh>
    <rPh sb="3" eb="5">
      <t>スウリョウ</t>
    </rPh>
    <rPh sb="5" eb="7">
      <t>ジョウホウ</t>
    </rPh>
    <rPh sb="8" eb="10">
      <t>ハアク</t>
    </rPh>
    <rPh sb="16" eb="18">
      <t>タイオウ</t>
    </rPh>
    <rPh sb="20" eb="22">
      <t>ハイシュツ</t>
    </rPh>
    <rPh sb="22" eb="25">
      <t>ゲンタンイ</t>
    </rPh>
    <rPh sb="33" eb="36">
      <t>カンキョウショウ</t>
    </rPh>
    <rPh sb="39" eb="40">
      <t>ナ</t>
    </rPh>
    <rPh sb="44" eb="46">
      <t>サンギョウ</t>
    </rPh>
    <rPh sb="46" eb="48">
      <t>レンカン</t>
    </rPh>
    <rPh sb="48" eb="49">
      <t>ヒョウ</t>
    </rPh>
    <rPh sb="53" eb="55">
      <t>ハイシュツ</t>
    </rPh>
    <rPh sb="55" eb="58">
      <t>ゲンタンイ</t>
    </rPh>
    <rPh sb="59" eb="62">
      <t>カンキョウショウ</t>
    </rPh>
    <rPh sb="67" eb="69">
      <t>サンギョウ</t>
    </rPh>
    <rPh sb="69" eb="71">
      <t>レンカン</t>
    </rPh>
    <rPh sb="71" eb="72">
      <t>ヒョウ</t>
    </rPh>
    <rPh sb="76" eb="78">
      <t>ハイシュツ</t>
    </rPh>
    <rPh sb="78" eb="81">
      <t>ゲンタンイ</t>
    </rPh>
    <rPh sb="85" eb="87">
      <t>キンガク</t>
    </rPh>
    <rPh sb="91" eb="93">
      <t>ハイシュツ</t>
    </rPh>
    <rPh sb="93" eb="96">
      <t>ゲンタンイ</t>
    </rPh>
    <rPh sb="98" eb="100">
      <t>シヨウ</t>
    </rPh>
    <phoneticPr fontId="3"/>
  </si>
  <si>
    <t>OEM車</t>
    <rPh sb="3" eb="4">
      <t>グルマ</t>
    </rPh>
    <phoneticPr fontId="3"/>
  </si>
  <si>
    <t>販売部</t>
  </si>
  <si>
    <t>自社LCAデータ</t>
    <rPh sb="0" eb="2">
      <t>ジシャ</t>
    </rPh>
    <phoneticPr fontId="3"/>
  </si>
  <si>
    <t>自社製品と概ね同程度の排出量と想定し、自社の類似車種のLCAデータを適用</t>
    <rPh sb="0" eb="2">
      <t>ジシャ</t>
    </rPh>
    <rPh sb="2" eb="4">
      <t>セイヒン</t>
    </rPh>
    <rPh sb="5" eb="6">
      <t>オオム</t>
    </rPh>
    <rPh sb="7" eb="10">
      <t>ドウテイド</t>
    </rPh>
    <rPh sb="11" eb="13">
      <t>ハイシュツ</t>
    </rPh>
    <rPh sb="13" eb="14">
      <t>リョウ</t>
    </rPh>
    <rPh sb="15" eb="17">
      <t>ソウテイ</t>
    </rPh>
    <rPh sb="19" eb="21">
      <t>ジシャ</t>
    </rPh>
    <rPh sb="22" eb="24">
      <t>ルイジ</t>
    </rPh>
    <rPh sb="24" eb="26">
      <t>シャシュ</t>
    </rPh>
    <rPh sb="34" eb="36">
      <t>テキヨウ</t>
    </rPh>
    <phoneticPr fontId="3"/>
  </si>
  <si>
    <t>リネンサプライ</t>
    <phoneticPr fontId="3"/>
  </si>
  <si>
    <t>自家用車</t>
    <rPh sb="0" eb="4">
      <t>ジカヨウシャ</t>
    </rPh>
    <phoneticPr fontId="3"/>
  </si>
  <si>
    <t>環境省DB[6]飲料</t>
    <rPh sb="0" eb="1">
      <t>カンキョウ</t>
    </rPh>
    <rPh sb="1" eb="2">
      <t>ショウ</t>
    </rPh>
    <rPh sb="8" eb="10">
      <t>インリョウ</t>
    </rPh>
    <phoneticPr fontId="3"/>
  </si>
  <si>
    <t>動力事業</t>
    <rPh sb="0" eb="2">
      <t>ドウリョク</t>
    </rPh>
    <rPh sb="2" eb="4">
      <t>ジギョウ</t>
    </rPh>
    <phoneticPr fontId="3"/>
  </si>
  <si>
    <t>・算定報告公表制度報告、省エネ法報告のために把握したエネルギー消費量
・海外工場情報</t>
    <rPh sb="1" eb="3">
      <t>サンテイ</t>
    </rPh>
    <rPh sb="3" eb="5">
      <t>ホウコク</t>
    </rPh>
    <rPh sb="5" eb="7">
      <t>コウヒョウ</t>
    </rPh>
    <rPh sb="7" eb="9">
      <t>セイド</t>
    </rPh>
    <rPh sb="9" eb="11">
      <t>ホウコク</t>
    </rPh>
    <rPh sb="22" eb="24">
      <t>ハアク</t>
    </rPh>
    <rPh sb="31" eb="34">
      <t>ショウヒリョウ</t>
    </rPh>
    <phoneticPr fontId="3"/>
  </si>
  <si>
    <t>CFP DB B-JP311001 「ガソリン」</t>
    <phoneticPr fontId="261"/>
  </si>
  <si>
    <t>CFP DB B-JP311004 「灯油」</t>
    <rPh sb="19" eb="21">
      <t>トウユ</t>
    </rPh>
    <phoneticPr fontId="261"/>
  </si>
  <si>
    <t>CFP DB B-JP311005 「軽油」</t>
    <rPh sb="19" eb="21">
      <t>ケイユ</t>
    </rPh>
    <phoneticPr fontId="261"/>
  </si>
  <si>
    <t>CFP DB B-JP311006 「A重油」</t>
    <rPh sb="20" eb="22">
      <t>ジュウユ</t>
    </rPh>
    <phoneticPr fontId="261"/>
  </si>
  <si>
    <t>CFP DB B-JP311007 「B重油」</t>
    <rPh sb="20" eb="22">
      <t>ジュウユ</t>
    </rPh>
    <phoneticPr fontId="261"/>
  </si>
  <si>
    <t>オイルコークス</t>
  </si>
  <si>
    <t>CFP DB B-JP311021「オイルコークス」</t>
    <phoneticPr fontId="261"/>
  </si>
  <si>
    <t>液化石油ガス(ＬＰＧ)</t>
  </si>
  <si>
    <t>CFP DB B-JP311013「液化石油ガス（LPG）」</t>
    <phoneticPr fontId="261"/>
  </si>
  <si>
    <t>液化天然ガス（ＬＮＧ）</t>
  </si>
  <si>
    <t>CFP DB B-JP304004「液化天然ガス（LNG）」</t>
    <rPh sb="20" eb="22">
      <t>テンネン</t>
    </rPh>
    <phoneticPr fontId="261"/>
  </si>
  <si>
    <t>一般炭</t>
  </si>
  <si>
    <t>CFP DB B-JP304002「一般炭」</t>
    <rPh sb="18" eb="20">
      <t>イッパン</t>
    </rPh>
    <rPh sb="20" eb="21">
      <t>タン</t>
    </rPh>
    <phoneticPr fontId="261"/>
  </si>
  <si>
    <t>t-CO2/千Nm3</t>
    <rPh sb="6" eb="7">
      <t>セン</t>
    </rPh>
    <phoneticPr fontId="3"/>
  </si>
  <si>
    <t>CFP DB B-JP321001 「都市ガス13A」</t>
    <rPh sb="19" eb="21">
      <t>トシ</t>
    </rPh>
    <phoneticPr fontId="261"/>
  </si>
  <si>
    <t>電力</t>
    <rPh sb="0" eb="2">
      <t>デンリョク</t>
    </rPh>
    <phoneticPr fontId="3"/>
  </si>
  <si>
    <t>MWh</t>
  </si>
  <si>
    <t>t-CO2/MWh</t>
  </si>
  <si>
    <t>環境省DB ver.2.2[7]「電力」</t>
    <rPh sb="0" eb="3">
      <t>カンキョウショウ</t>
    </rPh>
    <rPh sb="17" eb="19">
      <t>デンリョク</t>
    </rPh>
    <phoneticPr fontId="3"/>
  </si>
  <si>
    <t>産業用蒸気</t>
    <rPh sb="0" eb="3">
      <t>サンギョウヨウ</t>
    </rPh>
    <rPh sb="3" eb="5">
      <t>ジョウキ</t>
    </rPh>
    <phoneticPr fontId="75"/>
  </si>
  <si>
    <t>GJ</t>
  </si>
  <si>
    <t>t-CO2/GJ</t>
  </si>
  <si>
    <t>環境省DB ver.2.2[7]「蒸気」</t>
    <rPh sb="0" eb="3">
      <t>カンキョウショウ</t>
    </rPh>
    <rPh sb="17" eb="19">
      <t>ジョウキ</t>
    </rPh>
    <phoneticPr fontId="3"/>
  </si>
  <si>
    <t>tkm</t>
    <phoneticPr fontId="3"/>
  </si>
  <si>
    <t>調達重量
輸送シナリオ（100km）</t>
    <rPh sb="0" eb="2">
      <t>チョウタツ</t>
    </rPh>
    <rPh sb="2" eb="4">
      <t>ジュウリョウ</t>
    </rPh>
    <rPh sb="5" eb="7">
      <t>ユソウ</t>
    </rPh>
    <phoneticPr fontId="3"/>
  </si>
  <si>
    <t>t-CO2/tkm</t>
    <phoneticPr fontId="3"/>
  </si>
  <si>
    <t>CFP DB B-JP DB ver.1.01
「トラック輸送（10トン車：積載率62%）」</t>
  </si>
  <si>
    <t>CFP-PCR策定のための分野別ガイド“工業製品（食料品以外）”の「輸送が陸運のみの場合」「県内に閉じることが確実な輸送の場合」を代用し、100km、10トントラック、積載率62%と想定</t>
    <rPh sb="34" eb="36">
      <t>ユソウ</t>
    </rPh>
    <rPh sb="37" eb="39">
      <t>リクウン</t>
    </rPh>
    <rPh sb="42" eb="44">
      <t>バアイ</t>
    </rPh>
    <rPh sb="47" eb="48">
      <t>ナイ</t>
    </rPh>
    <rPh sb="49" eb="50">
      <t>ト</t>
    </rPh>
    <rPh sb="55" eb="57">
      <t>カクジツ</t>
    </rPh>
    <phoneticPr fontId="3"/>
  </si>
  <si>
    <t>t-CO2</t>
    <phoneticPr fontId="3"/>
  </si>
  <si>
    <t>工場から販売店までの輸送が該当。いずれもスコープ1,2で計上しているためカテゴリ4では計上しない。</t>
    <rPh sb="0" eb="2">
      <t>コウジョウ</t>
    </rPh>
    <rPh sb="4" eb="6">
      <t>ハンバイ</t>
    </rPh>
    <rPh sb="6" eb="7">
      <t>テン</t>
    </rPh>
    <rPh sb="10" eb="12">
      <t>ユソウ</t>
    </rPh>
    <rPh sb="13" eb="15">
      <t>ガイトウ</t>
    </rPh>
    <rPh sb="28" eb="30">
      <t>ケイジョウ</t>
    </rPh>
    <rPh sb="43" eb="45">
      <t>ケイジョウ</t>
    </rPh>
    <phoneticPr fontId="3"/>
  </si>
  <si>
    <t>海上輸送（アジア）</t>
    <rPh sb="0" eb="2">
      <t>カイジョウ</t>
    </rPh>
    <rPh sb="2" eb="4">
      <t>ユソウ</t>
    </rPh>
    <phoneticPr fontId="3"/>
  </si>
  <si>
    <t>tkm</t>
  </si>
  <si>
    <t>輸出重量
CFP DB B-JP DB国地域間距離「日本-中国」</t>
    <rPh sb="29" eb="31">
      <t>チュウゴク</t>
    </rPh>
    <phoneticPr fontId="3"/>
  </si>
  <si>
    <t>t-CO2/tkm</t>
  </si>
  <si>
    <t>CFP DB「コンテナ船＞4000TEU」</t>
    <rPh sb="11" eb="12">
      <t>セン</t>
    </rPh>
    <phoneticPr fontId="261"/>
  </si>
  <si>
    <t>中国への輸送を想定し、海上輸送距離をCFP国・地域間距離DBから想定。</t>
    <rPh sb="0" eb="2">
      <t>チュウゴク</t>
    </rPh>
    <phoneticPr fontId="3"/>
  </si>
  <si>
    <t>海上輸送（欧州）</t>
    <rPh sb="0" eb="2">
      <t>カイジョウ</t>
    </rPh>
    <rPh sb="2" eb="4">
      <t>ユソウ</t>
    </rPh>
    <rPh sb="5" eb="7">
      <t>オウシュウ</t>
    </rPh>
    <phoneticPr fontId="3"/>
  </si>
  <si>
    <t>輸出重量
CFP DB B-JP DB国地域間距離「日本-フランス」</t>
  </si>
  <si>
    <t>フランスへの輸送を想定し、海上輸送距離をCFP国・地域間距離DBから想定。</t>
    <rPh sb="6" eb="8">
      <t>ユソウ</t>
    </rPh>
    <phoneticPr fontId="3"/>
  </si>
  <si>
    <t>海上輸送（米国）</t>
    <rPh sb="0" eb="2">
      <t>カイジョウ</t>
    </rPh>
    <rPh sb="2" eb="4">
      <t>ユソウ</t>
    </rPh>
    <rPh sb="5" eb="7">
      <t>ベイコク</t>
    </rPh>
    <phoneticPr fontId="3"/>
  </si>
  <si>
    <t>輸出重量
CFP DB B-JP DB国地域間距離「日本-アメリカ西海岸」</t>
    <rPh sb="33" eb="36">
      <t>ニシカイガン</t>
    </rPh>
    <phoneticPr fontId="3"/>
  </si>
  <si>
    <t>アメリカ西海岸への輸送を想定し、海上輸送距離をCFP国・地域間距離DBから想定。</t>
    <rPh sb="4" eb="7">
      <t>ニシカイガン</t>
    </rPh>
    <phoneticPr fontId="3"/>
  </si>
  <si>
    <t>陸上輸送（国外陸上輸送）</t>
    <rPh sb="0" eb="2">
      <t>リクジョウ</t>
    </rPh>
    <rPh sb="2" eb="4">
      <t>ユソウ</t>
    </rPh>
    <rPh sb="5" eb="7">
      <t>コクガイ</t>
    </rPh>
    <rPh sb="7" eb="9">
      <t>リクジョウ</t>
    </rPh>
    <rPh sb="9" eb="11">
      <t>ユソウ</t>
    </rPh>
    <phoneticPr fontId="3"/>
  </si>
  <si>
    <t>tkm</t>
    <phoneticPr fontId="3"/>
  </si>
  <si>
    <t>CFP-PCR策定のための分野別ガイド“工業製品（食料品以外）”の「生産地が海外の場合（国内の港→店舗等）」「海外における陸送距離」を代用し、500km、10トントラック、積載率62%と想定</t>
    <rPh sb="34" eb="37">
      <t>セイサンチ</t>
    </rPh>
    <rPh sb="38" eb="40">
      <t>カイガイ</t>
    </rPh>
    <rPh sb="41" eb="43">
      <t>バアイ</t>
    </rPh>
    <rPh sb="44" eb="46">
      <t>コクナイ</t>
    </rPh>
    <rPh sb="47" eb="48">
      <t>ミナト</t>
    </rPh>
    <rPh sb="49" eb="52">
      <t>テンポナド</t>
    </rPh>
    <rPh sb="55" eb="57">
      <t>カイガイ</t>
    </rPh>
    <rPh sb="61" eb="63">
      <t>リクソウ</t>
    </rPh>
    <rPh sb="63" eb="65">
      <t>キョリ</t>
    </rPh>
    <phoneticPr fontId="3"/>
  </si>
  <si>
    <t>廃油</t>
    <rPh sb="0" eb="2">
      <t>ハイユ</t>
    </rPh>
    <phoneticPr fontId="3"/>
  </si>
  <si>
    <t>t</t>
    <phoneticPr fontId="3"/>
  </si>
  <si>
    <t>ガラス陶磁器くず</t>
    <rPh sb="3" eb="6">
      <t>トウジキ</t>
    </rPh>
    <phoneticPr fontId="3"/>
  </si>
  <si>
    <t>t</t>
    <phoneticPr fontId="3"/>
  </si>
  <si>
    <t>木くず</t>
    <rPh sb="0" eb="1">
      <t>キ</t>
    </rPh>
    <phoneticPr fontId="3"/>
  </si>
  <si>
    <t>オフィスごみ</t>
    <phoneticPr fontId="3"/>
  </si>
  <si>
    <t>算定対象範囲：
環境マネジメントシステムの対象範囲</t>
    <phoneticPr fontId="3"/>
  </si>
  <si>
    <t>算定対象範囲：
環境マネジメントシステムの対象範囲</t>
    <phoneticPr fontId="3"/>
  </si>
  <si>
    <t>算定対象範囲：
環境マネジメントシステムの対象範囲</t>
    <phoneticPr fontId="3"/>
  </si>
  <si>
    <t>m2</t>
    <phoneticPr fontId="3"/>
  </si>
  <si>
    <t>t-CO2/m2</t>
    <phoneticPr fontId="3"/>
  </si>
  <si>
    <t>環境省DB[16]その他サービス業,代替値
（１年間のうち３か月分に換算）
0.02575=0.103×3/12</t>
    <rPh sb="0" eb="2">
      <t>カンキョウショウ</t>
    </rPh>
    <rPh sb="10" eb="11">
      <t>タ</t>
    </rPh>
    <rPh sb="15" eb="16">
      <t>ギョウ</t>
    </rPh>
    <rPh sb="18" eb="20">
      <t>ダイタイ</t>
    </rPh>
    <rPh sb="20" eb="21">
      <t>アタイ</t>
    </rPh>
    <rPh sb="24" eb="26">
      <t>ネンカン</t>
    </rPh>
    <rPh sb="31" eb="33">
      <t>ゲツブン</t>
    </rPh>
    <rPh sb="34" eb="36">
      <t>カンサン</t>
    </rPh>
    <phoneticPr fontId="3"/>
  </si>
  <si>
    <t>自社ディーラー</t>
    <rPh sb="0" eb="1">
      <t>ジシャ</t>
    </rPh>
    <phoneticPr fontId="3"/>
  </si>
  <si>
    <t>販売に伴う排出量として自社ディーラーの排出量が該当するが、当該排出量はスコープ1,2に計上されているため、カテゴリ9では計上しない</t>
    <rPh sb="0" eb="2">
      <t>ハンバイ</t>
    </rPh>
    <rPh sb="3" eb="4">
      <t>トモナ</t>
    </rPh>
    <rPh sb="5" eb="7">
      <t>ハイシュツ</t>
    </rPh>
    <rPh sb="7" eb="8">
      <t>リョウ</t>
    </rPh>
    <rPh sb="11" eb="13">
      <t>ジシャ</t>
    </rPh>
    <rPh sb="19" eb="21">
      <t>ハイシュツ</t>
    </rPh>
    <rPh sb="21" eb="22">
      <t>リョウ</t>
    </rPh>
    <rPh sb="23" eb="25">
      <t>ガイトウ</t>
    </rPh>
    <rPh sb="29" eb="31">
      <t>トウガイ</t>
    </rPh>
    <rPh sb="31" eb="33">
      <t>ハイシュツ</t>
    </rPh>
    <rPh sb="33" eb="34">
      <t>リョウ</t>
    </rPh>
    <rPh sb="43" eb="45">
      <t>ケイジョウ</t>
    </rPh>
    <rPh sb="60" eb="62">
      <t>ケイジョウ</t>
    </rPh>
    <phoneticPr fontId="3"/>
  </si>
  <si>
    <t>他社ディーラー</t>
    <rPh sb="0" eb="1">
      <t>タシャ</t>
    </rPh>
    <phoneticPr fontId="3"/>
  </si>
  <si>
    <t>t-CO2</t>
    <phoneticPr fontId="3"/>
  </si>
  <si>
    <t>自社ディーラーにおける総排出量</t>
    <rPh sb="0" eb="2">
      <t>ジシャ</t>
    </rPh>
    <rPh sb="11" eb="12">
      <t>ソウ</t>
    </rPh>
    <rPh sb="12" eb="14">
      <t>ハイシュツ</t>
    </rPh>
    <rPh sb="13" eb="14">
      <t>リョウ</t>
    </rPh>
    <phoneticPr fontId="3"/>
  </si>
  <si>
    <t>-</t>
    <phoneticPr fontId="3"/>
  </si>
  <si>
    <t>自社ディーラーと他社ディーラーの売上比率
（他社ディーラー売上）／（自社ディーラー売上）</t>
    <rPh sb="0" eb="2">
      <t>ジシャ</t>
    </rPh>
    <rPh sb="8" eb="10">
      <t>タシャ</t>
    </rPh>
    <rPh sb="16" eb="18">
      <t>ウリアゲ</t>
    </rPh>
    <rPh sb="18" eb="20">
      <t>ヒリツ</t>
    </rPh>
    <rPh sb="22" eb="24">
      <t>タシャ</t>
    </rPh>
    <rPh sb="29" eb="31">
      <t>ウリアゲ</t>
    </rPh>
    <rPh sb="34" eb="36">
      <t>ジシャ</t>
    </rPh>
    <rPh sb="41" eb="43">
      <t>ウリアゲ</t>
    </rPh>
    <phoneticPr fontId="3"/>
  </si>
  <si>
    <t>他社ディーラーでの販売時排出量を、自社ディーラーにおける排出量を売上金額按分することで推計</t>
    <rPh sb="0" eb="2">
      <t>タシャ</t>
    </rPh>
    <rPh sb="9" eb="11">
      <t>ハンバイ</t>
    </rPh>
    <rPh sb="11" eb="12">
      <t>ジ</t>
    </rPh>
    <rPh sb="12" eb="14">
      <t>ハイシュツ</t>
    </rPh>
    <rPh sb="14" eb="15">
      <t>リョウ</t>
    </rPh>
    <rPh sb="17" eb="19">
      <t>ジシャ</t>
    </rPh>
    <rPh sb="28" eb="30">
      <t>ハイシュツ</t>
    </rPh>
    <rPh sb="30" eb="31">
      <t>リョウ</t>
    </rPh>
    <rPh sb="32" eb="34">
      <t>ウリアゲ</t>
    </rPh>
    <rPh sb="34" eb="36">
      <t>キンガク</t>
    </rPh>
    <rPh sb="36" eb="38">
      <t>アンブン</t>
    </rPh>
    <rPh sb="43" eb="45">
      <t>スイケイ</t>
    </rPh>
    <phoneticPr fontId="3"/>
  </si>
  <si>
    <t>顧客の消費</t>
    <rPh sb="0" eb="2">
      <t>コキャク</t>
    </rPh>
    <rPh sb="3" eb="5">
      <t>ショウヒ</t>
    </rPh>
    <phoneticPr fontId="3"/>
  </si>
  <si>
    <t>エンジン組込</t>
    <rPh sb="4" eb="6">
      <t>クミコミ</t>
    </rPh>
    <phoneticPr fontId="3"/>
  </si>
  <si>
    <t>出荷数</t>
    <rPh sb="0" eb="1">
      <t>シュッカ</t>
    </rPh>
    <rPh sb="1" eb="2">
      <t>スウ</t>
    </rPh>
    <phoneticPr fontId="3"/>
  </si>
  <si>
    <t>算定対象範囲：
環境マネジメントシステムの対象範囲の製品について算定</t>
    <rPh sb="26" eb="28">
      <t>セイヒン</t>
    </rPh>
    <rPh sb="32" eb="34">
      <t>サンテイ</t>
    </rPh>
    <phoneticPr fontId="3"/>
  </si>
  <si>
    <t>車種A</t>
    <phoneticPr fontId="3"/>
  </si>
  <si>
    <t>売上台数</t>
  </si>
  <si>
    <t>車種A（燃費35km/L)が10万km走行した際に消費するガソリン由来の排出量</t>
    <rPh sb="0" eb="2">
      <t>シャシュ</t>
    </rPh>
    <phoneticPr fontId="3"/>
  </si>
  <si>
    <t>＜排出原単位＞ 自動車1台の使用に伴う生涯排出量
メーカー保証期間である10万kmを使用期間と設定。
車種毎の燃費で除すことで、使用期間中に消費されるガソリン量を推計できる。
推計したガソリン消費量に、算定・報告・公表制度の排出係数一覧よりガソリンの排出係数 2.32 t-CO2/kLを乗じると、特定車種が使用期間中のCO2排出量（左記の排出原単位）が算定できる。
例）車種A
6.63[t-CO2/台]＝100,000[km]／35[km/L] ×2.32[t-CO2/kL]／1,000[L/kL]</t>
    <rPh sb="1" eb="3">
      <t>ハイシュツ</t>
    </rPh>
    <rPh sb="3" eb="6">
      <t>ゲンタンイ</t>
    </rPh>
    <rPh sb="8" eb="11">
      <t>ジドウシャ</t>
    </rPh>
    <rPh sb="12" eb="13">
      <t>ダイ</t>
    </rPh>
    <rPh sb="14" eb="16">
      <t>シヨウ</t>
    </rPh>
    <rPh sb="17" eb="18">
      <t>トモナ</t>
    </rPh>
    <rPh sb="19" eb="21">
      <t>ショウガイ</t>
    </rPh>
    <rPh sb="21" eb="23">
      <t>ハイシュツ</t>
    </rPh>
    <rPh sb="23" eb="24">
      <t>リョウ</t>
    </rPh>
    <rPh sb="29" eb="31">
      <t>ホショウ</t>
    </rPh>
    <rPh sb="31" eb="33">
      <t>キカン</t>
    </rPh>
    <rPh sb="38" eb="39">
      <t>マン</t>
    </rPh>
    <rPh sb="42" eb="44">
      <t>シヨウ</t>
    </rPh>
    <rPh sb="44" eb="46">
      <t>キカン</t>
    </rPh>
    <rPh sb="47" eb="49">
      <t>セッテイ</t>
    </rPh>
    <rPh sb="51" eb="53">
      <t>シャシュ</t>
    </rPh>
    <rPh sb="53" eb="54">
      <t>ゴト</t>
    </rPh>
    <rPh sb="55" eb="57">
      <t>ネンピ</t>
    </rPh>
    <rPh sb="58" eb="59">
      <t>ジョ</t>
    </rPh>
    <rPh sb="64" eb="66">
      <t>シヨウ</t>
    </rPh>
    <rPh sb="66" eb="69">
      <t>キカンチュウ</t>
    </rPh>
    <rPh sb="70" eb="72">
      <t>ショウヒ</t>
    </rPh>
    <rPh sb="79" eb="80">
      <t>リョウ</t>
    </rPh>
    <rPh sb="81" eb="83">
      <t>スイケイ</t>
    </rPh>
    <rPh sb="88" eb="90">
      <t>スイケイ</t>
    </rPh>
    <rPh sb="96" eb="99">
      <t>ショウヒリョウ</t>
    </rPh>
    <rPh sb="101" eb="103">
      <t>サンテイ</t>
    </rPh>
    <rPh sb="104" eb="106">
      <t>ホウコク</t>
    </rPh>
    <rPh sb="107" eb="109">
      <t>コウヒョウ</t>
    </rPh>
    <rPh sb="109" eb="111">
      <t>セイド</t>
    </rPh>
    <rPh sb="112" eb="114">
      <t>ハイシュツ</t>
    </rPh>
    <rPh sb="114" eb="116">
      <t>ケイスウ</t>
    </rPh>
    <rPh sb="116" eb="118">
      <t>イチラン</t>
    </rPh>
    <rPh sb="125" eb="127">
      <t>ハイシュツ</t>
    </rPh>
    <rPh sb="127" eb="129">
      <t>ケイスウ</t>
    </rPh>
    <rPh sb="144" eb="145">
      <t>ジョウ</t>
    </rPh>
    <rPh sb="149" eb="151">
      <t>トクテイ</t>
    </rPh>
    <rPh sb="151" eb="153">
      <t>シャシュ</t>
    </rPh>
    <rPh sb="154" eb="156">
      <t>シヨウ</t>
    </rPh>
    <rPh sb="156" eb="159">
      <t>キカンチュウ</t>
    </rPh>
    <rPh sb="163" eb="165">
      <t>ハイシュツ</t>
    </rPh>
    <rPh sb="165" eb="166">
      <t>リョウ</t>
    </rPh>
    <rPh sb="167" eb="169">
      <t>サキ</t>
    </rPh>
    <rPh sb="170" eb="172">
      <t>ハイシュツ</t>
    </rPh>
    <rPh sb="172" eb="175">
      <t>ゲンタンイ</t>
    </rPh>
    <rPh sb="177" eb="179">
      <t>サンテイ</t>
    </rPh>
    <rPh sb="185" eb="186">
      <t>レイ</t>
    </rPh>
    <rPh sb="187" eb="189">
      <t>シャシュ</t>
    </rPh>
    <rPh sb="202" eb="203">
      <t>ダイ</t>
    </rPh>
    <phoneticPr fontId="3"/>
  </si>
  <si>
    <t>車種B</t>
  </si>
  <si>
    <t>車種B（燃費22km/L)が10万km走行した際に消費するガソリン由来の排出量</t>
    <rPh sb="0" eb="2">
      <t>シャシュ</t>
    </rPh>
    <phoneticPr fontId="3"/>
  </si>
  <si>
    <t>車種C</t>
  </si>
  <si>
    <t>車種C（燃費20km/L)が10万km走行した際に消費するガソリン由来の排出量</t>
    <rPh sb="0" eb="2">
      <t>シャシュ</t>
    </rPh>
    <phoneticPr fontId="3"/>
  </si>
  <si>
    <t>車種D</t>
  </si>
  <si>
    <t>車種D（燃費18.8km/L)が10万km走行した際に消費するガソリン由来の排出量</t>
    <rPh sb="0" eb="2">
      <t>シャシュ</t>
    </rPh>
    <phoneticPr fontId="3"/>
  </si>
  <si>
    <t>車種E</t>
  </si>
  <si>
    <t>車種E（燃費24km/L)が10万km走行した際に消費するガソリン由来の排出量</t>
    <rPh sb="0" eb="2">
      <t>シャシュ</t>
    </rPh>
    <phoneticPr fontId="3"/>
  </si>
  <si>
    <t>車種F</t>
  </si>
  <si>
    <t>車種F（燃費31km/L)が10万km走行した際に消費するガソリン由来の排出量</t>
    <rPh sb="0" eb="2">
      <t>シャシュ</t>
    </rPh>
    <phoneticPr fontId="3"/>
  </si>
  <si>
    <t>車種G</t>
  </si>
  <si>
    <t>車種G（燃費24.8km/L)が10万km走行した際に消費するガソリン由来の排出量</t>
    <rPh sb="0" eb="2">
      <t>シャシュ</t>
    </rPh>
    <phoneticPr fontId="3"/>
  </si>
  <si>
    <t>エンジン</t>
    <phoneticPr fontId="3"/>
  </si>
  <si>
    <t>売上台数</t>
    <phoneticPr fontId="3"/>
  </si>
  <si>
    <t>類似車種である車種Eが10万km走行した際に消費するガソリン由来の排出量のエンジン重量按分</t>
  </si>
  <si>
    <t>類似車種Eの排出原単位9.67t-CO2/台のうち、重量比を用いてエンジン分の排出量を推計する。エンジン重量0.2ｔ、車種E全体重量1.0tとすると、
1.93[t-CO2/台-エンジン]＝9.67[t-CO2/台-車種E]×0.2[t-エンジン]／1.0[t-車種E]</t>
    <rPh sb="0" eb="2">
      <t>ルイジ</t>
    </rPh>
    <rPh sb="2" eb="4">
      <t>シャシュ</t>
    </rPh>
    <rPh sb="6" eb="8">
      <t>ハイシュツ</t>
    </rPh>
    <rPh sb="8" eb="11">
      <t>ゲンタンイ</t>
    </rPh>
    <rPh sb="21" eb="22">
      <t>ダイ</t>
    </rPh>
    <rPh sb="26" eb="28">
      <t>ジュウリョウ</t>
    </rPh>
    <rPh sb="28" eb="29">
      <t>ヒ</t>
    </rPh>
    <rPh sb="30" eb="31">
      <t>モチ</t>
    </rPh>
    <rPh sb="37" eb="38">
      <t>ブン</t>
    </rPh>
    <rPh sb="39" eb="41">
      <t>ハイシュツ</t>
    </rPh>
    <rPh sb="41" eb="42">
      <t>リョウ</t>
    </rPh>
    <rPh sb="43" eb="45">
      <t>スイケイ</t>
    </rPh>
    <rPh sb="52" eb="54">
      <t>ジュウリョウ</t>
    </rPh>
    <rPh sb="59" eb="61">
      <t>シャシュ</t>
    </rPh>
    <rPh sb="62" eb="64">
      <t>ゼンタイ</t>
    </rPh>
    <rPh sb="64" eb="66">
      <t>ジュウリョウ</t>
    </rPh>
    <rPh sb="87" eb="88">
      <t>ダイ</t>
    </rPh>
    <rPh sb="106" eb="107">
      <t>ダイ</t>
    </rPh>
    <rPh sb="108" eb="110">
      <t>シャシュ</t>
    </rPh>
    <rPh sb="131" eb="133">
      <t>シャシュ</t>
    </rPh>
    <phoneticPr fontId="3"/>
  </si>
  <si>
    <t>算定対象範囲：
環境マネジメントシステムの対象範囲の製品について算定</t>
    <phoneticPr fontId="3"/>
  </si>
  <si>
    <t>ガラス</t>
    <phoneticPr fontId="3"/>
  </si>
  <si>
    <t>t</t>
    <phoneticPr fontId="3"/>
  </si>
  <si>
    <t>販売実績</t>
    <rPh sb="0" eb="2">
      <t>ハンバイ</t>
    </rPh>
    <rPh sb="2" eb="4">
      <t>ジッセキ</t>
    </rPh>
    <phoneticPr fontId="3"/>
  </si>
  <si>
    <t>t-CO2/t</t>
    <phoneticPr fontId="3"/>
  </si>
  <si>
    <t>環境省DB[8]ガラス陶磁器くず リサイクル</t>
    <rPh sb="0" eb="3">
      <t>カンキョウショウ</t>
    </rPh>
    <rPh sb="11" eb="14">
      <t>トウジキ</t>
    </rPh>
    <phoneticPr fontId="3"/>
  </si>
  <si>
    <t>自動車リサイクル法が施行されていることから、リサイクルと仮定。
輸送は含まない。</t>
    <rPh sb="32" eb="34">
      <t>ユソウ</t>
    </rPh>
    <rPh sb="35" eb="36">
      <t>フク</t>
    </rPh>
    <phoneticPr fontId="3"/>
  </si>
  <si>
    <t>販売実績</t>
  </si>
  <si>
    <t>環境省DB[9]廃プラスチック類 リサイクル</t>
    <rPh sb="0" eb="3">
      <t>カンキョウショウ</t>
    </rPh>
    <rPh sb="8" eb="9">
      <t>ハイ</t>
    </rPh>
    <rPh sb="15" eb="16">
      <t>ルイ</t>
    </rPh>
    <phoneticPr fontId="3"/>
  </si>
  <si>
    <t>金属くず</t>
    <rPh sb="0" eb="2">
      <t>キンゾク</t>
    </rPh>
    <phoneticPr fontId="2"/>
  </si>
  <si>
    <t>環境省DB[9]金属くず リサイクル</t>
    <rPh sb="0" eb="3">
      <t>カンキョウショウ</t>
    </rPh>
    <rPh sb="8" eb="10">
      <t>キンゾク</t>
    </rPh>
    <phoneticPr fontId="3"/>
  </si>
  <si>
    <t>リース（下流）</t>
    <phoneticPr fontId="3"/>
  </si>
  <si>
    <t>カテゴリ11とカテゴリ13で区別して算定する意味が無いため、カテゴリ11にまとめて計上しており、カテゴリ13は算定対象外</t>
    <rPh sb="14" eb="16">
      <t>クベツ</t>
    </rPh>
    <rPh sb="18" eb="20">
      <t>サンテイ</t>
    </rPh>
    <rPh sb="22" eb="24">
      <t>イミ</t>
    </rPh>
    <rPh sb="25" eb="26">
      <t>ナ</t>
    </rPh>
    <rPh sb="41" eb="43">
      <t>ケイジョウ</t>
    </rPh>
    <rPh sb="55" eb="57">
      <t>サンテイ</t>
    </rPh>
    <rPh sb="57" eb="59">
      <t>タイショウ</t>
    </rPh>
    <rPh sb="59" eb="60">
      <t>ガイ</t>
    </rPh>
    <phoneticPr fontId="3"/>
  </si>
  <si>
    <t>フランチャイズ</t>
    <phoneticPr fontId="3"/>
  </si>
  <si>
    <t>M</t>
    <phoneticPr fontId="3"/>
  </si>
  <si>
    <t>M社 CSR報告書</t>
    <rPh sb="0" eb="1">
      <t>シャ</t>
    </rPh>
    <rPh sb="4" eb="7">
      <t>ホウコクショ</t>
    </rPh>
    <phoneticPr fontId="3"/>
  </si>
  <si>
    <t>N</t>
    <phoneticPr fontId="3"/>
  </si>
  <si>
    <t>O</t>
    <phoneticPr fontId="3"/>
  </si>
  <si>
    <t>O社 CSR報告書</t>
    <rPh sb="0" eb="1">
      <t>シャ</t>
    </rPh>
    <rPh sb="4" eb="7">
      <t>ホウコクショ</t>
    </rPh>
    <phoneticPr fontId="3"/>
  </si>
  <si>
    <t>P</t>
    <phoneticPr fontId="3"/>
  </si>
  <si>
    <t>P社 CSR報告書</t>
    <rPh sb="0" eb="1">
      <t>シャ</t>
    </rPh>
    <rPh sb="4" eb="7">
      <t>ホウコクショ</t>
    </rPh>
    <phoneticPr fontId="3"/>
  </si>
  <si>
    <t>Q</t>
    <phoneticPr fontId="3"/>
  </si>
  <si>
    <t>スコープ３合計</t>
    <rPh sb="5" eb="7">
      <t>ゴウケイ</t>
    </rPh>
    <phoneticPr fontId="3"/>
  </si>
  <si>
    <t>スコープ２</t>
    <phoneticPr fontId="3"/>
  </si>
  <si>
    <t>カテゴリ１</t>
    <phoneticPr fontId="3"/>
  </si>
  <si>
    <t>カテゴリ２</t>
    <phoneticPr fontId="3"/>
  </si>
  <si>
    <t>カテゴリ３</t>
    <phoneticPr fontId="3"/>
  </si>
  <si>
    <t>カテゴリ４</t>
    <phoneticPr fontId="3"/>
  </si>
  <si>
    <t>カテゴリ５</t>
    <phoneticPr fontId="3"/>
  </si>
  <si>
    <t>フランチャイズ</t>
    <phoneticPr fontId="3"/>
  </si>
  <si>
    <t>カテゴリ５</t>
    <phoneticPr fontId="3"/>
  </si>
  <si>
    <t>カテゴリ４</t>
    <phoneticPr fontId="3"/>
  </si>
  <si>
    <t>カテゴリ３</t>
    <phoneticPr fontId="3"/>
  </si>
  <si>
    <t>カテゴリ２</t>
    <phoneticPr fontId="3"/>
  </si>
  <si>
    <t>カテゴリ１</t>
    <phoneticPr fontId="3"/>
  </si>
  <si>
    <t>環境省DB[16]事務所ビル,代替値</t>
    <rPh sb="0" eb="3">
      <t>カンキョウショウ</t>
    </rPh>
    <rPh sb="9" eb="11">
      <t>ジム</t>
    </rPh>
    <rPh sb="11" eb="12">
      <t>ショ</t>
    </rPh>
    <rPh sb="15" eb="17">
      <t>ダイタイ</t>
    </rPh>
    <rPh sb="17" eb="18">
      <t>アタイ</t>
    </rPh>
    <phoneticPr fontId="261"/>
  </si>
  <si>
    <t>t-CO2/m2</t>
    <phoneticPr fontId="261"/>
  </si>
  <si>
    <t>延床面積</t>
    <rPh sb="0" eb="4">
      <t>ノベユカメンセキ</t>
    </rPh>
    <phoneticPr fontId="3"/>
  </si>
  <si>
    <t>m2</t>
    <phoneticPr fontId="3"/>
  </si>
  <si>
    <t>ビル</t>
    <phoneticPr fontId="3"/>
  </si>
  <si>
    <t>算定対象範囲：
環境マネジメントシステムの対象範囲が販売している金属製品</t>
    <phoneticPr fontId="3"/>
  </si>
  <si>
    <t>リース（下流）</t>
    <phoneticPr fontId="3"/>
  </si>
  <si>
    <t>t</t>
    <phoneticPr fontId="3"/>
  </si>
  <si>
    <t>ばいじん</t>
  </si>
  <si>
    <t>がれき類</t>
    <rPh sb="3" eb="4">
      <t>ルイ</t>
    </rPh>
    <phoneticPr fontId="261"/>
  </si>
  <si>
    <t>鉱さい</t>
    <rPh sb="0" eb="1">
      <t>コウ</t>
    </rPh>
    <phoneticPr fontId="261"/>
  </si>
  <si>
    <t>ガラスくず</t>
  </si>
  <si>
    <t>金属くず</t>
    <rPh sb="0" eb="2">
      <t>キンゾク</t>
    </rPh>
    <phoneticPr fontId="261"/>
  </si>
  <si>
    <t>繊維くず</t>
    <rPh sb="0" eb="2">
      <t>センイ</t>
    </rPh>
    <phoneticPr fontId="261"/>
  </si>
  <si>
    <t>木くず</t>
    <rPh sb="0" eb="1">
      <t>キ</t>
    </rPh>
    <phoneticPr fontId="261"/>
  </si>
  <si>
    <t>全調達重量 900,000 t（カテゴリ4で求めた推計値）
900,000＝50,000＋800,000＋50,000
（中国から調達したカーテンウォール分は調達物流(国内陸上輸送)に含まれているため、別途加算不要）
当社のカテゴリ5は、自社あるいは他社の建設物の解体等に伴う廃棄物の処理が大部分を占めている。すなわち、カテゴリ5で対象としている廃棄物種毎の発生割合は、当社が販売するビルの廃棄時に生じる廃棄物種毎の発生割合と類似しているものと考えられる。
よって、カテゴリ12に該当する廃棄物種毎の発生量は、例えば、ばいじんであれば、以下の式で推計できる。
全調達重量[t]×カテゴリ5ばいじん発生量[t]／カテゴリ5産業廃棄物総発生量[t]</t>
    <rPh sb="0" eb="1">
      <t>ゼン</t>
    </rPh>
    <rPh sb="1" eb="2">
      <t>チョウタツ</t>
    </rPh>
    <rPh sb="2" eb="4">
      <t>ジュウリョウ</t>
    </rPh>
    <rPh sb="22" eb="23">
      <t>モト</t>
    </rPh>
    <rPh sb="25" eb="27">
      <t>スイケイ</t>
    </rPh>
    <rPh sb="27" eb="28">
      <t>チ</t>
    </rPh>
    <rPh sb="61" eb="63">
      <t>チュウゴク</t>
    </rPh>
    <rPh sb="65" eb="67">
      <t>チョウタツ</t>
    </rPh>
    <rPh sb="77" eb="78">
      <t>ブン</t>
    </rPh>
    <rPh sb="79" eb="81">
      <t>チョウタツ</t>
    </rPh>
    <rPh sb="81" eb="83">
      <t>ブツリュウ</t>
    </rPh>
    <rPh sb="84" eb="86">
      <t>コクナイ</t>
    </rPh>
    <rPh sb="86" eb="88">
      <t>リクジョウ</t>
    </rPh>
    <rPh sb="88" eb="90">
      <t>ユソウ</t>
    </rPh>
    <rPh sb="92" eb="93">
      <t>フク</t>
    </rPh>
    <rPh sb="101" eb="103">
      <t>ベット</t>
    </rPh>
    <rPh sb="103" eb="105">
      <t>カサン</t>
    </rPh>
    <rPh sb="105" eb="107">
      <t>フヨウ</t>
    </rPh>
    <rPh sb="110" eb="112">
      <t>トウシャ</t>
    </rPh>
    <rPh sb="120" eb="122">
      <t>ジシャ</t>
    </rPh>
    <rPh sb="126" eb="128">
      <t>タシャ</t>
    </rPh>
    <rPh sb="129" eb="131">
      <t>ケンセツ</t>
    </rPh>
    <rPh sb="131" eb="132">
      <t>ブツ</t>
    </rPh>
    <rPh sb="133" eb="135">
      <t>カイタイ</t>
    </rPh>
    <rPh sb="135" eb="136">
      <t>ナド</t>
    </rPh>
    <rPh sb="137" eb="138">
      <t>トモナ</t>
    </rPh>
    <rPh sb="139" eb="142">
      <t>ハイキブツ</t>
    </rPh>
    <rPh sb="143" eb="145">
      <t>ショリ</t>
    </rPh>
    <rPh sb="167" eb="169">
      <t>タイショウ</t>
    </rPh>
    <rPh sb="174" eb="177">
      <t>ハイキブツ</t>
    </rPh>
    <rPh sb="177" eb="178">
      <t>シュ</t>
    </rPh>
    <rPh sb="178" eb="179">
      <t>ゴト</t>
    </rPh>
    <rPh sb="180" eb="182">
      <t>ハッセイ</t>
    </rPh>
    <rPh sb="182" eb="184">
      <t>ワリアイ</t>
    </rPh>
    <rPh sb="186" eb="188">
      <t>トウシャ</t>
    </rPh>
    <rPh sb="189" eb="191">
      <t>ハンバイ</t>
    </rPh>
    <rPh sb="196" eb="198">
      <t>ハイキ</t>
    </rPh>
    <rPh sb="198" eb="199">
      <t>ジ</t>
    </rPh>
    <rPh sb="200" eb="201">
      <t>ショウ</t>
    </rPh>
    <rPh sb="203" eb="206">
      <t>ハイキブツ</t>
    </rPh>
    <rPh sb="206" eb="207">
      <t>シュ</t>
    </rPh>
    <rPh sb="207" eb="208">
      <t>ゴト</t>
    </rPh>
    <rPh sb="209" eb="211">
      <t>ハッセイ</t>
    </rPh>
    <rPh sb="211" eb="213">
      <t>ワリアイ</t>
    </rPh>
    <rPh sb="214" eb="216">
      <t>ルイジ</t>
    </rPh>
    <rPh sb="270" eb="272">
      <t>イカ</t>
    </rPh>
    <rPh sb="273" eb="274">
      <t>シキ</t>
    </rPh>
    <rPh sb="275" eb="277">
      <t>スイケイ</t>
    </rPh>
    <rPh sb="283" eb="284">
      <t>ゼン</t>
    </rPh>
    <rPh sb="284" eb="286">
      <t>チョウタツ</t>
    </rPh>
    <rPh sb="286" eb="288">
      <t>ジュウリョウ</t>
    </rPh>
    <rPh sb="301" eb="303">
      <t>ハッセイ</t>
    </rPh>
    <rPh sb="303" eb="304">
      <t>リョウ</t>
    </rPh>
    <rPh sb="313" eb="315">
      <t>サンギョウ</t>
    </rPh>
    <rPh sb="315" eb="318">
      <t>ハイキブツ</t>
    </rPh>
    <rPh sb="318" eb="319">
      <t>ソウ</t>
    </rPh>
    <rPh sb="319" eb="321">
      <t>ハッセイ</t>
    </rPh>
    <rPh sb="321" eb="322">
      <t>リョウ</t>
    </rPh>
    <phoneticPr fontId="3"/>
  </si>
  <si>
    <t>廃プラスチック類</t>
    <rPh sb="0" eb="1">
      <t>ハイ</t>
    </rPh>
    <rPh sb="7" eb="8">
      <t>ルイ</t>
    </rPh>
    <phoneticPr fontId="261"/>
  </si>
  <si>
    <t>算定対象範囲：
環境マネジメントシステムの対象範囲が販売している製品</t>
    <rPh sb="32" eb="34">
      <t>セイヒン</t>
    </rPh>
    <phoneticPr fontId="3"/>
  </si>
  <si>
    <t>使用期間はビル保証期間である30年とする。</t>
    <rPh sb="0" eb="2">
      <t>シヨウ</t>
    </rPh>
    <rPh sb="2" eb="4">
      <t>キカン</t>
    </rPh>
    <rPh sb="7" eb="9">
      <t>ホショウ</t>
    </rPh>
    <rPh sb="9" eb="11">
      <t>キカン</t>
    </rPh>
    <rPh sb="16" eb="17">
      <t>ネン</t>
    </rPh>
    <phoneticPr fontId="3"/>
  </si>
  <si>
    <t>環境省DB[16]事務所ビル,代替値
ビル保証期間　30年
2.94＝0.098*30</t>
    <rPh sb="0" eb="3">
      <t>カンキョウショウ</t>
    </rPh>
    <rPh sb="9" eb="11">
      <t>ジム</t>
    </rPh>
    <rPh sb="11" eb="12">
      <t>ショ</t>
    </rPh>
    <rPh sb="15" eb="17">
      <t>ダイタイ</t>
    </rPh>
    <rPh sb="17" eb="18">
      <t>アタイ</t>
    </rPh>
    <rPh sb="21" eb="23">
      <t>ホショウ</t>
    </rPh>
    <rPh sb="23" eb="25">
      <t>キカン</t>
    </rPh>
    <rPh sb="28" eb="29">
      <t>ネン</t>
    </rPh>
    <phoneticPr fontId="261"/>
  </si>
  <si>
    <t>t-CO2/m2</t>
    <phoneticPr fontId="261"/>
  </si>
  <si>
    <t>m2</t>
    <phoneticPr fontId="3"/>
  </si>
  <si>
    <t>ビル</t>
    <phoneticPr fontId="3"/>
  </si>
  <si>
    <t>算定対象範囲：
環境マネジメントシステムの対象範囲が販売しているビル</t>
    <phoneticPr fontId="3"/>
  </si>
  <si>
    <t>同製品の販売先における組立時の排出量を対象としている。
自社実績から推計。</t>
    <rPh sb="0" eb="1">
      <t>ドウ</t>
    </rPh>
    <rPh sb="1" eb="3">
      <t>セイヒン</t>
    </rPh>
    <rPh sb="4" eb="6">
      <t>ハンバイ</t>
    </rPh>
    <rPh sb="6" eb="7">
      <t>サキ</t>
    </rPh>
    <rPh sb="11" eb="13">
      <t>クミタテ</t>
    </rPh>
    <rPh sb="13" eb="14">
      <t>ジ</t>
    </rPh>
    <rPh sb="15" eb="17">
      <t>ハイシュツ</t>
    </rPh>
    <rPh sb="17" eb="18">
      <t>リョウ</t>
    </rPh>
    <rPh sb="19" eb="21">
      <t>タイショウ</t>
    </rPh>
    <rPh sb="28" eb="30">
      <t>ジシャ</t>
    </rPh>
    <rPh sb="30" eb="32">
      <t>ジッセキ</t>
    </rPh>
    <rPh sb="34" eb="36">
      <t>スイケイ</t>
    </rPh>
    <phoneticPr fontId="3"/>
  </si>
  <si>
    <t>組立時排出量の自社実績</t>
    <rPh sb="0" eb="2">
      <t>クミタテ</t>
    </rPh>
    <rPh sb="2" eb="3">
      <t>ジ</t>
    </rPh>
    <rPh sb="3" eb="5">
      <t>ハイシュツ</t>
    </rPh>
    <rPh sb="5" eb="6">
      <t>リョウ</t>
    </rPh>
    <rPh sb="7" eb="8">
      <t>ジシャ</t>
    </rPh>
    <rPh sb="9" eb="11">
      <t>ジッセキ</t>
    </rPh>
    <phoneticPr fontId="3"/>
  </si>
  <si>
    <t>建設資材</t>
    <rPh sb="0" eb="1">
      <t>ケンセツ</t>
    </rPh>
    <rPh sb="1" eb="3">
      <t>シザイ</t>
    </rPh>
    <phoneticPr fontId="3"/>
  </si>
  <si>
    <t>算定対象範囲：
環境マネジメントシステムの対象範囲が販売している建設資材</t>
    <rPh sb="26" eb="28">
      <t>ハンバイ</t>
    </rPh>
    <rPh sb="32" eb="34">
      <t>ケンセツ</t>
    </rPh>
    <rPh sb="34" eb="36">
      <t>シザイ</t>
    </rPh>
    <phoneticPr fontId="3"/>
  </si>
  <si>
    <t>自社が建設した建設物は、建設後の輸送は無いため対象外。なお、建設資材は、建設現場まで自グループの輸送会社が輸送し、建設後の輸送は無いため対象外。よって、カテゴリ9は該当なし。</t>
    <rPh sb="0" eb="1">
      <t>ジシャ</t>
    </rPh>
    <rPh sb="2" eb="4">
      <t>ケンセツ</t>
    </rPh>
    <rPh sb="6" eb="8">
      <t>ケンセツ</t>
    </rPh>
    <rPh sb="8" eb="9">
      <t>ブツ</t>
    </rPh>
    <rPh sb="11" eb="13">
      <t>ケンセツ</t>
    </rPh>
    <rPh sb="13" eb="14">
      <t>ゴ</t>
    </rPh>
    <rPh sb="15" eb="17">
      <t>ユソウ</t>
    </rPh>
    <rPh sb="18" eb="19">
      <t>ナ</t>
    </rPh>
    <rPh sb="22" eb="24">
      <t>タイショウ</t>
    </rPh>
    <rPh sb="24" eb="25">
      <t>ガイ</t>
    </rPh>
    <rPh sb="29" eb="31">
      <t>ケンセツ</t>
    </rPh>
    <rPh sb="31" eb="33">
      <t>シザイ</t>
    </rPh>
    <rPh sb="35" eb="37">
      <t>ケンセツ</t>
    </rPh>
    <rPh sb="37" eb="39">
      <t>ゲンバ</t>
    </rPh>
    <rPh sb="41" eb="42">
      <t>ジ</t>
    </rPh>
    <rPh sb="47" eb="49">
      <t>ユソウ</t>
    </rPh>
    <rPh sb="49" eb="51">
      <t>カイシャ</t>
    </rPh>
    <rPh sb="52" eb="54">
      <t>ユソウ</t>
    </rPh>
    <rPh sb="57" eb="59">
      <t>ケンセツ</t>
    </rPh>
    <rPh sb="59" eb="60">
      <t>ゴ</t>
    </rPh>
    <rPh sb="61" eb="63">
      <t>ユソウ</t>
    </rPh>
    <rPh sb="64" eb="65">
      <t>ナ</t>
    </rPh>
    <rPh sb="68" eb="70">
      <t>タイショウ</t>
    </rPh>
    <rPh sb="70" eb="71">
      <t>ガイ</t>
    </rPh>
    <rPh sb="81" eb="83">
      <t>ガイトウ</t>
    </rPh>
    <phoneticPr fontId="3"/>
  </si>
  <si>
    <t>車輌を賃借しているが、当該排出労は、Scope1,2に計上されているため、カテゴリ8に計上しない</t>
    <rPh sb="0" eb="2">
      <t>シャリョウ</t>
    </rPh>
    <rPh sb="3" eb="5">
      <t>チンシャク</t>
    </rPh>
    <rPh sb="11" eb="13">
      <t>トウガイ</t>
    </rPh>
    <rPh sb="13" eb="15">
      <t>ハイシュツ</t>
    </rPh>
    <rPh sb="15" eb="16">
      <t>ロウ</t>
    </rPh>
    <rPh sb="43" eb="44">
      <t>ケイ</t>
    </rPh>
    <rPh sb="44" eb="45">
      <t>ウエ</t>
    </rPh>
    <phoneticPr fontId="3"/>
  </si>
  <si>
    <t>車輌</t>
    <rPh sb="0" eb="1">
      <t>シャリョウ</t>
    </rPh>
    <phoneticPr fontId="3"/>
  </si>
  <si>
    <t>他社資産のビルを賃借しテナント貸を行っているが、貸し出しているフロア含め、ビルの稼働に伴う排出量は、Scope1,2に計上されているため、カテゴリ8に計上しない</t>
    <rPh sb="75" eb="76">
      <t>ケイ</t>
    </rPh>
    <rPh sb="76" eb="77">
      <t>ウエ</t>
    </rPh>
    <phoneticPr fontId="3"/>
  </si>
  <si>
    <t>他社ビル</t>
    <rPh sb="0" eb="1">
      <t>タシャ</t>
    </rPh>
    <phoneticPr fontId="3"/>
  </si>
  <si>
    <t>t-CO2/m2</t>
    <phoneticPr fontId="3"/>
  </si>
  <si>
    <t>m2</t>
    <phoneticPr fontId="3"/>
  </si>
  <si>
    <t>現場作業員延べ人数が210,000 [人日]、1日の往復距離を20ｋｍとする
現場作業員の総移動距離[人km]は、210,000×20＝4,200,000 人km</t>
    <rPh sb="0" eb="2">
      <t>ゲンバ</t>
    </rPh>
    <rPh sb="2" eb="5">
      <t>サギョウイン</t>
    </rPh>
    <rPh sb="5" eb="6">
      <t>ノ</t>
    </rPh>
    <rPh sb="7" eb="9">
      <t>ニンズウ</t>
    </rPh>
    <rPh sb="19" eb="20">
      <t>ニン</t>
    </rPh>
    <rPh sb="20" eb="21">
      <t>ニチ</t>
    </rPh>
    <rPh sb="24" eb="25">
      <t>ニチ</t>
    </rPh>
    <rPh sb="26" eb="28">
      <t>オウフク</t>
    </rPh>
    <rPh sb="28" eb="30">
      <t>キョリ</t>
    </rPh>
    <rPh sb="39" eb="41">
      <t>ゲンバ</t>
    </rPh>
    <rPh sb="41" eb="44">
      <t>サギョウイン</t>
    </rPh>
    <rPh sb="45" eb="46">
      <t>ソウ</t>
    </rPh>
    <rPh sb="46" eb="48">
      <t>イドウ</t>
    </rPh>
    <rPh sb="48" eb="50">
      <t>キョリ</t>
    </rPh>
    <rPh sb="51" eb="52">
      <t>ニン</t>
    </rPh>
    <rPh sb="78" eb="79">
      <t>ニン</t>
    </rPh>
    <phoneticPr fontId="3"/>
  </si>
  <si>
    <t>環境省DB[10]自家用乗用車</t>
    <rPh sb="0" eb="3">
      <t>カンキョウショウ</t>
    </rPh>
    <rPh sb="9" eb="12">
      <t>ジカヨウ</t>
    </rPh>
    <rPh sb="12" eb="15">
      <t>ジョウヨウシャ</t>
    </rPh>
    <phoneticPr fontId="3"/>
  </si>
  <si>
    <t>t-CO2/人km</t>
    <rPh sb="6" eb="7">
      <t>ニン</t>
    </rPh>
    <phoneticPr fontId="3"/>
  </si>
  <si>
    <t>現場作業員述べ人数 210,000[人日]
建設現場までの移動距離 10km 往復 20km/日</t>
    <rPh sb="0" eb="2">
      <t>ゲンバ</t>
    </rPh>
    <rPh sb="2" eb="5">
      <t>サギョウイン</t>
    </rPh>
    <rPh sb="5" eb="6">
      <t>ノ</t>
    </rPh>
    <rPh sb="7" eb="9">
      <t>ニンズウ</t>
    </rPh>
    <rPh sb="18" eb="19">
      <t>ニン</t>
    </rPh>
    <rPh sb="19" eb="20">
      <t>ニチ</t>
    </rPh>
    <rPh sb="22" eb="24">
      <t>ケンセツ</t>
    </rPh>
    <rPh sb="24" eb="26">
      <t>ゲンバ</t>
    </rPh>
    <rPh sb="29" eb="31">
      <t>イドウ</t>
    </rPh>
    <rPh sb="31" eb="33">
      <t>キョリ</t>
    </rPh>
    <rPh sb="39" eb="41">
      <t>オウフク</t>
    </rPh>
    <rPh sb="47" eb="48">
      <t>ニチ</t>
    </rPh>
    <phoneticPr fontId="3"/>
  </si>
  <si>
    <t>人km/年</t>
    <rPh sb="0" eb="1">
      <t>ニン</t>
    </rPh>
    <rPh sb="4" eb="5">
      <t>ネン</t>
    </rPh>
    <phoneticPr fontId="3"/>
  </si>
  <si>
    <t>現場作業員</t>
    <rPh sb="0" eb="2">
      <t>ゲンバ</t>
    </rPh>
    <rPh sb="2" eb="5">
      <t>サギョウイン</t>
    </rPh>
    <phoneticPr fontId="3"/>
  </si>
  <si>
    <t>算定対象範囲：
環境マネジメントシステムの対象範囲及び現場作業員</t>
    <rPh sb="25" eb="26">
      <t>オヨ</t>
    </rPh>
    <rPh sb="27" eb="29">
      <t>ゲンバ</t>
    </rPh>
    <rPh sb="29" eb="32">
      <t>サギョウイン</t>
    </rPh>
    <phoneticPr fontId="3"/>
  </si>
  <si>
    <t>特別管理廃棄物は多様な種類の廃棄物が含まれており、廃棄物修理別に重量を把握することが難しい。よって、廃棄物種類別の排出原単位から適切な原単位の選択が困難なため、排出量を過小評価しないよう最も大きい排出原単位（廃油 1.8287 tCO2/t）を適用する。</t>
    <rPh sb="0" eb="2">
      <t>トクベツ</t>
    </rPh>
    <rPh sb="2" eb="4">
      <t>カンリ</t>
    </rPh>
    <rPh sb="4" eb="7">
      <t>ハイキブツ</t>
    </rPh>
    <rPh sb="8" eb="10">
      <t>タヨウ</t>
    </rPh>
    <rPh sb="11" eb="13">
      <t>シュルイ</t>
    </rPh>
    <rPh sb="14" eb="17">
      <t>ハイキブツ</t>
    </rPh>
    <rPh sb="18" eb="19">
      <t>フク</t>
    </rPh>
    <rPh sb="25" eb="28">
      <t>ハイキブツ</t>
    </rPh>
    <rPh sb="28" eb="30">
      <t>シュウリ</t>
    </rPh>
    <rPh sb="30" eb="31">
      <t>ベツ</t>
    </rPh>
    <rPh sb="32" eb="34">
      <t>ジュウリョウ</t>
    </rPh>
    <rPh sb="35" eb="37">
      <t>ハアク</t>
    </rPh>
    <rPh sb="42" eb="43">
      <t>ムズカ</t>
    </rPh>
    <rPh sb="50" eb="53">
      <t>ハイキブツ</t>
    </rPh>
    <rPh sb="53" eb="54">
      <t>シュ</t>
    </rPh>
    <rPh sb="54" eb="55">
      <t>ルイ</t>
    </rPh>
    <rPh sb="55" eb="56">
      <t>ベツ</t>
    </rPh>
    <rPh sb="57" eb="59">
      <t>ハイシュツ</t>
    </rPh>
    <rPh sb="59" eb="62">
      <t>ゲンタンイ</t>
    </rPh>
    <rPh sb="64" eb="66">
      <t>テキセツ</t>
    </rPh>
    <rPh sb="67" eb="70">
      <t>ゲンタンイ</t>
    </rPh>
    <rPh sb="71" eb="73">
      <t>センタク</t>
    </rPh>
    <rPh sb="74" eb="76">
      <t>コンナン</t>
    </rPh>
    <rPh sb="80" eb="82">
      <t>ハイシュツ</t>
    </rPh>
    <rPh sb="82" eb="83">
      <t>リョウ</t>
    </rPh>
    <rPh sb="84" eb="86">
      <t>カショウ</t>
    </rPh>
    <rPh sb="86" eb="88">
      <t>ヒョウカ</t>
    </rPh>
    <rPh sb="93" eb="94">
      <t>モット</t>
    </rPh>
    <rPh sb="95" eb="96">
      <t>オオ</t>
    </rPh>
    <rPh sb="98" eb="100">
      <t>ハイシュツ</t>
    </rPh>
    <rPh sb="100" eb="103">
      <t>ゲンタンイ</t>
    </rPh>
    <rPh sb="104" eb="106">
      <t>ハイユ</t>
    </rPh>
    <rPh sb="122" eb="124">
      <t>テキヨウ</t>
    </rPh>
    <phoneticPr fontId="3"/>
  </si>
  <si>
    <t>特別管理廃棄物</t>
    <rPh sb="0" eb="2">
      <t>トクベツ</t>
    </rPh>
    <rPh sb="2" eb="4">
      <t>カンリ</t>
    </rPh>
    <rPh sb="4" eb="7">
      <t>ハイキブツ</t>
    </rPh>
    <phoneticPr fontId="3"/>
  </si>
  <si>
    <t>混合廃棄物は多様な種類の廃棄物が含まれており、廃棄物修理別に重量を把握することが難しい。よって、廃棄物種類別の排出原単位から適切な原単位の選択が困難なため、排出量を過小評価しないよう最も大きい排出原単位（廃油 1.8287 tCO2/t）を適用する。</t>
    <rPh sb="0" eb="2">
      <t>コンゴウ</t>
    </rPh>
    <rPh sb="2" eb="5">
      <t>ハイキブツ</t>
    </rPh>
    <rPh sb="6" eb="8">
      <t>タヨウ</t>
    </rPh>
    <rPh sb="9" eb="11">
      <t>シュルイ</t>
    </rPh>
    <rPh sb="12" eb="15">
      <t>ハイキブツ</t>
    </rPh>
    <rPh sb="16" eb="17">
      <t>フク</t>
    </rPh>
    <rPh sb="23" eb="26">
      <t>ハイキブツ</t>
    </rPh>
    <rPh sb="26" eb="28">
      <t>シュウリ</t>
    </rPh>
    <rPh sb="28" eb="29">
      <t>ベツ</t>
    </rPh>
    <rPh sb="30" eb="32">
      <t>ジュウリョウ</t>
    </rPh>
    <rPh sb="33" eb="35">
      <t>ハアク</t>
    </rPh>
    <rPh sb="40" eb="41">
      <t>ムズカ</t>
    </rPh>
    <rPh sb="48" eb="51">
      <t>ハイキブツ</t>
    </rPh>
    <rPh sb="51" eb="52">
      <t>シュ</t>
    </rPh>
    <rPh sb="52" eb="53">
      <t>ルイ</t>
    </rPh>
    <rPh sb="53" eb="54">
      <t>ベツ</t>
    </rPh>
    <rPh sb="55" eb="57">
      <t>ハイシュツ</t>
    </rPh>
    <rPh sb="57" eb="60">
      <t>ゲンタンイ</t>
    </rPh>
    <rPh sb="62" eb="64">
      <t>テキセツ</t>
    </rPh>
    <rPh sb="65" eb="68">
      <t>ゲンタンイ</t>
    </rPh>
    <rPh sb="69" eb="71">
      <t>センタク</t>
    </rPh>
    <rPh sb="72" eb="74">
      <t>コンナン</t>
    </rPh>
    <rPh sb="78" eb="80">
      <t>ハイシュツ</t>
    </rPh>
    <rPh sb="80" eb="81">
      <t>リョウ</t>
    </rPh>
    <rPh sb="82" eb="84">
      <t>カショウ</t>
    </rPh>
    <rPh sb="84" eb="86">
      <t>ヒョウカ</t>
    </rPh>
    <rPh sb="91" eb="92">
      <t>モット</t>
    </rPh>
    <rPh sb="93" eb="94">
      <t>オオ</t>
    </rPh>
    <rPh sb="96" eb="98">
      <t>ハイシュツ</t>
    </rPh>
    <rPh sb="98" eb="101">
      <t>ゲンタンイ</t>
    </rPh>
    <rPh sb="102" eb="104">
      <t>ハイユ</t>
    </rPh>
    <rPh sb="120" eb="122">
      <t>テキヨウ</t>
    </rPh>
    <phoneticPr fontId="3"/>
  </si>
  <si>
    <t>混合廃棄物</t>
    <rPh sb="0" eb="2">
      <t>コンゴウ</t>
    </rPh>
    <rPh sb="2" eb="5">
      <t>ハイキブツ</t>
    </rPh>
    <phoneticPr fontId="3"/>
  </si>
  <si>
    <t>環境省DB[9]廃棄物種類別 ばいじん</t>
  </si>
  <si>
    <t>環境省DB[9]廃棄物種類別 がれき類</t>
  </si>
  <si>
    <t>環境省DB[9]廃棄物種類別 鉱さい</t>
  </si>
  <si>
    <t>環境省DB[9]廃棄物種類別 ガラスくず</t>
  </si>
  <si>
    <t>環境省DB[9]廃棄物種類別 金属くず</t>
  </si>
  <si>
    <t>環境省DB[9]廃棄物種類別 繊維くず</t>
  </si>
  <si>
    <t>環境省DB[9]廃棄物種類別 木くず</t>
  </si>
  <si>
    <t>環境省DB[9]廃棄物種類別 廃プラスチック類</t>
    <rPh sb="0" eb="3">
      <t>カンキョウショウ</t>
    </rPh>
    <rPh sb="8" eb="11">
      <t>ハイキブツ</t>
    </rPh>
    <rPh sb="11" eb="13">
      <t>シュルイ</t>
    </rPh>
    <rPh sb="13" eb="14">
      <t>ベツ</t>
    </rPh>
    <rPh sb="15" eb="16">
      <t>ハイ</t>
    </rPh>
    <rPh sb="22" eb="23">
      <t>ルイ</t>
    </rPh>
    <phoneticPr fontId="3"/>
  </si>
  <si>
    <t>調達金額
サンプリング 重量単価 0.61[t/百万円]
輸送シナリオ（500km）</t>
    <rPh sb="0" eb="2">
      <t>チョウタツ</t>
    </rPh>
    <rPh sb="2" eb="4">
      <t>キンガク</t>
    </rPh>
    <rPh sb="12" eb="14">
      <t>ジュウリョウ</t>
    </rPh>
    <rPh sb="14" eb="16">
      <t>タンカ</t>
    </rPh>
    <rPh sb="24" eb="27">
      <t>ヒャクマンエン</t>
    </rPh>
    <rPh sb="29" eb="31">
      <t>ユソウ</t>
    </rPh>
    <phoneticPr fontId="3"/>
  </si>
  <si>
    <t>調達輸送（中国陸上輸送）</t>
    <rPh sb="0" eb="2">
      <t>チョウタツ</t>
    </rPh>
    <rPh sb="2" eb="4">
      <t>ユソウ</t>
    </rPh>
    <rPh sb="5" eb="7">
      <t>チュウゴク</t>
    </rPh>
    <rPh sb="7" eb="9">
      <t>リクジョウ</t>
    </rPh>
    <rPh sb="9" eb="11">
      <t>ユソウ</t>
    </rPh>
    <phoneticPr fontId="3"/>
  </si>
  <si>
    <t>中国からのカーテンウォールの調達輸送を、トンキロ法を用いて算定。
なお、輸送重量は、調達金額[百万円]／単価[百万円/t] から推計。
単価は、港でのコンテナ重量測定値をサンプリングして作成（0.61 t/百万円）</t>
    <rPh sb="0" eb="2">
      <t>チュウゴク</t>
    </rPh>
    <rPh sb="14" eb="16">
      <t>チョウタツ</t>
    </rPh>
    <rPh sb="24" eb="25">
      <t>ホウ</t>
    </rPh>
    <rPh sb="26" eb="27">
      <t>モチ</t>
    </rPh>
    <rPh sb="29" eb="31">
      <t>サンテイ</t>
    </rPh>
    <rPh sb="36" eb="38">
      <t>ユソウ</t>
    </rPh>
    <rPh sb="38" eb="40">
      <t>ジュウリョウ</t>
    </rPh>
    <rPh sb="42" eb="44">
      <t>チョウタツ</t>
    </rPh>
    <rPh sb="44" eb="46">
      <t>キンガク</t>
    </rPh>
    <rPh sb="47" eb="50">
      <t>ヒャクマンエン</t>
    </rPh>
    <rPh sb="52" eb="54">
      <t>タンカ</t>
    </rPh>
    <rPh sb="55" eb="58">
      <t>ヒャクマンエン</t>
    </rPh>
    <rPh sb="64" eb="66">
      <t>スイケイ</t>
    </rPh>
    <rPh sb="68" eb="70">
      <t>タンカ</t>
    </rPh>
    <rPh sb="72" eb="73">
      <t>ミナト</t>
    </rPh>
    <rPh sb="79" eb="81">
      <t>ジュウリョウ</t>
    </rPh>
    <rPh sb="81" eb="83">
      <t>ソクテイ</t>
    </rPh>
    <rPh sb="83" eb="84">
      <t>アタイ</t>
    </rPh>
    <rPh sb="93" eb="95">
      <t>サクセイ</t>
    </rPh>
    <rPh sb="103" eb="106">
      <t>ヒャクマンエン</t>
    </rPh>
    <phoneticPr fontId="3"/>
  </si>
  <si>
    <t>調達金額
サンプリング 重量単価 0.61[t/百万円]
CFP DB B-JP DB国地域間距離「日本-中国」</t>
    <rPh sb="0" eb="2">
      <t>チョウタツ</t>
    </rPh>
    <rPh sb="2" eb="4">
      <t>キンガク</t>
    </rPh>
    <rPh sb="12" eb="14">
      <t>ジュウリョウ</t>
    </rPh>
    <rPh sb="14" eb="16">
      <t>タンカ</t>
    </rPh>
    <rPh sb="24" eb="27">
      <t>ヒャクマンエン</t>
    </rPh>
    <rPh sb="53" eb="55">
      <t>チュウゴク</t>
    </rPh>
    <phoneticPr fontId="3"/>
  </si>
  <si>
    <t>調達輸送（海上；中国-日本）</t>
    <rPh sb="0" eb="2">
      <t>チョウタツ</t>
    </rPh>
    <rPh sb="2" eb="4">
      <t>ユソウ</t>
    </rPh>
    <rPh sb="5" eb="7">
      <t>カイジョウ</t>
    </rPh>
    <rPh sb="8" eb="10">
      <t>チュウゴク</t>
    </rPh>
    <rPh sb="11" eb="13">
      <t>ニホン</t>
    </rPh>
    <phoneticPr fontId="3"/>
  </si>
  <si>
    <t>件数10件
サンプリング 重量単価 5,000[t/件]
よって、重量は、50,000t（=10×5,000）
輸送シナリオ（500km）</t>
    <rPh sb="0" eb="2">
      <t>ケンスウ</t>
    </rPh>
    <rPh sb="4" eb="5">
      <t>ケン</t>
    </rPh>
    <rPh sb="13" eb="15">
      <t>ジュウリョウ</t>
    </rPh>
    <rPh sb="15" eb="17">
      <t>タンカ</t>
    </rPh>
    <rPh sb="26" eb="27">
      <t>ケン</t>
    </rPh>
    <rPh sb="56" eb="58">
      <t>ユソウ</t>
    </rPh>
    <phoneticPr fontId="3"/>
  </si>
  <si>
    <t>調達物流（国内陸上輸送）
他社-建設現場（道路）</t>
    <rPh sb="0" eb="2">
      <t>チョウタツ</t>
    </rPh>
    <rPh sb="2" eb="4">
      <t>ブツリュウ</t>
    </rPh>
    <rPh sb="5" eb="7">
      <t>コクナイ</t>
    </rPh>
    <rPh sb="7" eb="9">
      <t>リクジョウ</t>
    </rPh>
    <rPh sb="9" eb="11">
      <t>ユソウ</t>
    </rPh>
    <rPh sb="13" eb="15">
      <t>タシャ</t>
    </rPh>
    <rPh sb="16" eb="18">
      <t>ケンセツ</t>
    </rPh>
    <rPh sb="18" eb="20">
      <t>ゲンバ</t>
    </rPh>
    <rPh sb="21" eb="23">
      <t>ドウロ</t>
    </rPh>
    <phoneticPr fontId="3"/>
  </si>
  <si>
    <t>＜活動量＞
ビル、道路の2種に大別し、それぞれの建設に要するコンクリート等の重量を3つの施工現場からサンプング調査した。輸送重量は、調達情報から把握できていないものを、トラックサイズと輸送回数から推計して加算することで、1件当たりの重量を用意している。</t>
    <rPh sb="1" eb="3">
      <t>カツドウ</t>
    </rPh>
    <rPh sb="3" eb="4">
      <t>リョウ</t>
    </rPh>
    <rPh sb="9" eb="11">
      <t>ドウロ</t>
    </rPh>
    <rPh sb="13" eb="14">
      <t>シュ</t>
    </rPh>
    <rPh sb="15" eb="17">
      <t>タイベツ</t>
    </rPh>
    <rPh sb="24" eb="26">
      <t>ケンセツ</t>
    </rPh>
    <rPh sb="27" eb="28">
      <t>ヨウ</t>
    </rPh>
    <rPh sb="36" eb="37">
      <t>ナド</t>
    </rPh>
    <rPh sb="38" eb="40">
      <t>ジュウリョウ</t>
    </rPh>
    <rPh sb="44" eb="46">
      <t>セコウ</t>
    </rPh>
    <rPh sb="46" eb="48">
      <t>ゲンバ</t>
    </rPh>
    <rPh sb="55" eb="57">
      <t>チョウサ</t>
    </rPh>
    <rPh sb="60" eb="62">
      <t>ユソウ</t>
    </rPh>
    <rPh sb="62" eb="64">
      <t>ジュウリョウ</t>
    </rPh>
    <rPh sb="66" eb="68">
      <t>チョウタツ</t>
    </rPh>
    <rPh sb="68" eb="70">
      <t>ジョウホウ</t>
    </rPh>
    <rPh sb="72" eb="74">
      <t>ハアク</t>
    </rPh>
    <rPh sb="92" eb="94">
      <t>ユソウ</t>
    </rPh>
    <rPh sb="94" eb="96">
      <t>カイスウ</t>
    </rPh>
    <rPh sb="98" eb="100">
      <t>スイケイ</t>
    </rPh>
    <rPh sb="102" eb="104">
      <t>カサン</t>
    </rPh>
    <rPh sb="111" eb="112">
      <t>ケン</t>
    </rPh>
    <rPh sb="112" eb="113">
      <t>ア</t>
    </rPh>
    <rPh sb="116" eb="118">
      <t>ジュウリョウ</t>
    </rPh>
    <rPh sb="119" eb="121">
      <t>ヨウイ</t>
    </rPh>
    <phoneticPr fontId="3"/>
  </si>
  <si>
    <t>件数40件
サンプリング 重量単価 20,000[t/件]
よって、重量は、800,000t（=40×20,000）
輸送シナリオ（500km）</t>
    <rPh sb="0" eb="2">
      <t>ケンスウ</t>
    </rPh>
    <rPh sb="4" eb="5">
      <t>ケン</t>
    </rPh>
    <rPh sb="13" eb="15">
      <t>ジュウリョウ</t>
    </rPh>
    <rPh sb="15" eb="17">
      <t>タンカ</t>
    </rPh>
    <rPh sb="27" eb="28">
      <t>ケン</t>
    </rPh>
    <rPh sb="34" eb="36">
      <t>ジュウリョウ</t>
    </rPh>
    <rPh sb="59" eb="61">
      <t>ユソウ</t>
    </rPh>
    <phoneticPr fontId="3"/>
  </si>
  <si>
    <t>調達物流（国内陸上輸送）
他社-建設現場（ビル）
国内港-建設現場（ビル）</t>
    <rPh sb="0" eb="2">
      <t>チョウタツ</t>
    </rPh>
    <rPh sb="2" eb="4">
      <t>ブツリュウ</t>
    </rPh>
    <rPh sb="5" eb="7">
      <t>コクナイ</t>
    </rPh>
    <rPh sb="7" eb="9">
      <t>リクジョウ</t>
    </rPh>
    <rPh sb="9" eb="11">
      <t>ユソウ</t>
    </rPh>
    <rPh sb="13" eb="15">
      <t>タシャ</t>
    </rPh>
    <rPh sb="16" eb="18">
      <t>ケンセツ</t>
    </rPh>
    <rPh sb="18" eb="20">
      <t>ゲンバ</t>
    </rPh>
    <rPh sb="25" eb="27">
      <t>コクナイ</t>
    </rPh>
    <rPh sb="27" eb="28">
      <t>ミナト</t>
    </rPh>
    <phoneticPr fontId="3"/>
  </si>
  <si>
    <t>自社工場から建設現場（自社管轄、販売先管轄）までの輸送が該当。グループ会社が担いScope1,2に計上されており、カテゴリ4では計上しない。</t>
    <rPh sb="0" eb="2">
      <t>ジシャ</t>
    </rPh>
    <rPh sb="2" eb="4">
      <t>コウジョウ</t>
    </rPh>
    <rPh sb="6" eb="8">
      <t>ケンセツ</t>
    </rPh>
    <rPh sb="8" eb="10">
      <t>ゲンバ</t>
    </rPh>
    <rPh sb="11" eb="13">
      <t>ジシャ</t>
    </rPh>
    <rPh sb="13" eb="15">
      <t>カンカツ</t>
    </rPh>
    <rPh sb="16" eb="18">
      <t>ハンバイ</t>
    </rPh>
    <rPh sb="18" eb="19">
      <t>サキ</t>
    </rPh>
    <rPh sb="19" eb="21">
      <t>カンカツ</t>
    </rPh>
    <rPh sb="25" eb="27">
      <t>ユソウ</t>
    </rPh>
    <rPh sb="28" eb="30">
      <t>ガイトウ</t>
    </rPh>
    <phoneticPr fontId="3"/>
  </si>
  <si>
    <t>省エネ法特定荷主定期報告値
輸送重量 50,000 t</t>
    <rPh sb="0" eb="1">
      <t>ショウ</t>
    </rPh>
    <rPh sb="3" eb="4">
      <t>ホウ</t>
    </rPh>
    <rPh sb="12" eb="13">
      <t>アタイ</t>
    </rPh>
    <rPh sb="14" eb="16">
      <t>ユソウ</t>
    </rPh>
    <rPh sb="16" eb="18">
      <t>ジュウリョウ</t>
    </rPh>
    <phoneticPr fontId="3"/>
  </si>
  <si>
    <t>出荷物流（国内陸上輸送）
自社工場-建設現場</t>
    <rPh sb="0" eb="2">
      <t>シュッカ</t>
    </rPh>
    <rPh sb="2" eb="4">
      <t>ブツリュウ</t>
    </rPh>
    <rPh sb="5" eb="7">
      <t>コクナイ</t>
    </rPh>
    <rPh sb="7" eb="9">
      <t>リクジョウ</t>
    </rPh>
    <rPh sb="9" eb="11">
      <t>ユソウ</t>
    </rPh>
    <rPh sb="13" eb="15">
      <t>ジシャ</t>
    </rPh>
    <rPh sb="15" eb="17">
      <t>コウジョウ</t>
    </rPh>
    <rPh sb="18" eb="20">
      <t>ケンセツ</t>
    </rPh>
    <rPh sb="20" eb="22">
      <t>ゲンバ</t>
    </rPh>
    <phoneticPr fontId="3"/>
  </si>
  <si>
    <t>環境省DB[7]蒸気</t>
    <rPh sb="0" eb="3">
      <t>カンキョウショウ</t>
    </rPh>
    <rPh sb="8" eb="10">
      <t>ジョウキ</t>
    </rPh>
    <phoneticPr fontId="3"/>
  </si>
  <si>
    <t>算定・報告・公表制度報告、省エネ法報告</t>
    <rPh sb="0" eb="2">
      <t>サンテイ</t>
    </rPh>
    <rPh sb="3" eb="5">
      <t>ホウコク</t>
    </rPh>
    <rPh sb="6" eb="8">
      <t>コウヒョウ</t>
    </rPh>
    <rPh sb="8" eb="10">
      <t>セイド</t>
    </rPh>
    <rPh sb="10" eb="12">
      <t>ホウコク</t>
    </rPh>
    <rPh sb="13" eb="14">
      <t>ショウ</t>
    </rPh>
    <rPh sb="16" eb="17">
      <t>ホウ</t>
    </rPh>
    <rPh sb="17" eb="19">
      <t>ホウコク</t>
    </rPh>
    <phoneticPr fontId="3"/>
  </si>
  <si>
    <t>GJ / 年</t>
  </si>
  <si>
    <t>蒸気</t>
    <rPh sb="0" eb="2">
      <t>ジョウキ</t>
    </rPh>
    <phoneticPr fontId="75"/>
  </si>
  <si>
    <t>環境省DB[7]電力</t>
    <rPh sb="0" eb="3">
      <t>カンキョウショウ</t>
    </rPh>
    <rPh sb="8" eb="10">
      <t>デンリョク</t>
    </rPh>
    <phoneticPr fontId="3"/>
  </si>
  <si>
    <t>kWh / 年</t>
    <rPh sb="6" eb="7">
      <t>ネン</t>
    </rPh>
    <phoneticPr fontId="3"/>
  </si>
  <si>
    <t>CFP基本DBver.1.1 整理番号321001 「都市ガス13A」</t>
    <rPh sb="27" eb="29">
      <t>トシ</t>
    </rPh>
    <phoneticPr fontId="261"/>
  </si>
  <si>
    <t>千m3 / 年</t>
  </si>
  <si>
    <t>CFP基本DBver.1.1 整理番号311006 「A重油」</t>
    <rPh sb="28" eb="30">
      <t>ジュウユ</t>
    </rPh>
    <phoneticPr fontId="261"/>
  </si>
  <si>
    <t>kL / 年</t>
  </si>
  <si>
    <t>CFP基本DBver.1.1 整理番号311005 「軽油」</t>
    <rPh sb="27" eb="29">
      <t>ケイユ</t>
    </rPh>
    <phoneticPr fontId="261"/>
  </si>
  <si>
    <t>CFP基本DBver.1.1 整理番号311004 「灯油」</t>
    <rPh sb="27" eb="29">
      <t>トウユ</t>
    </rPh>
    <phoneticPr fontId="261"/>
  </si>
  <si>
    <t>CFP基本DBver.1.1 整理番号311001 「ガソリン」</t>
    <rPh sb="3" eb="5">
      <t>キホン</t>
    </rPh>
    <phoneticPr fontId="261"/>
  </si>
  <si>
    <t>自社で開発した不動産を資本として保有しているが、同資本の製造に伴う排出量はScope1,2及びカテゴリ1で計上済。</t>
    <rPh sb="0" eb="2">
      <t>ジシャ</t>
    </rPh>
    <rPh sb="3" eb="5">
      <t>カイハツ</t>
    </rPh>
    <rPh sb="7" eb="10">
      <t>フドウサン</t>
    </rPh>
    <rPh sb="11" eb="13">
      <t>シホン</t>
    </rPh>
    <rPh sb="16" eb="18">
      <t>ホユウ</t>
    </rPh>
    <rPh sb="24" eb="25">
      <t>ドウ</t>
    </rPh>
    <rPh sb="25" eb="27">
      <t>シホン</t>
    </rPh>
    <rPh sb="28" eb="30">
      <t>セイゾウ</t>
    </rPh>
    <rPh sb="31" eb="32">
      <t>トモナ</t>
    </rPh>
    <rPh sb="33" eb="35">
      <t>ハイシュツ</t>
    </rPh>
    <rPh sb="35" eb="36">
      <t>リョウ</t>
    </rPh>
    <rPh sb="45" eb="46">
      <t>オヨ</t>
    </rPh>
    <rPh sb="53" eb="55">
      <t>ケイジョウ</t>
    </rPh>
    <rPh sb="55" eb="56">
      <t>スミ</t>
    </rPh>
    <phoneticPr fontId="3"/>
  </si>
  <si>
    <t>自社建設不動産</t>
    <rPh sb="0" eb="2">
      <t>ジシャ</t>
    </rPh>
    <rPh sb="2" eb="4">
      <t>ケンセツ</t>
    </rPh>
    <rPh sb="4" eb="7">
      <t>フドウサン</t>
    </rPh>
    <phoneticPr fontId="3"/>
  </si>
  <si>
    <t>環境省DB[6] 不動産仲介及び賃貸</t>
    <rPh sb="0" eb="3">
      <t>カンキョウショウ</t>
    </rPh>
    <rPh sb="9" eb="12">
      <t>フドウサン</t>
    </rPh>
    <rPh sb="12" eb="14">
      <t>チュウカイ</t>
    </rPh>
    <rPh sb="14" eb="15">
      <t>オヨ</t>
    </rPh>
    <rPh sb="16" eb="18">
      <t>チンタイ</t>
    </rPh>
    <phoneticPr fontId="3"/>
  </si>
  <si>
    <t>設備投資額</t>
    <rPh sb="0" eb="1">
      <t>セツビ</t>
    </rPh>
    <rPh sb="1" eb="3">
      <t>トウシ</t>
    </rPh>
    <rPh sb="3" eb="4">
      <t>ガク</t>
    </rPh>
    <phoneticPr fontId="3"/>
  </si>
  <si>
    <t>百万円</t>
    <phoneticPr fontId="3"/>
  </si>
  <si>
    <t>不動産</t>
    <rPh sb="0" eb="3">
      <t>フドウサン</t>
    </rPh>
    <phoneticPr fontId="3"/>
  </si>
  <si>
    <t>環境省DB[6] 土木</t>
    <rPh sb="0" eb="3">
      <t>カンキョウショウ</t>
    </rPh>
    <rPh sb="9" eb="11">
      <t>ドボク</t>
    </rPh>
    <phoneticPr fontId="3"/>
  </si>
  <si>
    <t>土木</t>
    <rPh sb="0" eb="2">
      <t>ドボク</t>
    </rPh>
    <phoneticPr fontId="3"/>
  </si>
  <si>
    <t>環境省DB[6] 建築</t>
    <rPh sb="0" eb="3">
      <t>カンキョウショウ</t>
    </rPh>
    <rPh sb="9" eb="11">
      <t>ケンチク</t>
    </rPh>
    <phoneticPr fontId="3"/>
  </si>
  <si>
    <t>t-CO2/百万円</t>
    <phoneticPr fontId="3"/>
  </si>
  <si>
    <t>百万円</t>
    <phoneticPr fontId="3"/>
  </si>
  <si>
    <t>建築</t>
    <rPh sb="0" eb="2">
      <t>ケンチク</t>
    </rPh>
    <phoneticPr fontId="3"/>
  </si>
  <si>
    <t>リネンサプライ</t>
    <phoneticPr fontId="3"/>
  </si>
  <si>
    <t>下請建設業者、サブコン事業者による施工に伴う排出を想定</t>
    <rPh sb="0" eb="2">
      <t>シタウケ</t>
    </rPh>
    <rPh sb="17" eb="19">
      <t>セコウ</t>
    </rPh>
    <rPh sb="20" eb="21">
      <t>トモナ</t>
    </rPh>
    <phoneticPr fontId="3"/>
  </si>
  <si>
    <t>環境省DB[5]非住宅建築（非木造）</t>
    <rPh sb="0" eb="3">
      <t>カンキョウショウ</t>
    </rPh>
    <rPh sb="8" eb="9">
      <t>ヒ</t>
    </rPh>
    <rPh sb="9" eb="11">
      <t>ジュウタク</t>
    </rPh>
    <rPh sb="11" eb="13">
      <t>ケンチク</t>
    </rPh>
    <rPh sb="14" eb="15">
      <t>ヒ</t>
    </rPh>
    <rPh sb="15" eb="17">
      <t>モクゾウ</t>
    </rPh>
    <phoneticPr fontId="3"/>
  </si>
  <si>
    <t>施工費</t>
  </si>
  <si>
    <t>環境省DB[5]建築用金属製品</t>
    <rPh sb="0" eb="3">
      <t>カンキョウショウ</t>
    </rPh>
    <rPh sb="8" eb="11">
      <t>ケンチクヨウ</t>
    </rPh>
    <rPh sb="11" eb="13">
      <t>キンゾク</t>
    </rPh>
    <rPh sb="13" eb="15">
      <t>セイヒン</t>
    </rPh>
    <phoneticPr fontId="3"/>
  </si>
  <si>
    <t>カーテンウォール</t>
    <phoneticPr fontId="3"/>
  </si>
  <si>
    <t>サッシ等</t>
  </si>
  <si>
    <t>環境省DB[5]建設用金属製品</t>
    <rPh sb="0" eb="3">
      <t>カンキョウショウ</t>
    </rPh>
    <rPh sb="8" eb="11">
      <t>ケンセツヨウ</t>
    </rPh>
    <rPh sb="11" eb="13">
      <t>キンゾク</t>
    </rPh>
    <rPh sb="13" eb="15">
      <t>セイヒン</t>
    </rPh>
    <phoneticPr fontId="3"/>
  </si>
  <si>
    <t>鉄骨</t>
  </si>
  <si>
    <t>環境省DB[5]熱間圧延鋼材</t>
    <rPh sb="0" eb="3">
      <t>カンキョウショウ</t>
    </rPh>
    <rPh sb="8" eb="10">
      <t>ネツカン</t>
    </rPh>
    <rPh sb="10" eb="12">
      <t>アツエン</t>
    </rPh>
    <rPh sb="12" eb="14">
      <t>コウザイ</t>
    </rPh>
    <phoneticPr fontId="3"/>
  </si>
  <si>
    <t>鉄筋用バーインコイル</t>
    <rPh sb="0" eb="2">
      <t>テッキン</t>
    </rPh>
    <rPh sb="2" eb="3">
      <t>ヨウ</t>
    </rPh>
    <phoneticPr fontId="3"/>
  </si>
  <si>
    <t>環境省DB[5]セメント製品</t>
    <rPh sb="0" eb="3">
      <t>カンキョウショウ</t>
    </rPh>
    <rPh sb="12" eb="14">
      <t>セイヒン</t>
    </rPh>
    <phoneticPr fontId="3"/>
  </si>
  <si>
    <t>鉄筋コンクリート柱</t>
    <rPh sb="0" eb="2">
      <t>テッキン</t>
    </rPh>
    <rPh sb="8" eb="9">
      <t>ハシラ</t>
    </rPh>
    <phoneticPr fontId="3"/>
  </si>
  <si>
    <t>セメント製品</t>
  </si>
  <si>
    <t>環境省DB[5]生コンクリート</t>
    <rPh sb="0" eb="3">
      <t>カンキョウショウ</t>
    </rPh>
    <rPh sb="8" eb="9">
      <t>ナマ</t>
    </rPh>
    <phoneticPr fontId="3"/>
  </si>
  <si>
    <t>生コンクリート</t>
  </si>
  <si>
    <t>環境省DB[5]砕石</t>
    <rPh sb="0" eb="3">
      <t>カンキョウショウ</t>
    </rPh>
    <rPh sb="8" eb="9">
      <t>クダ</t>
    </rPh>
    <rPh sb="9" eb="10">
      <t>イシ</t>
    </rPh>
    <phoneticPr fontId="3"/>
  </si>
  <si>
    <t>コンクリート用砕石</t>
    <rPh sb="6" eb="7">
      <t>ヨウ</t>
    </rPh>
    <rPh sb="7" eb="8">
      <t>クダ</t>
    </rPh>
    <rPh sb="8" eb="9">
      <t>イシ</t>
    </rPh>
    <phoneticPr fontId="3"/>
  </si>
  <si>
    <t>環境省DB[5]板ガラス・安全ガラス</t>
    <rPh sb="0" eb="3">
      <t>カンキョウショウ</t>
    </rPh>
    <rPh sb="8" eb="9">
      <t>イタ</t>
    </rPh>
    <rPh sb="13" eb="15">
      <t>アンゼン</t>
    </rPh>
    <phoneticPr fontId="3"/>
  </si>
  <si>
    <t>環境省DB[5]じゅうたん・床敷物</t>
    <rPh sb="0" eb="3">
      <t>カンキョウショウ</t>
    </rPh>
    <phoneticPr fontId="3"/>
  </si>
  <si>
    <t>床敷物</t>
  </si>
  <si>
    <t>環境省DB[5]塗工紙・建設用加工紙　</t>
    <rPh sb="0" eb="3">
      <t>カンキョウショウ</t>
    </rPh>
    <phoneticPr fontId="3"/>
  </si>
  <si>
    <t>壁紙</t>
  </si>
  <si>
    <t>環境省DB[5]木製建具</t>
  </si>
  <si>
    <t>木製建具</t>
  </si>
  <si>
    <t>国内のビル建設を主に扱う建設会社。土木工事、道路舗装等も扱う。また、これらの事業の運営のため、輸送会社、資材製造会社、不動産会社等を傘下に持つ。</t>
    <rPh sb="0" eb="2">
      <t>コクナイ</t>
    </rPh>
    <rPh sb="5" eb="7">
      <t>ケンセツ</t>
    </rPh>
    <rPh sb="8" eb="9">
      <t>オモ</t>
    </rPh>
    <rPh sb="10" eb="11">
      <t>アツカ</t>
    </rPh>
    <rPh sb="12" eb="14">
      <t>ケンセツ</t>
    </rPh>
    <rPh sb="14" eb="16">
      <t>カイシャ</t>
    </rPh>
    <rPh sb="26" eb="27">
      <t>ナド</t>
    </rPh>
    <rPh sb="28" eb="29">
      <t>アツカ</t>
    </rPh>
    <rPh sb="52" eb="54">
      <t>シザイ</t>
    </rPh>
    <rPh sb="54" eb="56">
      <t>セイゾウ</t>
    </rPh>
    <rPh sb="56" eb="58">
      <t>カイシャ</t>
    </rPh>
    <rPh sb="59" eb="62">
      <t>フドウサン</t>
    </rPh>
    <rPh sb="62" eb="64">
      <t>カイシャ</t>
    </rPh>
    <rPh sb="64" eb="65">
      <t>ナド</t>
    </rPh>
    <phoneticPr fontId="3"/>
  </si>
  <si>
    <t>■想定した建設業の事業イメージ</t>
    <rPh sb="1" eb="3">
      <t>ソウテイ</t>
    </rPh>
    <rPh sb="5" eb="8">
      <t>ケンセツギョウ</t>
    </rPh>
    <rPh sb="9" eb="11">
      <t>ジギョウ</t>
    </rPh>
    <phoneticPr fontId="3"/>
  </si>
  <si>
    <t>従業員の家庭におけるエネルギー消費量削減を意図し、６，７，８月に省エネチャレンジと称し、エアコン温度28℃の設定、使用しない時間のプラグを抜く、LED電球の利用等を従業員に推奨するとともに、従業員2000名に対し、3か月分の家庭における電力消費アンケートを実施し、従業員あたりの排出原単位を作成。全従業員による3か月分の排出量を推計した。</t>
    <rPh sb="0" eb="3">
      <t>ジュウギョウイン</t>
    </rPh>
    <rPh sb="4" eb="6">
      <t>カテイ</t>
    </rPh>
    <rPh sb="15" eb="18">
      <t>ショウヒリョウ</t>
    </rPh>
    <rPh sb="18" eb="20">
      <t>サクゲン</t>
    </rPh>
    <rPh sb="21" eb="23">
      <t>イト</t>
    </rPh>
    <rPh sb="30" eb="31">
      <t>ガツ</t>
    </rPh>
    <rPh sb="32" eb="33">
      <t>ショウ</t>
    </rPh>
    <rPh sb="41" eb="42">
      <t>ショウ</t>
    </rPh>
    <rPh sb="48" eb="50">
      <t>オンド</t>
    </rPh>
    <rPh sb="54" eb="56">
      <t>セッテイ</t>
    </rPh>
    <rPh sb="57" eb="59">
      <t>シヨウ</t>
    </rPh>
    <rPh sb="62" eb="64">
      <t>ジカン</t>
    </rPh>
    <rPh sb="69" eb="70">
      <t>ヌ</t>
    </rPh>
    <rPh sb="75" eb="77">
      <t>デンキュウ</t>
    </rPh>
    <rPh sb="78" eb="80">
      <t>リヨウ</t>
    </rPh>
    <rPh sb="80" eb="81">
      <t>ナド</t>
    </rPh>
    <rPh sb="82" eb="85">
      <t>ジュウギョウイン</t>
    </rPh>
    <rPh sb="86" eb="88">
      <t>スイショウ</t>
    </rPh>
    <rPh sb="95" eb="98">
      <t>ジュウギョウイン</t>
    </rPh>
    <rPh sb="102" eb="103">
      <t>メイ</t>
    </rPh>
    <rPh sb="104" eb="105">
      <t>タイ</t>
    </rPh>
    <rPh sb="109" eb="111">
      <t>ゲツブン</t>
    </rPh>
    <rPh sb="112" eb="114">
      <t>カテイ</t>
    </rPh>
    <rPh sb="118" eb="120">
      <t>デンリョク</t>
    </rPh>
    <rPh sb="120" eb="122">
      <t>ショウヒ</t>
    </rPh>
    <rPh sb="128" eb="130">
      <t>ジッシ</t>
    </rPh>
    <rPh sb="132" eb="135">
      <t>ジュウギョウイン</t>
    </rPh>
    <rPh sb="139" eb="141">
      <t>ハイシュツ</t>
    </rPh>
    <rPh sb="141" eb="144">
      <t>ゲンタンイ</t>
    </rPh>
    <rPh sb="145" eb="147">
      <t>サクセイ</t>
    </rPh>
    <rPh sb="148" eb="149">
      <t>ゼン</t>
    </rPh>
    <rPh sb="149" eb="152">
      <t>ジュウギョウイン</t>
    </rPh>
    <rPh sb="157" eb="159">
      <t>ゲツブン</t>
    </rPh>
    <rPh sb="160" eb="162">
      <t>ハイシュツ</t>
    </rPh>
    <rPh sb="162" eb="163">
      <t>リョウ</t>
    </rPh>
    <rPh sb="164" eb="166">
      <t>スイケイ</t>
    </rPh>
    <phoneticPr fontId="3"/>
  </si>
  <si>
    <t>家庭における排出量/人</t>
    <rPh sb="0" eb="1">
      <t>カテイ</t>
    </rPh>
    <rPh sb="5" eb="7">
      <t>ハイシュツ</t>
    </rPh>
    <rPh sb="7" eb="8">
      <t>リョウ</t>
    </rPh>
    <rPh sb="10" eb="11">
      <t>ニン</t>
    </rPh>
    <phoneticPr fontId="3"/>
  </si>
  <si>
    <t>t-CO2
（3か月分）</t>
    <rPh sb="9" eb="11">
      <t>ゲツブン</t>
    </rPh>
    <phoneticPr fontId="3"/>
  </si>
  <si>
    <t>従業員数（パート・アルバイト含む）</t>
    <rPh sb="0" eb="2">
      <t>ジュウギョウイン</t>
    </rPh>
    <rPh sb="2" eb="3">
      <t>スウ</t>
    </rPh>
    <rPh sb="13" eb="14">
      <t>フク</t>
    </rPh>
    <phoneticPr fontId="3"/>
  </si>
  <si>
    <t>人</t>
    <rPh sb="0" eb="1">
      <t>ニン</t>
    </rPh>
    <phoneticPr fontId="3"/>
  </si>
  <si>
    <t>家庭での排出量
（チャレンジ期間）</t>
    <rPh sb="0" eb="1">
      <t>カテイ</t>
    </rPh>
    <rPh sb="3" eb="5">
      <t>ハイシュツ</t>
    </rPh>
    <rPh sb="5" eb="6">
      <t>リョウ</t>
    </rPh>
    <rPh sb="14" eb="16">
      <t>キカン</t>
    </rPh>
    <phoneticPr fontId="3"/>
  </si>
  <si>
    <t>算定対象範囲：
環境マネジメントシステムの対象範囲の従業員（バート、アルバイト含む）</t>
    <phoneticPr fontId="3"/>
  </si>
  <si>
    <t>L</t>
    <phoneticPr fontId="3"/>
  </si>
  <si>
    <t>K</t>
    <phoneticPr fontId="3"/>
  </si>
  <si>
    <t>J</t>
    <phoneticPr fontId="3"/>
  </si>
  <si>
    <t>I</t>
    <phoneticPr fontId="3"/>
  </si>
  <si>
    <t>H</t>
    <phoneticPr fontId="3"/>
  </si>
  <si>
    <t>G</t>
    <phoneticPr fontId="3"/>
  </si>
  <si>
    <t>F</t>
    <phoneticPr fontId="3"/>
  </si>
  <si>
    <t>E</t>
    <phoneticPr fontId="3"/>
  </si>
  <si>
    <t>D</t>
    <phoneticPr fontId="3"/>
  </si>
  <si>
    <t>C</t>
    <phoneticPr fontId="3"/>
  </si>
  <si>
    <t>B</t>
    <phoneticPr fontId="3"/>
  </si>
  <si>
    <t>A</t>
    <phoneticPr fontId="3"/>
  </si>
  <si>
    <t>1台当たり年間排出量　100 t-CO2/台
（自社のトラック由来排出量から作成）</t>
    <rPh sb="0" eb="1">
      <t>ダイ</t>
    </rPh>
    <rPh sb="1" eb="2">
      <t>ア</t>
    </rPh>
    <rPh sb="4" eb="6">
      <t>ネンカン</t>
    </rPh>
    <rPh sb="6" eb="8">
      <t>ハイシュツ</t>
    </rPh>
    <rPh sb="8" eb="9">
      <t>リョウ</t>
    </rPh>
    <rPh sb="21" eb="22">
      <t>ダイ</t>
    </rPh>
    <rPh sb="24" eb="26">
      <t>ジシャ</t>
    </rPh>
    <rPh sb="31" eb="33">
      <t>ユライ</t>
    </rPh>
    <rPh sb="33" eb="35">
      <t>ハイシュツ</t>
    </rPh>
    <rPh sb="35" eb="36">
      <t>リョウ</t>
    </rPh>
    <rPh sb="38" eb="40">
      <t>サクセイ</t>
    </rPh>
    <phoneticPr fontId="3"/>
  </si>
  <si>
    <t>賃貸している車両台数</t>
    <rPh sb="1" eb="2">
      <t>カシ</t>
    </rPh>
    <rPh sb="6" eb="8">
      <t>シャリョウ</t>
    </rPh>
    <rPh sb="8" eb="10">
      <t>ダイスウ</t>
    </rPh>
    <phoneticPr fontId="3"/>
  </si>
  <si>
    <t>車輌リース</t>
    <rPh sb="0" eb="1">
      <t>シャリョウ</t>
    </rPh>
    <phoneticPr fontId="3"/>
  </si>
  <si>
    <t>送り状のうち、自社で保管・廃棄する分を除いた、お客様控え分を対象とする。</t>
    <rPh sb="0" eb="1">
      <t>オク</t>
    </rPh>
    <rPh sb="2" eb="3">
      <t>ジョウ</t>
    </rPh>
    <rPh sb="7" eb="9">
      <t>ジシャ</t>
    </rPh>
    <rPh sb="10" eb="12">
      <t>ホカン</t>
    </rPh>
    <rPh sb="13" eb="15">
      <t>ハイキ</t>
    </rPh>
    <rPh sb="17" eb="18">
      <t>ブン</t>
    </rPh>
    <rPh sb="19" eb="20">
      <t>ノゾ</t>
    </rPh>
    <rPh sb="24" eb="26">
      <t>キャクサマ</t>
    </rPh>
    <rPh sb="26" eb="27">
      <t>ヒカ</t>
    </rPh>
    <rPh sb="28" eb="29">
      <t>ブン</t>
    </rPh>
    <rPh sb="30" eb="32">
      <t>タイショウ</t>
    </rPh>
    <phoneticPr fontId="3"/>
  </si>
  <si>
    <t>環境省DB[9]廃棄物種類別 紙くず</t>
    <rPh sb="0" eb="3">
      <t>カンキョウショウ</t>
    </rPh>
    <rPh sb="8" eb="11">
      <t>ハイキブツ</t>
    </rPh>
    <rPh sb="11" eb="13">
      <t>シュルイ</t>
    </rPh>
    <rPh sb="13" eb="14">
      <t>ベツ</t>
    </rPh>
    <rPh sb="15" eb="16">
      <t>カミ</t>
    </rPh>
    <phoneticPr fontId="3"/>
  </si>
  <si>
    <t>送り状 調達総数 150,000,000 式
送り状 お客様控え分 5 g/式
750[t]＝150,000,000[式]×0.000005 [t/式]</t>
    <rPh sb="1" eb="2">
      <t>ジョウ</t>
    </rPh>
    <rPh sb="3" eb="5">
      <t>チョウタツ</t>
    </rPh>
    <rPh sb="5" eb="7">
      <t>ソウスウ</t>
    </rPh>
    <rPh sb="20" eb="21">
      <t>シキ</t>
    </rPh>
    <rPh sb="22" eb="23">
      <t>オク</t>
    </rPh>
    <rPh sb="24" eb="25">
      <t>ジョウ</t>
    </rPh>
    <rPh sb="27" eb="29">
      <t>キャクサマ</t>
    </rPh>
    <rPh sb="29" eb="30">
      <t>ヒカ</t>
    </rPh>
    <rPh sb="31" eb="32">
      <t>ブン</t>
    </rPh>
    <rPh sb="37" eb="38">
      <t>シキ</t>
    </rPh>
    <rPh sb="58" eb="59">
      <t>シキ</t>
    </rPh>
    <rPh sb="73" eb="74">
      <t>シキ</t>
    </rPh>
    <phoneticPr fontId="3"/>
  </si>
  <si>
    <t>送り状</t>
    <rPh sb="1" eb="2">
      <t>ジョウ</t>
    </rPh>
    <phoneticPr fontId="3"/>
  </si>
  <si>
    <t>輸送後に回収しておりカテゴリ5に計上されているため、カテゴリ12では算定しない</t>
    <rPh sb="0" eb="2">
      <t>ユソウ</t>
    </rPh>
    <rPh sb="2" eb="3">
      <t>ゴ</t>
    </rPh>
    <rPh sb="4" eb="6">
      <t>カイシュウ</t>
    </rPh>
    <rPh sb="16" eb="18">
      <t>ケイジョウ</t>
    </rPh>
    <rPh sb="34" eb="36">
      <t>サンテイ</t>
    </rPh>
    <phoneticPr fontId="3"/>
  </si>
  <si>
    <t>段ボール</t>
    <phoneticPr fontId="3"/>
  </si>
  <si>
    <t>算定対象範囲：
環境マネジメントシステムの対象範囲の供給資材の廃棄</t>
    <rPh sb="26" eb="28">
      <t>キョウキュウ</t>
    </rPh>
    <rPh sb="28" eb="30">
      <t>シザイ</t>
    </rPh>
    <rPh sb="31" eb="33">
      <t>ハイキ</t>
    </rPh>
    <phoneticPr fontId="3"/>
  </si>
  <si>
    <t>使用時にエネルギーを要する製品の販売を行っていないため、算定対象外。</t>
    <rPh sb="0" eb="2">
      <t>シヨウ</t>
    </rPh>
    <rPh sb="2" eb="3">
      <t>ジ</t>
    </rPh>
    <rPh sb="10" eb="11">
      <t>ヨウ</t>
    </rPh>
    <rPh sb="13" eb="15">
      <t>セイヒン</t>
    </rPh>
    <rPh sb="16" eb="18">
      <t>ハンバイ</t>
    </rPh>
    <phoneticPr fontId="3"/>
  </si>
  <si>
    <t>加工を要する中間製品の販売を行っていないため、算定対象外。</t>
    <rPh sb="0" eb="2">
      <t>カコウ</t>
    </rPh>
    <rPh sb="3" eb="4">
      <t>ヨウ</t>
    </rPh>
    <rPh sb="6" eb="8">
      <t>チュウカン</t>
    </rPh>
    <rPh sb="8" eb="10">
      <t>セイヒン</t>
    </rPh>
    <rPh sb="11" eb="13">
      <t>ハンバイ</t>
    </rPh>
    <phoneticPr fontId="3"/>
  </si>
  <si>
    <t>該当する活動が無いため、算定対象外。</t>
    <rPh sb="0" eb="1">
      <t>ガイトウ</t>
    </rPh>
    <rPh sb="3" eb="5">
      <t>カツドウ</t>
    </rPh>
    <rPh sb="6" eb="7">
      <t>ナ</t>
    </rPh>
    <rPh sb="11" eb="13">
      <t>サンテイ</t>
    </rPh>
    <rPh sb="13" eb="15">
      <t>タイショウ</t>
    </rPh>
    <rPh sb="15" eb="16">
      <t>ガイ</t>
    </rPh>
    <phoneticPr fontId="3"/>
  </si>
  <si>
    <t>t-CO2/m2</t>
    <phoneticPr fontId="3"/>
  </si>
  <si>
    <t>m2</t>
    <phoneticPr fontId="3"/>
  </si>
  <si>
    <t>算定対象範囲：
環境マネジメントシステムの対象範囲の従業員（バート、アルバイト含む）</t>
    <phoneticPr fontId="3"/>
  </si>
  <si>
    <t>算定対象範囲：
環境マネジメントシステムの対象範囲の従業員（バート、アルバイト含む）</t>
    <rPh sb="26" eb="29">
      <t>ジュウギョウイン</t>
    </rPh>
    <rPh sb="39" eb="40">
      <t>フク</t>
    </rPh>
    <phoneticPr fontId="3"/>
  </si>
  <si>
    <t>オフィスごみ</t>
    <phoneticPr fontId="3"/>
  </si>
  <si>
    <t>段ボールごみの廃棄部処理について、「紙くず」の原単位を適用</t>
    <rPh sb="0" eb="1">
      <t>ダン</t>
    </rPh>
    <rPh sb="7" eb="9">
      <t>ハイキ</t>
    </rPh>
    <rPh sb="9" eb="10">
      <t>ブ</t>
    </rPh>
    <rPh sb="10" eb="12">
      <t>ショリ</t>
    </rPh>
    <rPh sb="18" eb="19">
      <t>カミ</t>
    </rPh>
    <rPh sb="23" eb="26">
      <t>ゲンタンイ</t>
    </rPh>
    <rPh sb="27" eb="29">
      <t>テキヨウ</t>
    </rPh>
    <phoneticPr fontId="3"/>
  </si>
  <si>
    <t>段ボールごみ</t>
    <rPh sb="0" eb="1">
      <t>ダン</t>
    </rPh>
    <phoneticPr fontId="3"/>
  </si>
  <si>
    <t>廃油</t>
    <rPh sb="0" eb="2">
      <t>ハイユ</t>
    </rPh>
    <phoneticPr fontId="261"/>
  </si>
  <si>
    <t>t</t>
    <phoneticPr fontId="3"/>
  </si>
  <si>
    <t>汚泥</t>
    <rPh sb="0" eb="2">
      <t>オデイ</t>
    </rPh>
    <phoneticPr fontId="261"/>
  </si>
  <si>
    <t>t</t>
    <phoneticPr fontId="3"/>
  </si>
  <si>
    <t>廃プラスティック類</t>
    <rPh sb="0" eb="1">
      <t>ハイ</t>
    </rPh>
    <rPh sb="8" eb="9">
      <t>ルイ</t>
    </rPh>
    <phoneticPr fontId="261"/>
  </si>
  <si>
    <t>輸送段階を含めて評価している。
なお、有価物に関しては、カテゴリ5の活動に該当しないため除外している。</t>
    <rPh sb="0" eb="2">
      <t>ユソウ</t>
    </rPh>
    <rPh sb="2" eb="4">
      <t>ダンカイ</t>
    </rPh>
    <rPh sb="5" eb="6">
      <t>フク</t>
    </rPh>
    <rPh sb="8" eb="10">
      <t>ヒョウカ</t>
    </rPh>
    <rPh sb="19" eb="22">
      <t>ユウカブツ</t>
    </rPh>
    <phoneticPr fontId="3"/>
  </si>
  <si>
    <t>算定対象範囲：
環境マネジメントシステムの対象範囲</t>
    <phoneticPr fontId="3"/>
  </si>
  <si>
    <t>業種別解説（物流業）より、「包装材・事務用品等を保管する倉庫（自社施設以外の場合）での保管・荷役」を算定する。同倉庫における占有面積等の情報が不明のため、輸送に伴う排出量との比を用いて推計。</t>
    <rPh sb="0" eb="2">
      <t>ギョウシュ</t>
    </rPh>
    <rPh sb="2" eb="3">
      <t>ベツ</t>
    </rPh>
    <rPh sb="3" eb="5">
      <t>カイセツ</t>
    </rPh>
    <rPh sb="6" eb="8">
      <t>ブツリュウ</t>
    </rPh>
    <rPh sb="8" eb="9">
      <t>ギョウ</t>
    </rPh>
    <rPh sb="50" eb="52">
      <t>サンテイ</t>
    </rPh>
    <rPh sb="55" eb="56">
      <t>ドウ</t>
    </rPh>
    <rPh sb="56" eb="58">
      <t>ソウコ</t>
    </rPh>
    <rPh sb="62" eb="64">
      <t>センユウ</t>
    </rPh>
    <rPh sb="64" eb="66">
      <t>メンセキ</t>
    </rPh>
    <rPh sb="66" eb="67">
      <t>ナド</t>
    </rPh>
    <rPh sb="68" eb="70">
      <t>ジョウホウ</t>
    </rPh>
    <rPh sb="71" eb="73">
      <t>フメイ</t>
    </rPh>
    <rPh sb="77" eb="79">
      <t>ユソウ</t>
    </rPh>
    <rPh sb="80" eb="81">
      <t>トモナ</t>
    </rPh>
    <rPh sb="82" eb="84">
      <t>ハイシュツ</t>
    </rPh>
    <rPh sb="84" eb="85">
      <t>リョウ</t>
    </rPh>
    <rPh sb="87" eb="88">
      <t>ヒ</t>
    </rPh>
    <rPh sb="89" eb="90">
      <t>モチ</t>
    </rPh>
    <rPh sb="92" eb="94">
      <t>スイケイ</t>
    </rPh>
    <phoneticPr fontId="3"/>
  </si>
  <si>
    <t>自社における倉庫と輸送の排出量の比
0.12＝(倉庫由来排出量）／（物流由来排出量）</t>
    <rPh sb="0" eb="2">
      <t>ジシャ</t>
    </rPh>
    <rPh sb="6" eb="8">
      <t>ソウコ</t>
    </rPh>
    <rPh sb="9" eb="11">
      <t>ユソウ</t>
    </rPh>
    <rPh sb="12" eb="14">
      <t>ハイシュツ</t>
    </rPh>
    <rPh sb="14" eb="15">
      <t>リョウ</t>
    </rPh>
    <rPh sb="16" eb="17">
      <t>ヒ</t>
    </rPh>
    <rPh sb="24" eb="26">
      <t>ソウコ</t>
    </rPh>
    <rPh sb="26" eb="28">
      <t>ユライ</t>
    </rPh>
    <rPh sb="28" eb="30">
      <t>ハイシュツ</t>
    </rPh>
    <rPh sb="30" eb="31">
      <t>リョウ</t>
    </rPh>
    <rPh sb="34" eb="36">
      <t>ブツリュウ</t>
    </rPh>
    <rPh sb="36" eb="38">
      <t>ユライ</t>
    </rPh>
    <rPh sb="38" eb="40">
      <t>ハイシュツ</t>
    </rPh>
    <rPh sb="40" eb="41">
      <t>リョウ</t>
    </rPh>
    <phoneticPr fontId="3"/>
  </si>
  <si>
    <t>-</t>
    <phoneticPr fontId="3"/>
  </si>
  <si>
    <t>調達物流（国内陸上輸送）由来排出量</t>
    <rPh sb="0" eb="2">
      <t>チョウタツ</t>
    </rPh>
    <rPh sb="2" eb="4">
      <t>ブツリュウ</t>
    </rPh>
    <rPh sb="5" eb="7">
      <t>コクナイ</t>
    </rPh>
    <rPh sb="7" eb="9">
      <t>リクジョウ</t>
    </rPh>
    <rPh sb="9" eb="11">
      <t>ユソウ</t>
    </rPh>
    <rPh sb="12" eb="14">
      <t>ユライ</t>
    </rPh>
    <rPh sb="14" eb="16">
      <t>ハイシュツ</t>
    </rPh>
    <rPh sb="16" eb="17">
      <t>リョウ</t>
    </rPh>
    <phoneticPr fontId="3"/>
  </si>
  <si>
    <t>t-CO2</t>
    <phoneticPr fontId="3"/>
  </si>
  <si>
    <t>保管・荷役</t>
    <phoneticPr fontId="3"/>
  </si>
  <si>
    <t>CFP-PCR策定のための分野別ガイド“工業製品（食料品以外）”の「輸送が陸運のみの場合」「県内に閉じることが確実な輸送の場合」を代用し、100km、10トントラック、積載率62%と想定
コピー用紙、事務用品は、明らかに少量のため除外した。</t>
    <rPh sb="34" eb="36">
      <t>ユソウ</t>
    </rPh>
    <rPh sb="37" eb="39">
      <t>リクウン</t>
    </rPh>
    <rPh sb="42" eb="44">
      <t>バアイ</t>
    </rPh>
    <rPh sb="47" eb="48">
      <t>ナイ</t>
    </rPh>
    <rPh sb="49" eb="50">
      <t>ト</t>
    </rPh>
    <rPh sb="55" eb="57">
      <t>カクジツ</t>
    </rPh>
    <rPh sb="98" eb="100">
      <t>ヨウシ</t>
    </rPh>
    <rPh sb="101" eb="103">
      <t>ジム</t>
    </rPh>
    <rPh sb="103" eb="105">
      <t>ヨウヒン</t>
    </rPh>
    <rPh sb="107" eb="108">
      <t>アキ</t>
    </rPh>
    <rPh sb="111" eb="113">
      <t>ショウリョウ</t>
    </rPh>
    <rPh sb="116" eb="118">
      <t>ジョガイ</t>
    </rPh>
    <phoneticPr fontId="3"/>
  </si>
  <si>
    <t>t-CO2/tkm</t>
    <phoneticPr fontId="3"/>
  </si>
  <si>
    <t>段ボール、消耗品等の調達金額
段ボール金額あたり重量　2.50 t/百万円
タイヤチューブ金額あたり重量　4.50 t/百万円
その他消耗品金額あたり重量　2.00 t/百万円
輸送距離 100km</t>
    <rPh sb="0" eb="1">
      <t>ダン</t>
    </rPh>
    <rPh sb="5" eb="7">
      <t>ショウモウ</t>
    </rPh>
    <rPh sb="7" eb="8">
      <t>ヒン</t>
    </rPh>
    <rPh sb="8" eb="9">
      <t>ナド</t>
    </rPh>
    <rPh sb="10" eb="12">
      <t>チョウタツ</t>
    </rPh>
    <rPh sb="12" eb="14">
      <t>キンガク</t>
    </rPh>
    <rPh sb="15" eb="16">
      <t>ダン</t>
    </rPh>
    <rPh sb="19" eb="21">
      <t>キンガク</t>
    </rPh>
    <rPh sb="24" eb="26">
      <t>ジュウリョウ</t>
    </rPh>
    <rPh sb="34" eb="37">
      <t>ヒャクマンエン</t>
    </rPh>
    <rPh sb="45" eb="47">
      <t>キンガク</t>
    </rPh>
    <rPh sb="50" eb="52">
      <t>ジュウリョウ</t>
    </rPh>
    <rPh sb="60" eb="63">
      <t>ヒャクマンエン</t>
    </rPh>
    <rPh sb="66" eb="67">
      <t>タ</t>
    </rPh>
    <rPh sb="67" eb="69">
      <t>ショウモウ</t>
    </rPh>
    <rPh sb="69" eb="70">
      <t>ヒン</t>
    </rPh>
    <rPh sb="70" eb="72">
      <t>キンガク</t>
    </rPh>
    <rPh sb="75" eb="77">
      <t>ジュウリョウ</t>
    </rPh>
    <rPh sb="85" eb="88">
      <t>ヒャクマンエン</t>
    </rPh>
    <rPh sb="89" eb="91">
      <t>ユソウ</t>
    </rPh>
    <rPh sb="91" eb="93">
      <t>キョリ</t>
    </rPh>
    <phoneticPr fontId="3"/>
  </si>
  <si>
    <t>tkm</t>
    <phoneticPr fontId="3"/>
  </si>
  <si>
    <t>調達物流（国内陸上輸送）</t>
    <rPh sb="0" eb="2">
      <t>チョウタツ</t>
    </rPh>
    <rPh sb="2" eb="4">
      <t>ブツリュウ</t>
    </rPh>
    <rPh sb="5" eb="7">
      <t>コクナイ</t>
    </rPh>
    <rPh sb="7" eb="9">
      <t>リクジョウ</t>
    </rPh>
    <rPh sb="9" eb="11">
      <t>ユソウ</t>
    </rPh>
    <phoneticPr fontId="3"/>
  </si>
  <si>
    <t>kg-CO2/MJ</t>
    <phoneticPr fontId="3"/>
  </si>
  <si>
    <t>ＧＪ</t>
    <phoneticPr fontId="3"/>
  </si>
  <si>
    <t>t-CO2/MWh</t>
    <phoneticPr fontId="3"/>
  </si>
  <si>
    <t>MWh</t>
    <phoneticPr fontId="3"/>
  </si>
  <si>
    <t>環境省DB[6]「倉庫」</t>
    <rPh sb="0" eb="3">
      <t>カンキョウショウ</t>
    </rPh>
    <rPh sb="9" eb="11">
      <t>ソウコ</t>
    </rPh>
    <phoneticPr fontId="3"/>
  </si>
  <si>
    <t>倉庫</t>
    <rPh sb="0" eb="2">
      <t>ソウコ</t>
    </rPh>
    <phoneticPr fontId="3"/>
  </si>
  <si>
    <t>環境省DB[6]「道路輸送（除自家輸送）」</t>
    <rPh sb="0" eb="3">
      <t>カンキョウショウ</t>
    </rPh>
    <rPh sb="9" eb="11">
      <t>ドウロ</t>
    </rPh>
    <rPh sb="11" eb="13">
      <t>ユソウ</t>
    </rPh>
    <rPh sb="14" eb="15">
      <t>ジョ</t>
    </rPh>
    <rPh sb="15" eb="17">
      <t>ジカ</t>
    </rPh>
    <rPh sb="17" eb="19">
      <t>ユソウ</t>
    </rPh>
    <phoneticPr fontId="3"/>
  </si>
  <si>
    <t>t-CO2/百万円</t>
    <phoneticPr fontId="3"/>
  </si>
  <si>
    <t>輸送</t>
    <rPh sb="0" eb="2">
      <t>ユソウ</t>
    </rPh>
    <phoneticPr fontId="3"/>
  </si>
  <si>
    <t>環境省DB[5]「自動車修理」</t>
  </si>
  <si>
    <t>営業費</t>
    <rPh sb="0" eb="3">
      <t>エイギョウヒ</t>
    </rPh>
    <phoneticPr fontId="3"/>
  </si>
  <si>
    <t>保守料</t>
    <phoneticPr fontId="3"/>
  </si>
  <si>
    <t>環境省DB[5]「事務用品」</t>
  </si>
  <si>
    <t>事務用品</t>
    <phoneticPr fontId="3"/>
  </si>
  <si>
    <t>環境省DB[5]「航空輸送」</t>
    <rPh sb="9" eb="11">
      <t>コウクウ</t>
    </rPh>
    <rPh sb="11" eb="13">
      <t>ユソウ</t>
    </rPh>
    <phoneticPr fontId="3"/>
  </si>
  <si>
    <t>外注費</t>
  </si>
  <si>
    <t>利用輸送費（航空）</t>
    <rPh sb="0" eb="2">
      <t>リヨウ</t>
    </rPh>
    <rPh sb="2" eb="5">
      <t>ユソウヒ</t>
    </rPh>
    <rPh sb="6" eb="8">
      <t>コウクウ</t>
    </rPh>
    <phoneticPr fontId="3"/>
  </si>
  <si>
    <t>環境省DB[5]「沿海・内水面輸送」</t>
    <rPh sb="9" eb="11">
      <t>エンカイ</t>
    </rPh>
    <rPh sb="12" eb="15">
      <t>ナイスイメン</t>
    </rPh>
    <rPh sb="15" eb="17">
      <t>ユソウ</t>
    </rPh>
    <phoneticPr fontId="3"/>
  </si>
  <si>
    <t>利用輸送費（海運）</t>
    <rPh sb="0" eb="2">
      <t>リヨウ</t>
    </rPh>
    <rPh sb="2" eb="5">
      <t>ユソウヒ</t>
    </rPh>
    <rPh sb="6" eb="8">
      <t>カイウン</t>
    </rPh>
    <phoneticPr fontId="3"/>
  </si>
  <si>
    <t>環境省DB[5]「鉄道貨物輸送」</t>
    <rPh sb="9" eb="11">
      <t>テツドウ</t>
    </rPh>
    <rPh sb="11" eb="13">
      <t>カモツ</t>
    </rPh>
    <rPh sb="13" eb="15">
      <t>ユソウ</t>
    </rPh>
    <phoneticPr fontId="3"/>
  </si>
  <si>
    <t>利用輸送費（鉄道）</t>
    <rPh sb="2" eb="4">
      <t>ユソウ</t>
    </rPh>
    <rPh sb="6" eb="8">
      <t>テツドウ</t>
    </rPh>
    <phoneticPr fontId="3"/>
  </si>
  <si>
    <t>下請（航空輸送）</t>
    <rPh sb="0" eb="2">
      <t>シタウ</t>
    </rPh>
    <rPh sb="3" eb="5">
      <t>コウクウ</t>
    </rPh>
    <rPh sb="5" eb="7">
      <t>ユソウ</t>
    </rPh>
    <phoneticPr fontId="3"/>
  </si>
  <si>
    <t>下請（海運輸送）</t>
    <rPh sb="0" eb="2">
      <t>シタウ</t>
    </rPh>
    <rPh sb="3" eb="5">
      <t>カイウン</t>
    </rPh>
    <rPh sb="5" eb="7">
      <t>ユソウ</t>
    </rPh>
    <phoneticPr fontId="3"/>
  </si>
  <si>
    <t>業種別解説（物流業）より、外部に委託しているサービスのうち、顧客に販売するサービスの一部を構成しない物流（購入物品の調達物流等）についてはカテゴリ4の対象範囲とするため、本活動量から除いている</t>
    <rPh sb="0" eb="2">
      <t>ギョウシュ</t>
    </rPh>
    <rPh sb="2" eb="3">
      <t>ベツ</t>
    </rPh>
    <rPh sb="3" eb="5">
      <t>カイセツ</t>
    </rPh>
    <rPh sb="6" eb="8">
      <t>ブツリュウ</t>
    </rPh>
    <rPh sb="8" eb="9">
      <t>ギョウ</t>
    </rPh>
    <rPh sb="13" eb="15">
      <t>ガイブ</t>
    </rPh>
    <rPh sb="16" eb="18">
      <t>イタク</t>
    </rPh>
    <rPh sb="30" eb="32">
      <t>コキャク</t>
    </rPh>
    <rPh sb="33" eb="35">
      <t>ハンバイ</t>
    </rPh>
    <rPh sb="42" eb="44">
      <t>イチブ</t>
    </rPh>
    <rPh sb="45" eb="47">
      <t>コウセイ</t>
    </rPh>
    <rPh sb="50" eb="52">
      <t>ブツリュウ</t>
    </rPh>
    <rPh sb="53" eb="55">
      <t>コウニュウ</t>
    </rPh>
    <rPh sb="55" eb="57">
      <t>ブッピン</t>
    </rPh>
    <rPh sb="58" eb="60">
      <t>チョウタツ</t>
    </rPh>
    <rPh sb="60" eb="63">
      <t>ブツリュウトウ</t>
    </rPh>
    <rPh sb="75" eb="77">
      <t>タイショウ</t>
    </rPh>
    <rPh sb="77" eb="79">
      <t>ハンイ</t>
    </rPh>
    <rPh sb="85" eb="86">
      <t>ホン</t>
    </rPh>
    <rPh sb="86" eb="88">
      <t>カツドウ</t>
    </rPh>
    <rPh sb="88" eb="89">
      <t>リョウ</t>
    </rPh>
    <rPh sb="91" eb="92">
      <t>ノゾ</t>
    </rPh>
    <phoneticPr fontId="3"/>
  </si>
  <si>
    <t>環境省DB[5]「道路貨物輸送（除自家輸送）」</t>
    <rPh sb="16" eb="17">
      <t>ノゾ</t>
    </rPh>
    <rPh sb="17" eb="19">
      <t>ジカ</t>
    </rPh>
    <rPh sb="19" eb="21">
      <t>ユソウ</t>
    </rPh>
    <phoneticPr fontId="3"/>
  </si>
  <si>
    <t>下請（トラック輸送）</t>
    <rPh sb="0" eb="2">
      <t>シタウ</t>
    </rPh>
    <rPh sb="7" eb="9">
      <t>ユソウ</t>
    </rPh>
    <phoneticPr fontId="3"/>
  </si>
  <si>
    <t>下請（鉄道輸送）</t>
    <rPh sb="0" eb="2">
      <t>シタウケ</t>
    </rPh>
    <rPh sb="3" eb="5">
      <t>テツドウ</t>
    </rPh>
    <rPh sb="5" eb="7">
      <t>ユソウ</t>
    </rPh>
    <phoneticPr fontId="3"/>
  </si>
  <si>
    <t>環境省DB[5]「損害保険」</t>
  </si>
  <si>
    <t>事業運営費</t>
  </si>
  <si>
    <t>保険料</t>
  </si>
  <si>
    <t>修繕費 車検費</t>
    <phoneticPr fontId="3"/>
  </si>
  <si>
    <t>修繕費 自動車</t>
  </si>
  <si>
    <t>主として送り状やチラシなどの紙類のため、「印刷・製版・製本」の原単位を用いる</t>
    <rPh sb="0" eb="1">
      <t>オモ</t>
    </rPh>
    <rPh sb="4" eb="5">
      <t>オク</t>
    </rPh>
    <rPh sb="6" eb="7">
      <t>ジョウ</t>
    </rPh>
    <rPh sb="14" eb="16">
      <t>カミルイ</t>
    </rPh>
    <rPh sb="21" eb="23">
      <t>インサツ</t>
    </rPh>
    <rPh sb="24" eb="26">
      <t>セイハン</t>
    </rPh>
    <rPh sb="27" eb="29">
      <t>セイホン</t>
    </rPh>
    <rPh sb="31" eb="34">
      <t>ゲンタンイ</t>
    </rPh>
    <rPh sb="35" eb="36">
      <t>モチ</t>
    </rPh>
    <phoneticPr fontId="3"/>
  </si>
  <si>
    <t>環境省DB[5]「印刷・製版・製本」</t>
  </si>
  <si>
    <t>チラシ等</t>
    <rPh sb="3" eb="4">
      <t>ナド</t>
    </rPh>
    <phoneticPr fontId="3"/>
  </si>
  <si>
    <t>環境省DB[5]「タイヤ・チューブ」</t>
  </si>
  <si>
    <t>タイヤ</t>
    <phoneticPr fontId="3"/>
  </si>
  <si>
    <t>主として段ボール箱のため、「段ボール箱」の原単位を用いる</t>
    <rPh sb="0" eb="1">
      <t>シュ</t>
    </rPh>
    <rPh sb="4" eb="5">
      <t>ダン</t>
    </rPh>
    <rPh sb="8" eb="9">
      <t>バコ</t>
    </rPh>
    <rPh sb="14" eb="15">
      <t>ダン</t>
    </rPh>
    <rPh sb="18" eb="19">
      <t>バコ</t>
    </rPh>
    <rPh sb="21" eb="24">
      <t>ゲンタンイ</t>
    </rPh>
    <rPh sb="25" eb="26">
      <t>モチ</t>
    </rPh>
    <phoneticPr fontId="3"/>
  </si>
  <si>
    <t>環境省DB[5]「段ボール箱」</t>
  </si>
  <si>
    <t>荷造材料</t>
    <phoneticPr fontId="3"/>
  </si>
  <si>
    <t>環境省DB[5]「織物性衣服」</t>
    <rPh sb="9" eb="11">
      <t>オリモノ</t>
    </rPh>
    <rPh sb="11" eb="12">
      <t>セイ</t>
    </rPh>
    <phoneticPr fontId="3"/>
  </si>
  <si>
    <t>ユニフォーム</t>
    <phoneticPr fontId="3"/>
  </si>
  <si>
    <t>算定対象範囲：
環境マネジメントシステムの対象範囲</t>
    <phoneticPr fontId="3"/>
  </si>
  <si>
    <t>トラック輸送を主とする各種輸送、保管に関わる事業を運営する運輸会社。</t>
    <rPh sb="4" eb="6">
      <t>ユソウ</t>
    </rPh>
    <rPh sb="7" eb="8">
      <t>オモ</t>
    </rPh>
    <rPh sb="11" eb="13">
      <t>カクシュ</t>
    </rPh>
    <rPh sb="13" eb="15">
      <t>ユソウ</t>
    </rPh>
    <rPh sb="16" eb="18">
      <t>ホカン</t>
    </rPh>
    <rPh sb="19" eb="20">
      <t>カカ</t>
    </rPh>
    <rPh sb="22" eb="24">
      <t>ジギョウ</t>
    </rPh>
    <rPh sb="25" eb="27">
      <t>ウンエイ</t>
    </rPh>
    <rPh sb="29" eb="31">
      <t>ウンユ</t>
    </rPh>
    <rPh sb="31" eb="33">
      <t>ガイシャ</t>
    </rPh>
    <phoneticPr fontId="3"/>
  </si>
  <si>
    <t>■想定した物流業の事業イメージ</t>
    <rPh sb="1" eb="3">
      <t>ソウテイ</t>
    </rPh>
    <rPh sb="5" eb="7">
      <t>ブツリュウ</t>
    </rPh>
    <rPh sb="7" eb="8">
      <t>ギョウ</t>
    </rPh>
    <rPh sb="9" eb="11">
      <t>ジギョウ</t>
    </rPh>
    <phoneticPr fontId="3"/>
  </si>
  <si>
    <t>主要自動販売機製造メーカーHPより１台当りの年間消費電力量は、平均的なもので、1,500kWh/年</t>
    <rPh sb="0" eb="2">
      <t>シュヨウ</t>
    </rPh>
    <rPh sb="2" eb="4">
      <t>ジドウ</t>
    </rPh>
    <rPh sb="4" eb="7">
      <t>ハンバイキ</t>
    </rPh>
    <rPh sb="7" eb="9">
      <t>セイゾウ</t>
    </rPh>
    <phoneticPr fontId="3"/>
  </si>
  <si>
    <t>自動販売機1台当たり年間排出量[t-CO2/台]
算定報告公表制度 電気事業者別排出係数－平成26年度実績－ 代替値（0.000579 t-CO2/kWh）を使用</t>
    <rPh sb="0" eb="2">
      <t>ジドウ</t>
    </rPh>
    <rPh sb="2" eb="4">
      <t>ハンバイ</t>
    </rPh>
    <rPh sb="4" eb="5">
      <t>キ</t>
    </rPh>
    <rPh sb="6" eb="7">
      <t>ダイ</t>
    </rPh>
    <rPh sb="7" eb="8">
      <t>ア</t>
    </rPh>
    <rPh sb="10" eb="12">
      <t>ネンカン</t>
    </rPh>
    <rPh sb="12" eb="14">
      <t>ハイシュツ</t>
    </rPh>
    <rPh sb="14" eb="15">
      <t>リョウ</t>
    </rPh>
    <rPh sb="22" eb="23">
      <t>ダイ</t>
    </rPh>
    <rPh sb="25" eb="27">
      <t>サンテイ</t>
    </rPh>
    <rPh sb="27" eb="29">
      <t>ホウコク</t>
    </rPh>
    <rPh sb="29" eb="31">
      <t>コウヒョウ</t>
    </rPh>
    <rPh sb="31" eb="33">
      <t>セイド</t>
    </rPh>
    <rPh sb="34" eb="36">
      <t>デンキ</t>
    </rPh>
    <rPh sb="36" eb="39">
      <t>ジギョウシャ</t>
    </rPh>
    <rPh sb="39" eb="40">
      <t>ベツ</t>
    </rPh>
    <rPh sb="40" eb="42">
      <t>ハイシュツ</t>
    </rPh>
    <rPh sb="42" eb="44">
      <t>ケイスウ</t>
    </rPh>
    <rPh sb="45" eb="47">
      <t>ヘイセイ</t>
    </rPh>
    <rPh sb="49" eb="51">
      <t>ネンド</t>
    </rPh>
    <rPh sb="51" eb="53">
      <t>ジッセキ</t>
    </rPh>
    <rPh sb="55" eb="57">
      <t>ダイタイ</t>
    </rPh>
    <rPh sb="57" eb="58">
      <t>アタイ</t>
    </rPh>
    <rPh sb="79" eb="81">
      <t>シヨウ</t>
    </rPh>
    <phoneticPr fontId="3"/>
  </si>
  <si>
    <t>自販機の設置台数（2014年度プレスリリース）</t>
    <rPh sb="13" eb="15">
      <t>ネンド</t>
    </rPh>
    <phoneticPr fontId="3"/>
  </si>
  <si>
    <t>自販機の電力消費</t>
    <rPh sb="0" eb="3">
      <t>ジハンキ</t>
    </rPh>
    <rPh sb="4" eb="6">
      <t>デンリョク</t>
    </rPh>
    <rPh sb="6" eb="8">
      <t>ショウヒ</t>
    </rPh>
    <phoneticPr fontId="3"/>
  </si>
  <si>
    <t>算定対象範囲：
環境マネジメントシステムの対象範囲が保有する賃貸している自動販売機が対象</t>
    <rPh sb="30" eb="32">
      <t>チンタイ</t>
    </rPh>
    <rPh sb="36" eb="38">
      <t>ジドウ</t>
    </rPh>
    <rPh sb="38" eb="41">
      <t>ハンバイキ</t>
    </rPh>
    <rPh sb="42" eb="44">
      <t>タイショウ</t>
    </rPh>
    <phoneticPr fontId="3"/>
  </si>
  <si>
    <t>売上比率</t>
    <rPh sb="0" eb="2">
      <t>ウリアゲ</t>
    </rPh>
    <rPh sb="2" eb="4">
      <t>ヒリツ</t>
    </rPh>
    <phoneticPr fontId="3"/>
  </si>
  <si>
    <t>%</t>
    <phoneticPr fontId="3"/>
  </si>
  <si>
    <t>中核会社のカテゴリ12排出量の和</t>
    <rPh sb="0" eb="2">
      <t>チュウカク</t>
    </rPh>
    <rPh sb="2" eb="4">
      <t>カイシャ</t>
    </rPh>
    <rPh sb="11" eb="13">
      <t>ハイシュツ</t>
    </rPh>
    <rPh sb="13" eb="14">
      <t>リョウ</t>
    </rPh>
    <rPh sb="15" eb="16">
      <t>ワ</t>
    </rPh>
    <phoneticPr fontId="3"/>
  </si>
  <si>
    <t>t-CO2</t>
    <phoneticPr fontId="3"/>
  </si>
  <si>
    <t>環境省DB[9]紙くず</t>
    <rPh sb="0" eb="3">
      <t>カンキョウショウ</t>
    </rPh>
    <rPh sb="8" eb="9">
      <t>カミ</t>
    </rPh>
    <phoneticPr fontId="3"/>
  </si>
  <si>
    <t>板紙</t>
    <rPh sb="0" eb="1">
      <t>イタ</t>
    </rPh>
    <rPh sb="1" eb="2">
      <t>カミ</t>
    </rPh>
    <phoneticPr fontId="2"/>
  </si>
  <si>
    <t>販売実績</t>
    <phoneticPr fontId="3"/>
  </si>
  <si>
    <t>段ボール</t>
    <rPh sb="0" eb="1">
      <t>ダン</t>
    </rPh>
    <phoneticPr fontId="2"/>
  </si>
  <si>
    <t>環境省DB[9]金属くず</t>
    <rPh sb="0" eb="3">
      <t>カンキョウショウ</t>
    </rPh>
    <rPh sb="8" eb="10">
      <t>キンゾク</t>
    </rPh>
    <phoneticPr fontId="3"/>
  </si>
  <si>
    <t>スチール缶</t>
    <rPh sb="4" eb="5">
      <t>カン</t>
    </rPh>
    <phoneticPr fontId="2"/>
  </si>
  <si>
    <t>アルミ缶</t>
    <rPh sb="3" eb="4">
      <t>カン</t>
    </rPh>
    <phoneticPr fontId="2"/>
  </si>
  <si>
    <t>王冠</t>
    <rPh sb="0" eb="2">
      <t>オウカン</t>
    </rPh>
    <phoneticPr fontId="2"/>
  </si>
  <si>
    <t>ラベル</t>
  </si>
  <si>
    <t>容器包装リサイクル法の再商品化義務の対象であるため、リサイクルとする</t>
    <rPh sb="0" eb="2">
      <t>ヨウキ</t>
    </rPh>
    <rPh sb="2" eb="4">
      <t>ホウソウ</t>
    </rPh>
    <rPh sb="9" eb="10">
      <t>ホウ</t>
    </rPh>
    <rPh sb="11" eb="15">
      <t>サイショウヒンカ</t>
    </rPh>
    <rPh sb="15" eb="17">
      <t>ギム</t>
    </rPh>
    <rPh sb="18" eb="20">
      <t>タイショウ</t>
    </rPh>
    <phoneticPr fontId="3"/>
  </si>
  <si>
    <t>びん</t>
  </si>
  <si>
    <t>算定対象範囲：
環境マネジメントシステムの対象範囲の主要製品について算定、ただしグループ会社については、売上比率から推計</t>
    <phoneticPr fontId="3"/>
  </si>
  <si>
    <t>中核会社のカテゴリ11排出量の和</t>
    <rPh sb="0" eb="2">
      <t>チュウカク</t>
    </rPh>
    <rPh sb="2" eb="4">
      <t>カイシャ</t>
    </rPh>
    <rPh sb="11" eb="13">
      <t>ハイシュツ</t>
    </rPh>
    <rPh sb="13" eb="14">
      <t>リョウ</t>
    </rPh>
    <rPh sb="15" eb="16">
      <t>ワ</t>
    </rPh>
    <phoneticPr fontId="3"/>
  </si>
  <si>
    <t>CFP PCR「ビール類」家庭の冷蔵シナリオ</t>
    <rPh sb="11" eb="12">
      <t>ルイ</t>
    </rPh>
    <rPh sb="13" eb="15">
      <t>カテイ</t>
    </rPh>
    <rPh sb="16" eb="18">
      <t>レイゾウ</t>
    </rPh>
    <phoneticPr fontId="3"/>
  </si>
  <si>
    <t>kL</t>
    <phoneticPr fontId="3"/>
  </si>
  <si>
    <t>缶ビール飲食店</t>
    <rPh sb="0" eb="1">
      <t>カン</t>
    </rPh>
    <rPh sb="4" eb="6">
      <t>インショク</t>
    </rPh>
    <rPh sb="6" eb="7">
      <t>テン</t>
    </rPh>
    <phoneticPr fontId="3"/>
  </si>
  <si>
    <t>CFP PCR「ビール類」飲食店の冷蔵シナリオ</t>
    <rPh sb="11" eb="12">
      <t>ルイ</t>
    </rPh>
    <rPh sb="13" eb="15">
      <t>インショク</t>
    </rPh>
    <rPh sb="15" eb="16">
      <t>テン</t>
    </rPh>
    <rPh sb="17" eb="19">
      <t>レイゾウ</t>
    </rPh>
    <phoneticPr fontId="3"/>
  </si>
  <si>
    <t>樽ビール飲食店</t>
    <rPh sb="0" eb="1">
      <t>タル</t>
    </rPh>
    <rPh sb="4" eb="6">
      <t>インショク</t>
    </rPh>
    <rPh sb="6" eb="7">
      <t>テン</t>
    </rPh>
    <phoneticPr fontId="3"/>
  </si>
  <si>
    <t>びんビール、樽ビールは店舗向け、缶ビールは家庭向けと想定し、シナリオを選定。なお、電力の排出原単位は、算定報告公表制度の電気事業者別排出係数の代替値 0.55kg-CO2/kWhを適用。</t>
    <rPh sb="6" eb="7">
      <t>タル</t>
    </rPh>
    <rPh sb="11" eb="13">
      <t>テンポ</t>
    </rPh>
    <rPh sb="13" eb="14">
      <t>ム</t>
    </rPh>
    <rPh sb="16" eb="17">
      <t>カン</t>
    </rPh>
    <rPh sb="21" eb="23">
      <t>カテイ</t>
    </rPh>
    <rPh sb="23" eb="24">
      <t>ム</t>
    </rPh>
    <rPh sb="26" eb="28">
      <t>ソウテイ</t>
    </rPh>
    <rPh sb="35" eb="37">
      <t>センテイ</t>
    </rPh>
    <rPh sb="41" eb="43">
      <t>デンリョク</t>
    </rPh>
    <rPh sb="44" eb="46">
      <t>ハイシュツ</t>
    </rPh>
    <rPh sb="46" eb="49">
      <t>ゲンタンイ</t>
    </rPh>
    <rPh sb="90" eb="92">
      <t>テキヨウ</t>
    </rPh>
    <phoneticPr fontId="3"/>
  </si>
  <si>
    <t>t-CO2/KL</t>
    <phoneticPr fontId="3"/>
  </si>
  <si>
    <t>びんビール飲食店</t>
    <rPh sb="5" eb="7">
      <t>インショク</t>
    </rPh>
    <rPh sb="7" eb="8">
      <t>テン</t>
    </rPh>
    <phoneticPr fontId="3"/>
  </si>
  <si>
    <t>算定対象範囲：
環境マネジメントシステムの対象範囲の主要製品について算定、ただしグループ会社については、売上比率から推計</t>
    <rPh sb="26" eb="28">
      <t>シュヨウ</t>
    </rPh>
    <rPh sb="28" eb="30">
      <t>セイヒン</t>
    </rPh>
    <rPh sb="34" eb="36">
      <t>サンテイ</t>
    </rPh>
    <phoneticPr fontId="3"/>
  </si>
  <si>
    <t>当社が提供する製品は、そのままお客様に消費される飲料や食品であり、中間材はない。従って、スコープ3（販売した製品の加工）はゼロまたは、無視できるほど小さいと判断。</t>
    <rPh sb="1" eb="2">
      <t>シャ</t>
    </rPh>
    <phoneticPr fontId="3"/>
  </si>
  <si>
    <t>scope1,2排出量と温対法の報告値で算定結果に乖離が生じないよう、バッファに当たる営業車両はカテゴリ8に計上することとした</t>
    <rPh sb="8" eb="10">
      <t>ハイシュツ</t>
    </rPh>
    <rPh sb="10" eb="11">
      <t>リョウ</t>
    </rPh>
    <rPh sb="12" eb="13">
      <t>アツシ</t>
    </rPh>
    <rPh sb="13" eb="14">
      <t>タイ</t>
    </rPh>
    <rPh sb="14" eb="15">
      <t>ホウ</t>
    </rPh>
    <rPh sb="16" eb="18">
      <t>ホウコク</t>
    </rPh>
    <rPh sb="18" eb="19">
      <t>アタイ</t>
    </rPh>
    <rPh sb="20" eb="22">
      <t>サンテイ</t>
    </rPh>
    <rPh sb="22" eb="24">
      <t>ケッカ</t>
    </rPh>
    <rPh sb="25" eb="27">
      <t>カイリ</t>
    </rPh>
    <rPh sb="28" eb="29">
      <t>ショウ</t>
    </rPh>
    <rPh sb="40" eb="41">
      <t>ア</t>
    </rPh>
    <rPh sb="43" eb="45">
      <t>エイギョウ</t>
    </rPh>
    <rPh sb="45" eb="47">
      <t>シャリョウ</t>
    </rPh>
    <rPh sb="54" eb="56">
      <t>ケイジョウ</t>
    </rPh>
    <phoneticPr fontId="3"/>
  </si>
  <si>
    <t>中核会社のカテゴリ9排出量の和</t>
    <rPh sb="0" eb="2">
      <t>チュウカク</t>
    </rPh>
    <rPh sb="2" eb="4">
      <t>カイシャ</t>
    </rPh>
    <rPh sb="10" eb="12">
      <t>ハイシュツ</t>
    </rPh>
    <rPh sb="12" eb="13">
      <t>リョウ</t>
    </rPh>
    <rPh sb="14" eb="15">
      <t>ワ</t>
    </rPh>
    <phoneticPr fontId="3"/>
  </si>
  <si>
    <t>グループ会社（推計）</t>
    <rPh sb="3" eb="5">
      <t>ガイシャ</t>
    </rPh>
    <rPh sb="7" eb="9">
      <t>スイケイ</t>
    </rPh>
    <phoneticPr fontId="3"/>
  </si>
  <si>
    <t>カテゴリ9では問屋以降の問屋～小売店・消費母体までの輸送を対象にする。
CFP PCR「ビール類」の輸送シナリオ「県内に閉じることが確実な場合」を採用（輸送距離100km、積載率62%、4tトラック）。</t>
    <rPh sb="9" eb="11">
      <t>イコウ</t>
    </rPh>
    <rPh sb="12" eb="14">
      <t>トンヤ</t>
    </rPh>
    <rPh sb="15" eb="17">
      <t>コウリ</t>
    </rPh>
    <rPh sb="17" eb="18">
      <t>テン</t>
    </rPh>
    <rPh sb="19" eb="21">
      <t>ショウヒ</t>
    </rPh>
    <rPh sb="21" eb="23">
      <t>ボタイ</t>
    </rPh>
    <rPh sb="47" eb="48">
      <t>ルイ</t>
    </rPh>
    <rPh sb="50" eb="52">
      <t>ユソウ</t>
    </rPh>
    <rPh sb="57" eb="59">
      <t>ケンナイ</t>
    </rPh>
    <rPh sb="60" eb="61">
      <t>ト</t>
    </rPh>
    <rPh sb="66" eb="68">
      <t>カクジツ</t>
    </rPh>
    <rPh sb="69" eb="71">
      <t>バアイ</t>
    </rPh>
    <rPh sb="73" eb="75">
      <t>サイヨウ</t>
    </rPh>
    <rPh sb="76" eb="78">
      <t>ユソウ</t>
    </rPh>
    <phoneticPr fontId="3"/>
  </si>
  <si>
    <t>CFP DB B-JP525031
「トラック輸送（4トン車：積載率62%）」</t>
    <phoneticPr fontId="3"/>
  </si>
  <si>
    <t>t-CO2/tkm</t>
    <phoneticPr fontId="3"/>
  </si>
  <si>
    <t>出荷実績 1,000,000 t
輸送距離100km</t>
    <rPh sb="2" eb="4">
      <t>ジッセキ</t>
    </rPh>
    <rPh sb="17" eb="19">
      <t>ユソウ</t>
    </rPh>
    <rPh sb="19" eb="21">
      <t>キョリ</t>
    </rPh>
    <phoneticPr fontId="3"/>
  </si>
  <si>
    <t>tkm</t>
    <phoneticPr fontId="3"/>
  </si>
  <si>
    <t>問屋～小売店
消費母体までの運送</t>
    <rPh sb="0" eb="1">
      <t>トンヤ</t>
    </rPh>
    <rPh sb="2" eb="4">
      <t>コウリ</t>
    </rPh>
    <rPh sb="4" eb="5">
      <t>テン</t>
    </rPh>
    <rPh sb="7" eb="9">
      <t>ショウヒ</t>
    </rPh>
    <rPh sb="8" eb="10">
      <t>ボタイ</t>
    </rPh>
    <rPh sb="13" eb="15">
      <t>ウンソウ</t>
    </rPh>
    <phoneticPr fontId="3"/>
  </si>
  <si>
    <t>算定対象範囲：
環境マネジメントシステムの対象範囲、ただしグループ会社については、売上比率から推計</t>
  </si>
  <si>
    <t>中核会社のカテゴリ8排出量の和</t>
    <rPh sb="0" eb="1">
      <t>チュウカク</t>
    </rPh>
    <rPh sb="1" eb="3">
      <t>カイシャ</t>
    </rPh>
    <rPh sb="9" eb="11">
      <t>ハイシュツ</t>
    </rPh>
    <rPh sb="11" eb="12">
      <t>リョウ</t>
    </rPh>
    <rPh sb="13" eb="14">
      <t>ワ</t>
    </rPh>
    <phoneticPr fontId="3"/>
  </si>
  <si>
    <t>Scope1,2排出量と温対法の報告値で算定結果に乖離が生じないよう、バッファに当たる営業車両はカテゴリ8に計上することとした。</t>
    <rPh sb="8" eb="10">
      <t>ハイシュツ</t>
    </rPh>
    <rPh sb="10" eb="11">
      <t>リョウ</t>
    </rPh>
    <rPh sb="12" eb="13">
      <t>オン</t>
    </rPh>
    <rPh sb="13" eb="14">
      <t>タイ</t>
    </rPh>
    <rPh sb="14" eb="15">
      <t>ホウ</t>
    </rPh>
    <rPh sb="16" eb="18">
      <t>ホウコク</t>
    </rPh>
    <rPh sb="18" eb="19">
      <t>チ</t>
    </rPh>
    <rPh sb="20" eb="22">
      <t>サンテイ</t>
    </rPh>
    <rPh sb="22" eb="24">
      <t>ケッカ</t>
    </rPh>
    <rPh sb="25" eb="27">
      <t>カイリ</t>
    </rPh>
    <rPh sb="28" eb="29">
      <t>ショウ</t>
    </rPh>
    <rPh sb="40" eb="41">
      <t>ア</t>
    </rPh>
    <rPh sb="43" eb="45">
      <t>エイギョウ</t>
    </rPh>
    <rPh sb="45" eb="47">
      <t>シャリョウ</t>
    </rPh>
    <rPh sb="54" eb="56">
      <t>ケイジョウ</t>
    </rPh>
    <phoneticPr fontId="3"/>
  </si>
  <si>
    <t>算定・報告・公表制度排出係数一覧</t>
    <rPh sb="0" eb="1">
      <t>サンテイ</t>
    </rPh>
    <rPh sb="2" eb="4">
      <t>ホウコク</t>
    </rPh>
    <rPh sb="5" eb="7">
      <t>コウヒョウ</t>
    </rPh>
    <rPh sb="7" eb="9">
      <t>セイド</t>
    </rPh>
    <rPh sb="9" eb="11">
      <t>ハイシュツ</t>
    </rPh>
    <rPh sb="11" eb="13">
      <t>ケイスウ</t>
    </rPh>
    <rPh sb="14" eb="16">
      <t>イチラン</t>
    </rPh>
    <phoneticPr fontId="3"/>
  </si>
  <si>
    <t>t-CO2/KL</t>
  </si>
  <si>
    <t>賃借している営業車両のガソリン使用量実績</t>
  </si>
  <si>
    <t>ガソリン</t>
    <phoneticPr fontId="3"/>
  </si>
  <si>
    <t>算定対象範囲：
環境マネジメントシステムの対象範囲、ただしグループ会社については売上比率から推計</t>
  </si>
  <si>
    <t>交通区分別の出張費が不明であるため、環境省データベースより従業員数・勤務日数当たり排出原単位を使用。なお、工場隣接型オフィスのため勤務形態は工場、都市区分は中庸的な値である中都市を適用。勤務日数は、240日とした。</t>
    <rPh sb="0" eb="2">
      <t>コウツウ</t>
    </rPh>
    <rPh sb="2" eb="4">
      <t>クブン</t>
    </rPh>
    <rPh sb="4" eb="5">
      <t>ベツ</t>
    </rPh>
    <rPh sb="6" eb="9">
      <t>シュッチョウヒ</t>
    </rPh>
    <rPh sb="10" eb="12">
      <t>フメイ</t>
    </rPh>
    <rPh sb="18" eb="21">
      <t>カンキョウショウ</t>
    </rPh>
    <rPh sb="29" eb="32">
      <t>ジュウギョウイン</t>
    </rPh>
    <rPh sb="32" eb="33">
      <t>スウ</t>
    </rPh>
    <rPh sb="34" eb="36">
      <t>キンム</t>
    </rPh>
    <rPh sb="36" eb="38">
      <t>ニッスウ</t>
    </rPh>
    <rPh sb="38" eb="39">
      <t>ア</t>
    </rPh>
    <rPh sb="41" eb="43">
      <t>ハイシュツ</t>
    </rPh>
    <rPh sb="43" eb="46">
      <t>ゲンタンイ</t>
    </rPh>
    <rPh sb="47" eb="49">
      <t>シヨウ</t>
    </rPh>
    <rPh sb="53" eb="55">
      <t>コウジョウ</t>
    </rPh>
    <rPh sb="55" eb="57">
      <t>リンセツ</t>
    </rPh>
    <rPh sb="57" eb="58">
      <t>カタ</t>
    </rPh>
    <rPh sb="65" eb="67">
      <t>キンム</t>
    </rPh>
    <rPh sb="67" eb="69">
      <t>ケイタイ</t>
    </rPh>
    <rPh sb="70" eb="72">
      <t>コウジョウ</t>
    </rPh>
    <rPh sb="73" eb="75">
      <t>トシ</t>
    </rPh>
    <rPh sb="75" eb="77">
      <t>クブン</t>
    </rPh>
    <rPh sb="90" eb="92">
      <t>テキヨウ</t>
    </rPh>
    <rPh sb="93" eb="95">
      <t>キンム</t>
    </rPh>
    <rPh sb="95" eb="97">
      <t>ニッスウ</t>
    </rPh>
    <rPh sb="102" eb="103">
      <t>ニチ</t>
    </rPh>
    <phoneticPr fontId="3"/>
  </si>
  <si>
    <t>環境省DB[14]
従業員数・勤務日数当たり排出原単位</t>
    <rPh sb="0" eb="3">
      <t>カンキョウショウ</t>
    </rPh>
    <rPh sb="10" eb="13">
      <t>ジュウギョウイン</t>
    </rPh>
    <rPh sb="13" eb="14">
      <t>スウ</t>
    </rPh>
    <rPh sb="15" eb="17">
      <t>キンム</t>
    </rPh>
    <rPh sb="17" eb="19">
      <t>ニッスウ</t>
    </rPh>
    <rPh sb="19" eb="20">
      <t>ア</t>
    </rPh>
    <rPh sb="22" eb="24">
      <t>ハイシュツ</t>
    </rPh>
    <rPh sb="24" eb="27">
      <t>ゲンタンイ</t>
    </rPh>
    <phoneticPr fontId="3"/>
  </si>
  <si>
    <t>t-CO2/人</t>
    <rPh sb="6" eb="7">
      <t>ニン</t>
    </rPh>
    <phoneticPr fontId="3"/>
  </si>
  <si>
    <t>通勤</t>
    <rPh sb="0" eb="2">
      <t>ツウキン</t>
    </rPh>
    <phoneticPr fontId="3"/>
  </si>
  <si>
    <t>算定対象範囲：
環境マネジメントシステムの対象範囲の正社員</t>
    <rPh sb="26" eb="29">
      <t>セイシャイン</t>
    </rPh>
    <phoneticPr fontId="3"/>
  </si>
  <si>
    <t>交通区分別の交通費支給金額が不明であるため、環境省データベースより従業員当たりの排出原単位を使用した。</t>
    <rPh sb="0" eb="2">
      <t>コウツウ</t>
    </rPh>
    <rPh sb="2" eb="4">
      <t>クブン</t>
    </rPh>
    <rPh sb="4" eb="5">
      <t>ベツ</t>
    </rPh>
    <rPh sb="6" eb="9">
      <t>コウツウヒ</t>
    </rPh>
    <rPh sb="9" eb="11">
      <t>シキュウ</t>
    </rPh>
    <rPh sb="11" eb="13">
      <t>キンガク</t>
    </rPh>
    <rPh sb="14" eb="16">
      <t>フメイ</t>
    </rPh>
    <rPh sb="22" eb="25">
      <t>カンキョウショウ</t>
    </rPh>
    <rPh sb="33" eb="36">
      <t>ジュウギョウイン</t>
    </rPh>
    <rPh sb="36" eb="37">
      <t>ア</t>
    </rPh>
    <rPh sb="40" eb="42">
      <t>ハイシュツ</t>
    </rPh>
    <rPh sb="42" eb="45">
      <t>ゲンタンイ</t>
    </rPh>
    <rPh sb="46" eb="48">
      <t>シヨウ</t>
    </rPh>
    <phoneticPr fontId="3"/>
  </si>
  <si>
    <t>環境省DB[13]従業員当たりの排出原単位</t>
    <rPh sb="0" eb="3">
      <t>カンキョウショウ</t>
    </rPh>
    <rPh sb="9" eb="12">
      <t>ジュウギョウイン</t>
    </rPh>
    <rPh sb="12" eb="13">
      <t>ア</t>
    </rPh>
    <rPh sb="16" eb="18">
      <t>ハイシュツ</t>
    </rPh>
    <rPh sb="18" eb="21">
      <t>ゲンタンイ</t>
    </rPh>
    <phoneticPr fontId="3"/>
  </si>
  <si>
    <t>t</t>
    <phoneticPr fontId="3"/>
  </si>
  <si>
    <t>オフィスごみ</t>
    <phoneticPr fontId="3"/>
  </si>
  <si>
    <t>動植物性残渣</t>
    <rPh sb="0" eb="3">
      <t>ドウショクブツ</t>
    </rPh>
    <rPh sb="3" eb="4">
      <t>セイ</t>
    </rPh>
    <rPh sb="4" eb="6">
      <t>ザンサ</t>
    </rPh>
    <phoneticPr fontId="3"/>
  </si>
  <si>
    <t>CFP PCR「ビール類」の流通段階の輸送シナリオをもとに、500km、10トントラック、積載率62%と設定</t>
    <rPh sb="11" eb="12">
      <t>ルイ</t>
    </rPh>
    <rPh sb="14" eb="16">
      <t>リュウツウ</t>
    </rPh>
    <rPh sb="16" eb="18">
      <t>ダンカイ</t>
    </rPh>
    <rPh sb="19" eb="21">
      <t>ユソウ</t>
    </rPh>
    <rPh sb="45" eb="47">
      <t>セキサイ</t>
    </rPh>
    <rPh sb="47" eb="48">
      <t>リツ</t>
    </rPh>
    <rPh sb="52" eb="54">
      <t>セッテイ</t>
    </rPh>
    <phoneticPr fontId="3"/>
  </si>
  <si>
    <t>陸上輸送（欧州陸上輸送）</t>
    <rPh sb="0" eb="2">
      <t>リクジョウ</t>
    </rPh>
    <rPh sb="2" eb="4">
      <t>ユソウ</t>
    </rPh>
    <rPh sb="5" eb="7">
      <t>オウシュウ</t>
    </rPh>
    <rPh sb="7" eb="9">
      <t>リクジョウ</t>
    </rPh>
    <rPh sb="9" eb="11">
      <t>ユソウ</t>
    </rPh>
    <phoneticPr fontId="3"/>
  </si>
  <si>
    <t>輸出重量
CFP DB B-JP DB国地域間距離「日本-フランス」</t>
    <rPh sb="0" eb="2">
      <t>ユシュツ</t>
    </rPh>
    <rPh sb="2" eb="4">
      <t>ジュウリョウ</t>
    </rPh>
    <phoneticPr fontId="3"/>
  </si>
  <si>
    <t>海上輸送（日本-フランス）</t>
    <rPh sb="0" eb="2">
      <t>カイジョウ</t>
    </rPh>
    <rPh sb="2" eb="4">
      <t>ユソウ</t>
    </rPh>
    <rPh sb="5" eb="7">
      <t>ニホン</t>
    </rPh>
    <phoneticPr fontId="3"/>
  </si>
  <si>
    <t>CFP DB B-JP311005軽油</t>
    <rPh sb="17" eb="19">
      <t>ケイユ</t>
    </rPh>
    <phoneticPr fontId="3"/>
  </si>
  <si>
    <t>kg-CO2/L</t>
    <phoneticPr fontId="3"/>
  </si>
  <si>
    <t>kL</t>
    <phoneticPr fontId="3"/>
  </si>
  <si>
    <t>軽油</t>
    <rPh sb="0" eb="2">
      <t>ケイユ</t>
    </rPh>
    <phoneticPr fontId="3"/>
  </si>
  <si>
    <t>CFP DB B-JP311014石油ガス</t>
    <rPh sb="17" eb="19">
      <t>セキユ</t>
    </rPh>
    <phoneticPr fontId="3"/>
  </si>
  <si>
    <t>kg-CO2/m3</t>
    <phoneticPr fontId="3"/>
  </si>
  <si>
    <t>千m3</t>
    <rPh sb="0" eb="1">
      <t>セン</t>
    </rPh>
    <phoneticPr fontId="3"/>
  </si>
  <si>
    <t>都市ガス</t>
    <rPh sb="0" eb="2">
      <t>トシ</t>
    </rPh>
    <phoneticPr fontId="3"/>
  </si>
  <si>
    <t>kg-CO2/kwh</t>
    <phoneticPr fontId="3"/>
  </si>
  <si>
    <t>MWh</t>
    <phoneticPr fontId="3"/>
  </si>
  <si>
    <t>環境省DB[6]飲食店</t>
    <rPh sb="0" eb="1">
      <t>カンキョウ</t>
    </rPh>
    <rPh sb="1" eb="2">
      <t>ショウ</t>
    </rPh>
    <rPh sb="8" eb="10">
      <t>インショク</t>
    </rPh>
    <rPh sb="10" eb="11">
      <t>テン</t>
    </rPh>
    <phoneticPr fontId="3"/>
  </si>
  <si>
    <t>外食</t>
    <rPh sb="0" eb="1">
      <t>ガイショク</t>
    </rPh>
    <phoneticPr fontId="3"/>
  </si>
  <si>
    <t>清涼飲料水</t>
    <rPh sb="0" eb="1">
      <t>セイリョウ</t>
    </rPh>
    <rPh sb="1" eb="3">
      <t>インリョウ</t>
    </rPh>
    <rPh sb="3" eb="4">
      <t>スイ</t>
    </rPh>
    <phoneticPr fontId="3"/>
  </si>
  <si>
    <t>酒類</t>
    <rPh sb="0" eb="2">
      <t>シュルイ</t>
    </rPh>
    <phoneticPr fontId="3"/>
  </si>
  <si>
    <t>%</t>
    <phoneticPr fontId="3"/>
  </si>
  <si>
    <t>t-CO2</t>
    <phoneticPr fontId="3"/>
  </si>
  <si>
    <t>リネンサプライ</t>
    <phoneticPr fontId="3"/>
  </si>
  <si>
    <t>CFP DB B-JP309002硬質繊維板</t>
    <rPh sb="17" eb="19">
      <t>コウシツ</t>
    </rPh>
    <rPh sb="19" eb="21">
      <t>センイ</t>
    </rPh>
    <rPh sb="21" eb="22">
      <t>イタ</t>
    </rPh>
    <phoneticPr fontId="3"/>
  </si>
  <si>
    <t>調達部</t>
    <rPh sb="0" eb="2">
      <t>チョウタツ</t>
    </rPh>
    <rPh sb="2" eb="3">
      <t>ブ</t>
    </rPh>
    <phoneticPr fontId="3"/>
  </si>
  <si>
    <t>t</t>
    <phoneticPr fontId="3"/>
  </si>
  <si>
    <t>板紙</t>
    <rPh sb="0" eb="1">
      <t>イタ</t>
    </rPh>
    <rPh sb="1" eb="2">
      <t>カミ</t>
    </rPh>
    <phoneticPr fontId="272"/>
  </si>
  <si>
    <t>CFP DB B-JP309011段ボール</t>
    <rPh sb="17" eb="18">
      <t>ダン</t>
    </rPh>
    <phoneticPr fontId="3"/>
  </si>
  <si>
    <t>段ボール</t>
    <rPh sb="0" eb="1">
      <t>ダン</t>
    </rPh>
    <phoneticPr fontId="272"/>
  </si>
  <si>
    <t>CFP DB B-JP317042アルミ形小</t>
    <rPh sb="20" eb="21">
      <t>ケイ</t>
    </rPh>
    <rPh sb="21" eb="22">
      <t>ショウ</t>
    </rPh>
    <phoneticPr fontId="3"/>
  </si>
  <si>
    <t>アルミ缶</t>
    <rPh sb="3" eb="4">
      <t>カン</t>
    </rPh>
    <phoneticPr fontId="272"/>
  </si>
  <si>
    <t>CFP DB B-JP318002食缶</t>
    <rPh sb="17" eb="18">
      <t>ショク</t>
    </rPh>
    <rPh sb="18" eb="19">
      <t>カン</t>
    </rPh>
    <phoneticPr fontId="3"/>
  </si>
  <si>
    <t>王冠</t>
    <rPh sb="0" eb="2">
      <t>オウカン</t>
    </rPh>
    <phoneticPr fontId="272"/>
  </si>
  <si>
    <t>CFP DB B-JP309001セロファン</t>
  </si>
  <si>
    <t>CFP DB B-JP315041ガラスびん</t>
  </si>
  <si>
    <t>CFP DB B-JP305019香辛料</t>
    <rPh sb="17" eb="20">
      <t>コウシンリョウ</t>
    </rPh>
    <phoneticPr fontId="3"/>
  </si>
  <si>
    <t>ホップ</t>
    <phoneticPr fontId="3"/>
  </si>
  <si>
    <t>CFP DB B-JP305037でんぷん</t>
  </si>
  <si>
    <t>コーンスターチ</t>
    <phoneticPr fontId="3"/>
  </si>
  <si>
    <t>CFP DB B-JP305027精麦</t>
    <rPh sb="17" eb="19">
      <t>セイバク</t>
    </rPh>
    <phoneticPr fontId="3"/>
  </si>
  <si>
    <t>麦芽</t>
    <rPh sb="0" eb="2">
      <t>バクガ</t>
    </rPh>
    <phoneticPr fontId="3"/>
  </si>
  <si>
    <t>CFP DB B-JP305022精製糖</t>
    <rPh sb="17" eb="19">
      <t>セイセイ</t>
    </rPh>
    <rPh sb="19" eb="20">
      <t>トウ</t>
    </rPh>
    <phoneticPr fontId="3"/>
  </si>
  <si>
    <t>t</t>
    <phoneticPr fontId="3"/>
  </si>
  <si>
    <t>砂糖</t>
    <rPh sb="0" eb="2">
      <t>サトウ</t>
    </rPh>
    <phoneticPr fontId="3"/>
  </si>
  <si>
    <t>CFP DB B-JP310047塩</t>
    <rPh sb="17" eb="18">
      <t>シオ</t>
    </rPh>
    <phoneticPr fontId="3"/>
  </si>
  <si>
    <t>t</t>
    <phoneticPr fontId="3"/>
  </si>
  <si>
    <t>塩</t>
    <rPh sb="0" eb="1">
      <t>シオ</t>
    </rPh>
    <phoneticPr fontId="3"/>
  </si>
  <si>
    <t>CFP DB B-JP305028小麦粉</t>
    <rPh sb="17" eb="20">
      <t>コムギコ</t>
    </rPh>
    <phoneticPr fontId="3"/>
  </si>
  <si>
    <t>t-CO2/t</t>
    <phoneticPr fontId="3"/>
  </si>
  <si>
    <t>t</t>
    <phoneticPr fontId="3"/>
  </si>
  <si>
    <t>小麦粉</t>
    <rPh sb="0" eb="3">
      <t>コムギコ</t>
    </rPh>
    <phoneticPr fontId="3"/>
  </si>
  <si>
    <t>製品製造に関連する調達物に関しては、重量情報を把握しているため、積み上げベースの排出原単位（CFP算定用二次データ）を使用</t>
    <rPh sb="0" eb="2">
      <t>セイヒン</t>
    </rPh>
    <rPh sb="2" eb="4">
      <t>セイゾウ</t>
    </rPh>
    <rPh sb="5" eb="7">
      <t>カンレン</t>
    </rPh>
    <rPh sb="9" eb="11">
      <t>チョウタツ</t>
    </rPh>
    <rPh sb="11" eb="12">
      <t>ブツ</t>
    </rPh>
    <rPh sb="13" eb="14">
      <t>カン</t>
    </rPh>
    <rPh sb="18" eb="20">
      <t>ジュウリョウ</t>
    </rPh>
    <rPh sb="20" eb="22">
      <t>ジョウホウ</t>
    </rPh>
    <rPh sb="23" eb="25">
      <t>ハアク</t>
    </rPh>
    <rPh sb="32" eb="33">
      <t>ツ</t>
    </rPh>
    <rPh sb="34" eb="35">
      <t>ア</t>
    </rPh>
    <rPh sb="40" eb="42">
      <t>ハイシュツ</t>
    </rPh>
    <rPh sb="42" eb="45">
      <t>ゲンタンイ</t>
    </rPh>
    <rPh sb="49" eb="51">
      <t>サンテイ</t>
    </rPh>
    <rPh sb="51" eb="52">
      <t>ヨウ</t>
    </rPh>
    <rPh sb="52" eb="54">
      <t>ニジ</t>
    </rPh>
    <rPh sb="59" eb="61">
      <t>シヨウ</t>
    </rPh>
    <phoneticPr fontId="3"/>
  </si>
  <si>
    <t>CFP DB B-JP305026精米</t>
    <rPh sb="17" eb="19">
      <t>セイマイ</t>
    </rPh>
    <phoneticPr fontId="3"/>
  </si>
  <si>
    <t>精米</t>
    <rPh sb="0" eb="2">
      <t>セイマイ</t>
    </rPh>
    <phoneticPr fontId="3"/>
  </si>
  <si>
    <t xml:space="preserve">
算定対象範囲：
環境マネジメントシステムの対象範囲、ただしグループ会社については売上比率から推計</t>
    <rPh sb="2" eb="4">
      <t>サンテイ</t>
    </rPh>
    <rPh sb="4" eb="6">
      <t>タイショウ</t>
    </rPh>
    <rPh sb="6" eb="8">
      <t>ハンイ</t>
    </rPh>
    <rPh sb="23" eb="25">
      <t>タイショウ</t>
    </rPh>
    <rPh sb="25" eb="27">
      <t>ハンイ</t>
    </rPh>
    <rPh sb="35" eb="37">
      <t>ガイシャ</t>
    </rPh>
    <rPh sb="42" eb="44">
      <t>ウリアゲ</t>
    </rPh>
    <rPh sb="44" eb="46">
      <t>ヒリツ</t>
    </rPh>
    <phoneticPr fontId="3"/>
  </si>
  <si>
    <t>社内システムが傘下の会社で統合できておらず、把握できるデータが一部限定的になっている。</t>
    <rPh sb="0" eb="2">
      <t>シャナイ</t>
    </rPh>
    <rPh sb="7" eb="9">
      <t>サンカ</t>
    </rPh>
    <rPh sb="10" eb="12">
      <t>カイシャ</t>
    </rPh>
    <rPh sb="13" eb="15">
      <t>トウゴウ</t>
    </rPh>
    <rPh sb="22" eb="24">
      <t>ハアク</t>
    </rPh>
    <rPh sb="31" eb="33">
      <t>イチブ</t>
    </rPh>
    <rPh sb="33" eb="36">
      <t>ゲンテイテキ</t>
    </rPh>
    <phoneticPr fontId="3"/>
  </si>
  <si>
    <t>売上の約8割を占める酒造会社の他、清涼飲料水製造会社、外食・中食事業会社を傘下に持つ持株会社。また、これらの事業の運営のため、輸送会社、販売会社（日本、フランス）等も傘下に持つ。</t>
    <rPh sb="7" eb="8">
      <t>シ</t>
    </rPh>
    <rPh sb="10" eb="12">
      <t>シュゾウ</t>
    </rPh>
    <rPh sb="12" eb="14">
      <t>ガイシャ</t>
    </rPh>
    <rPh sb="15" eb="16">
      <t>ホカ</t>
    </rPh>
    <rPh sb="17" eb="19">
      <t>セイリョウ</t>
    </rPh>
    <rPh sb="19" eb="22">
      <t>インリョウスイ</t>
    </rPh>
    <rPh sb="22" eb="24">
      <t>セイゾウ</t>
    </rPh>
    <rPh sb="24" eb="26">
      <t>カイシャ</t>
    </rPh>
    <rPh sb="27" eb="29">
      <t>ガイショク</t>
    </rPh>
    <rPh sb="30" eb="32">
      <t>チュウショク</t>
    </rPh>
    <rPh sb="32" eb="34">
      <t>ジギョウ</t>
    </rPh>
    <rPh sb="34" eb="36">
      <t>カイシャ</t>
    </rPh>
    <rPh sb="37" eb="39">
      <t>サンカ</t>
    </rPh>
    <rPh sb="40" eb="41">
      <t>モ</t>
    </rPh>
    <rPh sb="42" eb="43">
      <t>モ</t>
    </rPh>
    <rPh sb="43" eb="44">
      <t>カブ</t>
    </rPh>
    <rPh sb="44" eb="46">
      <t>カイシャ</t>
    </rPh>
    <rPh sb="73" eb="75">
      <t>ニホン</t>
    </rPh>
    <phoneticPr fontId="3"/>
  </si>
  <si>
    <t>■想定した食料品製造業の事業イメージ</t>
    <rPh sb="1" eb="3">
      <t>ソウテイ</t>
    </rPh>
    <rPh sb="5" eb="8">
      <t>ショクリョウヒン</t>
    </rPh>
    <rPh sb="8" eb="11">
      <t>セイゾウギョウ</t>
    </rPh>
    <rPh sb="12" eb="14">
      <t>ジギョウ</t>
    </rPh>
    <phoneticPr fontId="3"/>
  </si>
  <si>
    <t>販売した製品とリース製品で利用方法に大きな違いが無く、カテゴリ11と13を区別して算定する意味が無いと判断したため、リース資産についてもカテゴリ11に計上している。
また、データセンターに伴う排出量は、スコープ１，２に計上しているため、カテゴリ13には計上しない。</t>
    <phoneticPr fontId="3"/>
  </si>
  <si>
    <t>環境省DB[9]「紙くず」</t>
    <rPh sb="0" eb="3">
      <t>カンキョウショウ</t>
    </rPh>
    <rPh sb="9" eb="10">
      <t>カミ</t>
    </rPh>
    <phoneticPr fontId="261"/>
  </si>
  <si>
    <t>t-CO3e/t</t>
  </si>
  <si>
    <t>段ボール箱購入金額
PC金額あたり重量　1.5 t/百万円</t>
    <rPh sb="0" eb="1">
      <t>ダン</t>
    </rPh>
    <rPh sb="4" eb="5">
      <t>バコ</t>
    </rPh>
    <phoneticPr fontId="3"/>
  </si>
  <si>
    <t>t</t>
    <phoneticPr fontId="3"/>
  </si>
  <si>
    <t>段ボール箱</t>
    <rPh sb="3" eb="4">
      <t>バコ</t>
    </rPh>
    <phoneticPr fontId="3"/>
  </si>
  <si>
    <t>環境省DB[9]「廃プラスチック類」</t>
    <rPh sb="0" eb="3">
      <t>カンキョウショウ</t>
    </rPh>
    <rPh sb="9" eb="10">
      <t>ハイ</t>
    </rPh>
    <rPh sb="16" eb="17">
      <t>ルイ</t>
    </rPh>
    <phoneticPr fontId="261"/>
  </si>
  <si>
    <t>t-CO2e/t</t>
  </si>
  <si>
    <t>CD・DVD購入金額
PC金額あたり重量　0.5 t/百万円</t>
    <rPh sb="6" eb="8">
      <t>コウニュウ</t>
    </rPh>
    <rPh sb="8" eb="10">
      <t>キンガク</t>
    </rPh>
    <phoneticPr fontId="3"/>
  </si>
  <si>
    <t>CD・DVD</t>
    <phoneticPr fontId="3"/>
  </si>
  <si>
    <t>環境省DB[9]「パソコン・モニタ」</t>
    <rPh sb="0" eb="3">
      <t>カンキョウショウ</t>
    </rPh>
    <phoneticPr fontId="261"/>
  </si>
  <si>
    <t>PC及び関連製品購入金額
PC金額あたり重量　0.0625 t/百万円</t>
    <rPh sb="2" eb="3">
      <t>オヨ</t>
    </rPh>
    <rPh sb="4" eb="6">
      <t>カンレン</t>
    </rPh>
    <rPh sb="6" eb="8">
      <t>セイヒン</t>
    </rPh>
    <rPh sb="8" eb="10">
      <t>コウニュウ</t>
    </rPh>
    <rPh sb="10" eb="12">
      <t>キンガク</t>
    </rPh>
    <rPh sb="15" eb="17">
      <t>キンガク</t>
    </rPh>
    <rPh sb="20" eb="22">
      <t>ジュウリョウ</t>
    </rPh>
    <rPh sb="32" eb="34">
      <t>ヒャクマン</t>
    </rPh>
    <rPh sb="34" eb="35">
      <t>エン</t>
    </rPh>
    <phoneticPr fontId="3"/>
  </si>
  <si>
    <t>PC及び関連製品</t>
    <rPh sb="2" eb="3">
      <t>オヨ</t>
    </rPh>
    <rPh sb="4" eb="6">
      <t>カンレン</t>
    </rPh>
    <rPh sb="5" eb="7">
      <t>セイヒン</t>
    </rPh>
    <phoneticPr fontId="3"/>
  </si>
  <si>
    <t>算定対象範囲：
環境マネジメントシステムの対象範囲が販売している製品及び包装材</t>
    <rPh sb="32" eb="34">
      <t>セイヒン</t>
    </rPh>
    <rPh sb="34" eb="35">
      <t>オヨ</t>
    </rPh>
    <rPh sb="36" eb="38">
      <t>ホウソウ</t>
    </rPh>
    <rPh sb="38" eb="39">
      <t>ザイ</t>
    </rPh>
    <phoneticPr fontId="3"/>
  </si>
  <si>
    <t>PC使用時に稼働するソフトウェア由来の排出量の妥当な推計が困難なため、除外。</t>
    <rPh sb="2" eb="4">
      <t>シヨウ</t>
    </rPh>
    <rPh sb="4" eb="5">
      <t>ジ</t>
    </rPh>
    <rPh sb="6" eb="8">
      <t>カドウ</t>
    </rPh>
    <rPh sb="16" eb="18">
      <t>ユライ</t>
    </rPh>
    <rPh sb="19" eb="21">
      <t>ハイシュツ</t>
    </rPh>
    <rPh sb="21" eb="22">
      <t>リョウ</t>
    </rPh>
    <rPh sb="23" eb="25">
      <t>ダトウ</t>
    </rPh>
    <rPh sb="26" eb="28">
      <t>スイケイ</t>
    </rPh>
    <rPh sb="29" eb="31">
      <t>コンナン</t>
    </rPh>
    <rPh sb="35" eb="37">
      <t>ジョガイ</t>
    </rPh>
    <phoneticPr fontId="3"/>
  </si>
  <si>
    <t>ソフトウェア</t>
  </si>
  <si>
    <t>生涯稼働時間 2万時間、消費電力100W</t>
    <rPh sb="12" eb="14">
      <t>ショウヒ</t>
    </rPh>
    <rPh sb="14" eb="16">
      <t>デンリョク</t>
    </rPh>
    <phoneticPr fontId="3"/>
  </si>
  <si>
    <t>電気事業者別排出係数（2013年度実績；代替値）、製品仕様</t>
    <rPh sb="15" eb="17">
      <t>ネンド</t>
    </rPh>
    <rPh sb="17" eb="19">
      <t>ジッセキ</t>
    </rPh>
    <rPh sb="20" eb="22">
      <t>ダイタイ</t>
    </rPh>
    <rPh sb="22" eb="23">
      <t>アタイ</t>
    </rPh>
    <rPh sb="25" eb="27">
      <t>セイヒン</t>
    </rPh>
    <rPh sb="27" eb="29">
      <t>シヨウ</t>
    </rPh>
    <phoneticPr fontId="3"/>
  </si>
  <si>
    <t>販売台数</t>
    <rPh sb="0" eb="2">
      <t>ハンバイ</t>
    </rPh>
    <rPh sb="2" eb="4">
      <t>ダイスウ</t>
    </rPh>
    <phoneticPr fontId="3"/>
  </si>
  <si>
    <t>PC</t>
  </si>
  <si>
    <t>販売製品は販売先で使用されるものが大多数を占め、販売先以降の輸送は極めて微小なため、算定から除外</t>
    <rPh sb="0" eb="1">
      <t>ハンバイ</t>
    </rPh>
    <rPh sb="1" eb="3">
      <t>セイヒン</t>
    </rPh>
    <rPh sb="4" eb="7">
      <t>ハンバイサキ</t>
    </rPh>
    <rPh sb="8" eb="10">
      <t>シヨウ</t>
    </rPh>
    <rPh sb="16" eb="19">
      <t>ダイタスウ</t>
    </rPh>
    <rPh sb="20" eb="21">
      <t>シ</t>
    </rPh>
    <rPh sb="23" eb="26">
      <t>ハンバイサキ</t>
    </rPh>
    <rPh sb="26" eb="28">
      <t>イコウ</t>
    </rPh>
    <rPh sb="29" eb="31">
      <t>ユソウ</t>
    </rPh>
    <rPh sb="32" eb="33">
      <t>キワ</t>
    </rPh>
    <rPh sb="35" eb="37">
      <t>ビショウ</t>
    </rPh>
    <rPh sb="41" eb="43">
      <t>サンテイ</t>
    </rPh>
    <rPh sb="45" eb="47">
      <t>ジョガイ</t>
    </rPh>
    <phoneticPr fontId="3"/>
  </si>
  <si>
    <t>算定対象範囲：
環境マネジメントシステムの対象範囲</t>
    <phoneticPr fontId="3"/>
  </si>
  <si>
    <t>CFP DB B-JP DB ver.1.01
「トラック輸送（10トン車：積載率62%）」</t>
    <phoneticPr fontId="3"/>
  </si>
  <si>
    <t>PC購入金額
PC金額あたり重量　0.0625 t/百万円
PC関連機器金額あたり重量　0.05 t/百万円
輸送シナリオ（500km）</t>
    <rPh sb="2" eb="4">
      <t>コウニュウ</t>
    </rPh>
    <rPh sb="4" eb="6">
      <t>キンガク</t>
    </rPh>
    <rPh sb="9" eb="11">
      <t>キンガク</t>
    </rPh>
    <rPh sb="14" eb="16">
      <t>ジュウリョウ</t>
    </rPh>
    <rPh sb="26" eb="29">
      <t>ヒャクマンエン</t>
    </rPh>
    <rPh sb="32" eb="34">
      <t>カンレン</t>
    </rPh>
    <rPh sb="34" eb="36">
      <t>キキ</t>
    </rPh>
    <rPh sb="36" eb="38">
      <t>キンガク</t>
    </rPh>
    <rPh sb="41" eb="43">
      <t>ジュウリョウ</t>
    </rPh>
    <rPh sb="51" eb="53">
      <t>ヒャクマン</t>
    </rPh>
    <rPh sb="53" eb="54">
      <t>エン</t>
    </rPh>
    <rPh sb="55" eb="57">
      <t>ユソウ</t>
    </rPh>
    <phoneticPr fontId="3"/>
  </si>
  <si>
    <t>PC購入金額
PC金額あたり重量　0.0625 t/百万円
PC関連機器金額あたり重量　0.05 t/百万円
CFP DB B-JP DB国地域間距離「日本-中国」</t>
    <rPh sb="2" eb="4">
      <t>コウニュウ</t>
    </rPh>
    <rPh sb="4" eb="6">
      <t>キンガク</t>
    </rPh>
    <rPh sb="9" eb="11">
      <t>キンガク</t>
    </rPh>
    <rPh sb="14" eb="16">
      <t>ジュウリョウ</t>
    </rPh>
    <rPh sb="26" eb="29">
      <t>ヒャクマンエン</t>
    </rPh>
    <rPh sb="32" eb="34">
      <t>カンレン</t>
    </rPh>
    <rPh sb="34" eb="36">
      <t>キキ</t>
    </rPh>
    <rPh sb="36" eb="38">
      <t>キンガク</t>
    </rPh>
    <rPh sb="41" eb="43">
      <t>ジュウリョウ</t>
    </rPh>
    <rPh sb="51" eb="54">
      <t>ヒャクマンエン</t>
    </rPh>
    <rPh sb="79" eb="81">
      <t>チュウゴク</t>
    </rPh>
    <phoneticPr fontId="3"/>
  </si>
  <si>
    <t>調達物流（海上；中国-日本）</t>
    <rPh sb="0" eb="2">
      <t>チョウタツ</t>
    </rPh>
    <rPh sb="2" eb="4">
      <t>ブツリュウ</t>
    </rPh>
    <rPh sb="5" eb="7">
      <t>カイジョウ</t>
    </rPh>
    <rPh sb="8" eb="10">
      <t>チュウゴク</t>
    </rPh>
    <rPh sb="11" eb="13">
      <t>ニホン</t>
    </rPh>
    <phoneticPr fontId="3"/>
  </si>
  <si>
    <t>CFP-PCR策定のための分野別ガイド“工業製品（食料品以外）”の「輸送に海運が伴う場合（国内輸送、港→納入先）」を代用し、100km、10トントラック、積載率62%と想定</t>
    <rPh sb="34" eb="36">
      <t>ユソウ</t>
    </rPh>
    <rPh sb="37" eb="39">
      <t>カイウン</t>
    </rPh>
    <rPh sb="40" eb="41">
      <t>トモナ</t>
    </rPh>
    <rPh sb="42" eb="44">
      <t>バアイ</t>
    </rPh>
    <rPh sb="45" eb="47">
      <t>コクナイ</t>
    </rPh>
    <rPh sb="47" eb="49">
      <t>ユソウ</t>
    </rPh>
    <rPh sb="50" eb="51">
      <t>ミナト</t>
    </rPh>
    <rPh sb="52" eb="55">
      <t>ノウニュウサキ</t>
    </rPh>
    <phoneticPr fontId="3"/>
  </si>
  <si>
    <t>PC購入金額
PC金額あたり重量　0.0625 t/百万円
PC関連機器金額あたり重量　0.05 t/百万円
輸送シナリオ（100km）</t>
    <phoneticPr fontId="3"/>
  </si>
  <si>
    <t>CFP-PCR策定のための分野別ガイド“工業製品（食料品以外）”の「生産地が海外の場合（生産サイト→店舗等）」を代用し、500km、10トントラック、積載率62%と想定</t>
    <rPh sb="7" eb="9">
      <t>サクテイ</t>
    </rPh>
    <rPh sb="13" eb="15">
      <t>ブンヤ</t>
    </rPh>
    <rPh sb="15" eb="16">
      <t>ベツ</t>
    </rPh>
    <rPh sb="20" eb="22">
      <t>コウギョウ</t>
    </rPh>
    <rPh sb="22" eb="24">
      <t>セイヒン</t>
    </rPh>
    <rPh sb="25" eb="28">
      <t>ショクリョウヒン</t>
    </rPh>
    <rPh sb="28" eb="30">
      <t>イガイ</t>
    </rPh>
    <rPh sb="34" eb="37">
      <t>セイサンチ</t>
    </rPh>
    <rPh sb="38" eb="40">
      <t>カイガイ</t>
    </rPh>
    <rPh sb="41" eb="43">
      <t>バアイ</t>
    </rPh>
    <rPh sb="44" eb="46">
      <t>セイサン</t>
    </rPh>
    <rPh sb="50" eb="53">
      <t>テンポナド</t>
    </rPh>
    <rPh sb="56" eb="58">
      <t>ダイヨウ</t>
    </rPh>
    <rPh sb="75" eb="77">
      <t>セキサイ</t>
    </rPh>
    <rPh sb="77" eb="78">
      <t>リツ</t>
    </rPh>
    <rPh sb="82" eb="84">
      <t>ソウテイ</t>
    </rPh>
    <phoneticPr fontId="3"/>
  </si>
  <si>
    <t>PC購入金額
PC金額あたり重量　0.0625 t/百万円
PC関連機器金額あたり重量　0.05 t/百万円
輸送シナリオ（500km）</t>
    <rPh sb="2" eb="4">
      <t>コウニュウ</t>
    </rPh>
    <rPh sb="4" eb="6">
      <t>キンガク</t>
    </rPh>
    <rPh sb="9" eb="11">
      <t>キンガク</t>
    </rPh>
    <rPh sb="14" eb="16">
      <t>ジュウリョウ</t>
    </rPh>
    <rPh sb="26" eb="29">
      <t>ヒャクマンエン</t>
    </rPh>
    <rPh sb="32" eb="34">
      <t>カンレン</t>
    </rPh>
    <rPh sb="34" eb="36">
      <t>キキ</t>
    </rPh>
    <rPh sb="36" eb="38">
      <t>キンガク</t>
    </rPh>
    <rPh sb="41" eb="43">
      <t>ジュウリョウ</t>
    </rPh>
    <rPh sb="51" eb="54">
      <t>ヒャクマンエン</t>
    </rPh>
    <rPh sb="55" eb="57">
      <t>ユソウ</t>
    </rPh>
    <phoneticPr fontId="3"/>
  </si>
  <si>
    <t>kg-CO2/MJ</t>
    <phoneticPr fontId="3"/>
  </si>
  <si>
    <t>ＧＪ</t>
    <phoneticPr fontId="3"/>
  </si>
  <si>
    <t>CFP DB ver.1.01 「ガソリン」</t>
    <phoneticPr fontId="3"/>
  </si>
  <si>
    <t>t-CO2/MWh</t>
    <phoneticPr fontId="3"/>
  </si>
  <si>
    <t>MWh</t>
    <phoneticPr fontId="3"/>
  </si>
  <si>
    <t>環境省DB[6]「情報サービス」</t>
    <rPh sb="0" eb="3">
      <t>カンキョウショウ</t>
    </rPh>
    <rPh sb="9" eb="11">
      <t>ジョウホウ</t>
    </rPh>
    <phoneticPr fontId="3"/>
  </si>
  <si>
    <t>t-CO2e/百万円</t>
  </si>
  <si>
    <t>有価証券報告書</t>
    <phoneticPr fontId="3"/>
  </si>
  <si>
    <t>情報サービス</t>
    <rPh sb="0" eb="2">
      <t>ジョウホウ</t>
    </rPh>
    <phoneticPr fontId="3"/>
  </si>
  <si>
    <t>環境省DB[5]「情報サービス」</t>
    <rPh sb="9" eb="11">
      <t>ジョウホウ</t>
    </rPh>
    <phoneticPr fontId="3"/>
  </si>
  <si>
    <t>百万円</t>
    <phoneticPr fontId="3"/>
  </si>
  <si>
    <t>開発外注</t>
    <rPh sb="0" eb="2">
      <t>カイハツ</t>
    </rPh>
    <rPh sb="2" eb="4">
      <t>ガイチュウ</t>
    </rPh>
    <phoneticPr fontId="3"/>
  </si>
  <si>
    <t>百万円</t>
    <rPh sb="0" eb="3">
      <t>ヒャクマンエン</t>
    </rPh>
    <phoneticPr fontId="261"/>
  </si>
  <si>
    <t>環境省DB[5]「磁気テープ・磁気ディスク」</t>
    <rPh sb="0" eb="3">
      <t>カンキョウショウ</t>
    </rPh>
    <rPh sb="9" eb="11">
      <t>ジキ</t>
    </rPh>
    <rPh sb="15" eb="17">
      <t>ジキ</t>
    </rPh>
    <phoneticPr fontId="3"/>
  </si>
  <si>
    <t>CD・DVD</t>
    <phoneticPr fontId="3"/>
  </si>
  <si>
    <t>環境省DB[5]「電子計算機付属装置」</t>
    <rPh sb="0" eb="3">
      <t>カンキョウショウ</t>
    </rPh>
    <rPh sb="9" eb="11">
      <t>デンシ</t>
    </rPh>
    <rPh sb="11" eb="14">
      <t>ケイサンキ</t>
    </rPh>
    <rPh sb="14" eb="16">
      <t>フゾク</t>
    </rPh>
    <rPh sb="16" eb="18">
      <t>ソウチ</t>
    </rPh>
    <phoneticPr fontId="3"/>
  </si>
  <si>
    <t>PC付属機器</t>
    <rPh sb="2" eb="4">
      <t>フゾク</t>
    </rPh>
    <rPh sb="4" eb="6">
      <t>キキ</t>
    </rPh>
    <phoneticPr fontId="3"/>
  </si>
  <si>
    <t>環境省DB[5]「パーソナルコンピュータ」</t>
    <rPh sb="0" eb="3">
      <t>カンキョウショウ</t>
    </rPh>
    <phoneticPr fontId="3"/>
  </si>
  <si>
    <t>商用PC</t>
    <rPh sb="0" eb="2">
      <t>ショウヨウ</t>
    </rPh>
    <phoneticPr fontId="3"/>
  </si>
  <si>
    <t>環境省DB[5]「印刷・製版・製本」</t>
    <rPh sb="9" eb="11">
      <t>インサツ</t>
    </rPh>
    <rPh sb="12" eb="14">
      <t>セイハン</t>
    </rPh>
    <rPh sb="15" eb="17">
      <t>セイホン</t>
    </rPh>
    <phoneticPr fontId="3"/>
  </si>
  <si>
    <t>説明用書類</t>
    <rPh sb="0" eb="3">
      <t>セツメイヨウ</t>
    </rPh>
    <rPh sb="3" eb="5">
      <t>ショルイ</t>
    </rPh>
    <phoneticPr fontId="3"/>
  </si>
  <si>
    <t>環境省DB[5]「その他の紙製容器」</t>
    <rPh sb="0" eb="3">
      <t>カンキョウショウ</t>
    </rPh>
    <rPh sb="11" eb="12">
      <t>タ</t>
    </rPh>
    <rPh sb="13" eb="14">
      <t>カミ</t>
    </rPh>
    <rPh sb="14" eb="15">
      <t>セイ</t>
    </rPh>
    <rPh sb="15" eb="17">
      <t>ヨウキ</t>
    </rPh>
    <phoneticPr fontId="220"/>
  </si>
  <si>
    <t>紙箱</t>
    <rPh sb="0" eb="1">
      <t>カミ</t>
    </rPh>
    <rPh sb="1" eb="2">
      <t>バコ</t>
    </rPh>
    <phoneticPr fontId="3"/>
  </si>
  <si>
    <t>環境省DB[5]「段ボール箱」</t>
    <rPh sb="0" eb="3">
      <t>カンキョウショウ</t>
    </rPh>
    <rPh sb="9" eb="10">
      <t>ダン</t>
    </rPh>
    <rPh sb="13" eb="14">
      <t>バコ</t>
    </rPh>
    <phoneticPr fontId="220"/>
  </si>
  <si>
    <t>段ボール箱</t>
    <rPh sb="0" eb="1">
      <t>ダン</t>
    </rPh>
    <rPh sb="4" eb="5">
      <t>ハコ</t>
    </rPh>
    <phoneticPr fontId="3"/>
  </si>
  <si>
    <t>ソフトウェア開発会社。ソフトウェア及びソフトウェアをインストールしたハードウェアの販売を行っている。また、データセンターの運営も行っている。</t>
    <rPh sb="6" eb="8">
      <t>カイハツ</t>
    </rPh>
    <rPh sb="8" eb="10">
      <t>カイシャ</t>
    </rPh>
    <rPh sb="17" eb="18">
      <t>オヨ</t>
    </rPh>
    <rPh sb="41" eb="43">
      <t>ハンバイ</t>
    </rPh>
    <rPh sb="44" eb="45">
      <t>オコナ</t>
    </rPh>
    <rPh sb="61" eb="63">
      <t>ウンエイ</t>
    </rPh>
    <rPh sb="64" eb="65">
      <t>オコナ</t>
    </rPh>
    <phoneticPr fontId="3"/>
  </si>
  <si>
    <t>■想定した情報通信業の事業イメージ</t>
    <rPh sb="1" eb="3">
      <t>ソウテイ</t>
    </rPh>
    <rPh sb="5" eb="7">
      <t>ジョウホウ</t>
    </rPh>
    <rPh sb="7" eb="9">
      <t>ツウシン</t>
    </rPh>
    <rPh sb="9" eb="10">
      <t>ギョウ</t>
    </rPh>
    <rPh sb="11" eb="13">
      <t>ジギョウ</t>
    </rPh>
    <phoneticPr fontId="3"/>
  </si>
  <si>
    <t>1店舗あたり冷媒漏えいに伴う排出量は、直営店1店舗における冷媒漏えいに伴う排出量と同等と仮定して算定。</t>
    <rPh sb="1" eb="3">
      <t>テンポ</t>
    </rPh>
    <rPh sb="6" eb="8">
      <t>レイバイ</t>
    </rPh>
    <rPh sb="8" eb="9">
      <t>ロウ</t>
    </rPh>
    <rPh sb="12" eb="13">
      <t>トモナ</t>
    </rPh>
    <rPh sb="14" eb="16">
      <t>ハイシュツ</t>
    </rPh>
    <rPh sb="16" eb="17">
      <t>リョウ</t>
    </rPh>
    <rPh sb="19" eb="21">
      <t>チョクエイ</t>
    </rPh>
    <rPh sb="21" eb="22">
      <t>テン</t>
    </rPh>
    <rPh sb="23" eb="25">
      <t>テンポ</t>
    </rPh>
    <rPh sb="29" eb="31">
      <t>レイバイ</t>
    </rPh>
    <rPh sb="31" eb="32">
      <t>ロウ</t>
    </rPh>
    <rPh sb="35" eb="36">
      <t>トモナ</t>
    </rPh>
    <rPh sb="37" eb="39">
      <t>ハイシュツ</t>
    </rPh>
    <rPh sb="39" eb="40">
      <t>リョウ</t>
    </rPh>
    <rPh sb="41" eb="43">
      <t>ドウトウ</t>
    </rPh>
    <rPh sb="44" eb="46">
      <t>カテイ</t>
    </rPh>
    <rPh sb="48" eb="50">
      <t>サンテイ</t>
    </rPh>
    <phoneticPr fontId="3"/>
  </si>
  <si>
    <t>1店舗あたり冷媒漏えいに伴う排出量</t>
    <rPh sb="1" eb="3">
      <t>テンポ</t>
    </rPh>
    <rPh sb="6" eb="8">
      <t>レイバイ</t>
    </rPh>
    <rPh sb="8" eb="9">
      <t>ロウ</t>
    </rPh>
    <rPh sb="12" eb="13">
      <t>トモナ</t>
    </rPh>
    <rPh sb="14" eb="16">
      <t>ハイシュツ</t>
    </rPh>
    <rPh sb="16" eb="17">
      <t>リョウ</t>
    </rPh>
    <phoneticPr fontId="3"/>
  </si>
  <si>
    <t>t-CO2e/店</t>
    <rPh sb="7" eb="8">
      <t>テン</t>
    </rPh>
    <phoneticPr fontId="3"/>
  </si>
  <si>
    <t>フランチャイズ店舗数</t>
    <rPh sb="7" eb="10">
      <t>テンポスウ</t>
    </rPh>
    <phoneticPr fontId="3"/>
  </si>
  <si>
    <t>店</t>
    <rPh sb="0" eb="1">
      <t>テン</t>
    </rPh>
    <phoneticPr fontId="3"/>
  </si>
  <si>
    <t>フランチャイズ店舗における冷媒漏えい</t>
    <rPh sb="7" eb="9">
      <t>テンポ</t>
    </rPh>
    <rPh sb="13" eb="15">
      <t>レイバイ</t>
    </rPh>
    <rPh sb="15" eb="16">
      <t>ロウ</t>
    </rPh>
    <phoneticPr fontId="3"/>
  </si>
  <si>
    <t>算定対象範囲：
フランチャイズ店舗</t>
    <rPh sb="15" eb="17">
      <t>テンポ</t>
    </rPh>
    <phoneticPr fontId="3"/>
  </si>
  <si>
    <t>フランチャイズ</t>
    <phoneticPr fontId="3"/>
  </si>
  <si>
    <t>店舗のテナント貸を行っているが、すべてスコープ1,2に含まれているため、カテゴリ13では対象としない。</t>
    <rPh sb="0" eb="2">
      <t>テンポ</t>
    </rPh>
    <rPh sb="7" eb="8">
      <t>カシ</t>
    </rPh>
    <rPh sb="9" eb="10">
      <t>オコナ</t>
    </rPh>
    <rPh sb="27" eb="28">
      <t>フク</t>
    </rPh>
    <rPh sb="44" eb="46">
      <t>タイショウ</t>
    </rPh>
    <phoneticPr fontId="3"/>
  </si>
  <si>
    <t>テナント</t>
    <phoneticPr fontId="3"/>
  </si>
  <si>
    <t>t-CO2/m2</t>
    <phoneticPr fontId="261"/>
  </si>
  <si>
    <t>m2</t>
    <phoneticPr fontId="3"/>
  </si>
  <si>
    <t>ビル</t>
    <phoneticPr fontId="3"/>
  </si>
  <si>
    <t>算定対象範囲：
環境マネジメントシステムの対象範囲</t>
    <phoneticPr fontId="3"/>
  </si>
  <si>
    <t>リース（下流）</t>
    <phoneticPr fontId="3"/>
  </si>
  <si>
    <t>環境省DB[9]廃棄物種類別 廃プラスチック類</t>
    <rPh sb="0" eb="3">
      <t>カンキョウショウ</t>
    </rPh>
    <rPh sb="8" eb="11">
      <t>ハイキブツ</t>
    </rPh>
    <rPh sb="11" eb="13">
      <t>シュルイ</t>
    </rPh>
    <rPh sb="13" eb="14">
      <t>ベツ</t>
    </rPh>
    <phoneticPr fontId="3"/>
  </si>
  <si>
    <t>購入金額
レジ袋金額あたり重量 0.2 t/百万円</t>
    <rPh sb="0" eb="1">
      <t>コウニュウ</t>
    </rPh>
    <rPh sb="1" eb="3">
      <t>キンガク</t>
    </rPh>
    <rPh sb="7" eb="9">
      <t>キンガク</t>
    </rPh>
    <rPh sb="12" eb="14">
      <t>ジュウリョウ</t>
    </rPh>
    <rPh sb="21" eb="24">
      <t>ヒャクマンエン</t>
    </rPh>
    <phoneticPr fontId="3"/>
  </si>
  <si>
    <t>t</t>
    <phoneticPr fontId="3"/>
  </si>
  <si>
    <t>レジ袋</t>
    <rPh sb="2" eb="3">
      <t>ブクロ</t>
    </rPh>
    <phoneticPr fontId="3"/>
  </si>
  <si>
    <t>購入金額
紙袋金額あたり重量 0.5 t/百万円</t>
    <rPh sb="0" eb="1">
      <t>コウニュウ</t>
    </rPh>
    <rPh sb="1" eb="3">
      <t>キンガク</t>
    </rPh>
    <rPh sb="4" eb="6">
      <t>カミブクロ</t>
    </rPh>
    <rPh sb="6" eb="8">
      <t>キンガク</t>
    </rPh>
    <rPh sb="11" eb="13">
      <t>ジュウリョウ</t>
    </rPh>
    <rPh sb="20" eb="23">
      <t>ヒャクマンエン</t>
    </rPh>
    <phoneticPr fontId="3"/>
  </si>
  <si>
    <t>紙袋</t>
    <rPh sb="0" eb="2">
      <t>カミブクロ</t>
    </rPh>
    <phoneticPr fontId="3"/>
  </si>
  <si>
    <t>環境省DB[9]廃棄物種類別 金属くず</t>
    <rPh sb="0" eb="3">
      <t>カンキョウショウ</t>
    </rPh>
    <rPh sb="8" eb="11">
      <t>ハイキブツ</t>
    </rPh>
    <rPh sb="11" eb="13">
      <t>シュルイ</t>
    </rPh>
    <rPh sb="13" eb="14">
      <t>ベツ</t>
    </rPh>
    <rPh sb="15" eb="17">
      <t>キンゾク</t>
    </rPh>
    <phoneticPr fontId="3"/>
  </si>
  <si>
    <t>照明器具_金属</t>
    <rPh sb="0" eb="2">
      <t>ショウメイ</t>
    </rPh>
    <rPh sb="2" eb="4">
      <t>キグ</t>
    </rPh>
    <rPh sb="5" eb="7">
      <t>キンゾク</t>
    </rPh>
    <phoneticPr fontId="3"/>
  </si>
  <si>
    <t>環境省DB[9]廃棄物種類別 ガラス陶磁器くず</t>
  </si>
  <si>
    <t xml:space="preserve">購入金額
以下代表製品から推計
金額あたりガラス部重量　1.00 t/百万円
金額あたり金属部重量　10.00 t/百万円
</t>
    <rPh sb="17" eb="18">
      <t>キン</t>
    </rPh>
    <rPh sb="36" eb="39">
      <t>ヒャクマンエン</t>
    </rPh>
    <rPh sb="40" eb="42">
      <t>キンガク</t>
    </rPh>
    <rPh sb="45" eb="47">
      <t>キンゾク</t>
    </rPh>
    <rPh sb="47" eb="48">
      <t>ブ</t>
    </rPh>
    <rPh sb="48" eb="50">
      <t>ジュウリョウ</t>
    </rPh>
    <rPh sb="59" eb="62">
      <t>ヒャクマンエン</t>
    </rPh>
    <phoneticPr fontId="3"/>
  </si>
  <si>
    <t>照明器具_ガラス</t>
    <rPh sb="0" eb="2">
      <t>ショウメイ</t>
    </rPh>
    <rPh sb="2" eb="4">
      <t>キグ</t>
    </rPh>
    <phoneticPr fontId="3"/>
  </si>
  <si>
    <t>環境省DB[9]廃棄物種類別 繊維くず</t>
    <rPh sb="0" eb="3">
      <t>カンキョウショウ</t>
    </rPh>
    <rPh sb="8" eb="11">
      <t>ハイキブツ</t>
    </rPh>
    <rPh sb="11" eb="13">
      <t>シュルイ</t>
    </rPh>
    <rPh sb="13" eb="14">
      <t>ベツ</t>
    </rPh>
    <rPh sb="15" eb="17">
      <t>センイ</t>
    </rPh>
    <phoneticPr fontId="3"/>
  </si>
  <si>
    <t>紳士服_天然繊維</t>
    <rPh sb="0" eb="3">
      <t>シンシフク</t>
    </rPh>
    <rPh sb="4" eb="6">
      <t>テンネン</t>
    </rPh>
    <rPh sb="6" eb="8">
      <t>センイ</t>
    </rPh>
    <phoneticPr fontId="3"/>
  </si>
  <si>
    <t>紳士服_合成繊維</t>
    <rPh sb="0" eb="3">
      <t>シンシフク</t>
    </rPh>
    <rPh sb="4" eb="6">
      <t>ゴウセイ</t>
    </rPh>
    <rPh sb="6" eb="8">
      <t>センイ</t>
    </rPh>
    <phoneticPr fontId="3"/>
  </si>
  <si>
    <t>コート類_天然繊維</t>
    <rPh sb="3" eb="4">
      <t>ルイ</t>
    </rPh>
    <rPh sb="5" eb="7">
      <t>テンネン</t>
    </rPh>
    <rPh sb="7" eb="9">
      <t>センイ</t>
    </rPh>
    <phoneticPr fontId="3"/>
  </si>
  <si>
    <t>購入金額
以下代表製品5種から推計
＜金額あたり合成繊維部重量　代表製品＞
コート類金額あたり重量　0.1 t/百万円
紳士服金額あたり重量　0.25 t/百万円
＜金額あたり天然繊維部重量　代表製品＞
コート類金額あたり重量　0.05 t/百万円
紳士服金額あたり重量　0.15 t/百万円</t>
    <rPh sb="5" eb="7">
      <t>イカ</t>
    </rPh>
    <rPh sb="7" eb="9">
      <t>ダイヒョウ</t>
    </rPh>
    <rPh sb="9" eb="11">
      <t>セイヒン</t>
    </rPh>
    <rPh sb="13" eb="14">
      <t>シュ</t>
    </rPh>
    <rPh sb="15" eb="17">
      <t>スイケイ</t>
    </rPh>
    <rPh sb="19" eb="21">
      <t>キンガク</t>
    </rPh>
    <rPh sb="25" eb="27">
      <t>ゴウセイ</t>
    </rPh>
    <rPh sb="27" eb="29">
      <t>センイ</t>
    </rPh>
    <rPh sb="29" eb="31">
      <t>ジュウリョウ</t>
    </rPh>
    <rPh sb="32" eb="34">
      <t>ダイヒョウ</t>
    </rPh>
    <rPh sb="34" eb="36">
      <t>セイヒン</t>
    </rPh>
    <rPh sb="41" eb="42">
      <t>ルイ</t>
    </rPh>
    <rPh sb="42" eb="44">
      <t>キンガク</t>
    </rPh>
    <rPh sb="47" eb="49">
      <t>ジュウリョウ</t>
    </rPh>
    <rPh sb="56" eb="59">
      <t>ヒャクマンエン</t>
    </rPh>
    <rPh sb="60" eb="63">
      <t>シンシフク</t>
    </rPh>
    <rPh sb="63" eb="65">
      <t>キンガク</t>
    </rPh>
    <rPh sb="68" eb="70">
      <t>ジュウリョウ</t>
    </rPh>
    <rPh sb="78" eb="81">
      <t>ヒャクマンエン</t>
    </rPh>
    <rPh sb="84" eb="86">
      <t>キンガク</t>
    </rPh>
    <rPh sb="97" eb="99">
      <t>ダイヒョウ</t>
    </rPh>
    <rPh sb="99" eb="101">
      <t>セイヒン</t>
    </rPh>
    <phoneticPr fontId="3"/>
  </si>
  <si>
    <t>コート類_合成繊維</t>
    <rPh sb="3" eb="4">
      <t>ルイ</t>
    </rPh>
    <rPh sb="5" eb="7">
      <t>ゴウセイ</t>
    </rPh>
    <rPh sb="7" eb="9">
      <t>センイ</t>
    </rPh>
    <phoneticPr fontId="3"/>
  </si>
  <si>
    <t>パン類_廃プラスチック類</t>
    <rPh sb="2" eb="3">
      <t>ルイ</t>
    </rPh>
    <phoneticPr fontId="261"/>
  </si>
  <si>
    <t>ウィスキー類_びん</t>
    <rPh sb="5" eb="6">
      <t>ルイ</t>
    </rPh>
    <phoneticPr fontId="3"/>
  </si>
  <si>
    <t>ビール_缶</t>
    <rPh sb="4" eb="5">
      <t>カン</t>
    </rPh>
    <phoneticPr fontId="3"/>
  </si>
  <si>
    <t>環境省DB[9]廃棄物種類別 ガラス陶磁器くず</t>
    <rPh sb="0" eb="3">
      <t>カンキョウショウ</t>
    </rPh>
    <rPh sb="8" eb="11">
      <t>ハイキブツ</t>
    </rPh>
    <rPh sb="11" eb="13">
      <t>シュルイ</t>
    </rPh>
    <rPh sb="13" eb="14">
      <t>ベツ</t>
    </rPh>
    <rPh sb="18" eb="21">
      <t>トウジキ</t>
    </rPh>
    <phoneticPr fontId="3"/>
  </si>
  <si>
    <t>ビール_びん</t>
    <phoneticPr fontId="3"/>
  </si>
  <si>
    <t>飲料_缶</t>
    <rPh sb="0" eb="2">
      <t>インリョウ</t>
    </rPh>
    <rPh sb="3" eb="4">
      <t>カン</t>
    </rPh>
    <phoneticPr fontId="3"/>
  </si>
  <si>
    <t>飲料_廃プラスチック類</t>
    <rPh sb="0" eb="2">
      <t>インリョウ</t>
    </rPh>
    <rPh sb="3" eb="4">
      <t>ハイ</t>
    </rPh>
    <rPh sb="10" eb="11">
      <t>ルイ</t>
    </rPh>
    <phoneticPr fontId="3"/>
  </si>
  <si>
    <t>菓子類_紙くず</t>
    <rPh sb="0" eb="3">
      <t>カシルイ</t>
    </rPh>
    <rPh sb="4" eb="5">
      <t>カミ</t>
    </rPh>
    <phoneticPr fontId="3"/>
  </si>
  <si>
    <t>菓子類_廃プラスチック類</t>
    <rPh sb="0" eb="3">
      <t>カシルイ</t>
    </rPh>
    <phoneticPr fontId="261"/>
  </si>
  <si>
    <t>食肉類_廃プラスチック類</t>
    <rPh sb="0" eb="1">
      <t>ショク</t>
    </rPh>
    <rPh sb="1" eb="3">
      <t>ニクルイ</t>
    </rPh>
    <phoneticPr fontId="261"/>
  </si>
  <si>
    <t>魚介類_廃プラスチック類</t>
    <rPh sb="0" eb="3">
      <t>ギョカイルイ</t>
    </rPh>
    <phoneticPr fontId="261"/>
  </si>
  <si>
    <t>購入金額
以下、代表製品5種から推計
＜金額あたりプラスチック部重量 代表製品＞
野菜類金額あたり重量　0.15 t/百万円
魚介類金額あたり重量　0.05 t/百万円
食肉類金額あたり重量　0.06 t/百万円
菓子類金額あたり重量　0.02 t/百万円
飲料類金額あたり重量　0.05 t/百万円　
パン類金額あたり重量　0.12 t/百万円
＜金額あたり紙部重量 代表製品＞
菓子類金額あたり重量　0.10 t/百万円
＜びん＞
ビール金額あたり重量　2.50 t/百万円
ウィスキー類金額あたり重量　5.50 t/百万円
＜缶＞
飲料類金額あたり重量　0.35 t/百万円　
ビール金額あたり重量　0.45 t/百万円
例．野菜のプラ重量
375＝2500[百万円]×0.15[t/百万円]</t>
    <rPh sb="6" eb="8">
      <t>イカ</t>
    </rPh>
    <rPh sb="9" eb="11">
      <t>ダイヒョウ</t>
    </rPh>
    <rPh sb="11" eb="13">
      <t>セイヒン</t>
    </rPh>
    <rPh sb="14" eb="15">
      <t>シュ</t>
    </rPh>
    <rPh sb="17" eb="19">
      <t>スイケイ</t>
    </rPh>
    <rPh sb="20" eb="22">
      <t>キンガク</t>
    </rPh>
    <rPh sb="31" eb="32">
      <t>ブ</t>
    </rPh>
    <rPh sb="32" eb="34">
      <t>ジュウリョウ</t>
    </rPh>
    <rPh sb="36" eb="38">
      <t>ダイヒョウ</t>
    </rPh>
    <rPh sb="38" eb="40">
      <t>セイヒン</t>
    </rPh>
    <rPh sb="41" eb="43">
      <t>ヤサイ</t>
    </rPh>
    <rPh sb="43" eb="44">
      <t>ルイ</t>
    </rPh>
    <rPh sb="64" eb="67">
      <t>ギョカイルイ</t>
    </rPh>
    <rPh sb="86" eb="87">
      <t>ショク</t>
    </rPh>
    <rPh sb="87" eb="89">
      <t>ニクルイ</t>
    </rPh>
    <rPh sb="89" eb="91">
      <t>キンガク</t>
    </rPh>
    <rPh sb="94" eb="96">
      <t>ジュウリョウ</t>
    </rPh>
    <rPh sb="104" eb="107">
      <t>ヒャクマンエン</t>
    </rPh>
    <rPh sb="108" eb="111">
      <t>カシルイ</t>
    </rPh>
    <rPh sb="111" eb="113">
      <t>キンガク</t>
    </rPh>
    <rPh sb="116" eb="118">
      <t>ジュウリョウ</t>
    </rPh>
    <rPh sb="126" eb="129">
      <t>ヒャクマンエン</t>
    </rPh>
    <rPh sb="130" eb="132">
      <t>インリョウ</t>
    </rPh>
    <rPh sb="132" eb="133">
      <t>ルイ</t>
    </rPh>
    <rPh sb="133" eb="135">
      <t>キンガク</t>
    </rPh>
    <rPh sb="138" eb="140">
      <t>ジュウリョウ</t>
    </rPh>
    <rPh sb="148" eb="151">
      <t>ヒャクマンエン</t>
    </rPh>
    <rPh sb="182" eb="183">
      <t>カミ</t>
    </rPh>
    <rPh sb="187" eb="189">
      <t>ダイヒョウ</t>
    </rPh>
    <rPh sb="189" eb="191">
      <t>セイヒン</t>
    </rPh>
    <rPh sb="224" eb="226">
      <t>キンガク</t>
    </rPh>
    <rPh sb="229" eb="231">
      <t>ジュウリョウ</t>
    </rPh>
    <rPh sb="239" eb="242">
      <t>ヒャクマンエン</t>
    </rPh>
    <rPh sb="248" eb="249">
      <t>ルイ</t>
    </rPh>
    <rPh sb="249" eb="251">
      <t>キンガク</t>
    </rPh>
    <rPh sb="254" eb="256">
      <t>ジュウリョウ</t>
    </rPh>
    <rPh sb="264" eb="267">
      <t>ヒャクマンエン</t>
    </rPh>
    <rPh sb="270" eb="271">
      <t>カン</t>
    </rPh>
    <rPh sb="319" eb="320">
      <t>レイ</t>
    </rPh>
    <rPh sb="321" eb="323">
      <t>ヤサイ</t>
    </rPh>
    <rPh sb="326" eb="328">
      <t>ジュウリョウ</t>
    </rPh>
    <rPh sb="338" eb="341">
      <t>ヒャクマンエン</t>
    </rPh>
    <rPh sb="350" eb="353">
      <t>ヒャクマンエン</t>
    </rPh>
    <phoneticPr fontId="3"/>
  </si>
  <si>
    <t>野菜類_廃プラスチック類</t>
    <rPh sb="0" eb="2">
      <t>ヤサイ</t>
    </rPh>
    <rPh sb="2" eb="3">
      <t>ルイ</t>
    </rPh>
    <rPh sb="4" eb="5">
      <t>ハイ</t>
    </rPh>
    <rPh sb="11" eb="12">
      <t>ルイ</t>
    </rPh>
    <phoneticPr fontId="261"/>
  </si>
  <si>
    <t>洗濯・乾燥に伴う排出量が、間接使用排出に該当するが、同排出量の算定は任意であるため、今回は算定しない。</t>
    <rPh sb="0" eb="2">
      <t>センタク</t>
    </rPh>
    <rPh sb="3" eb="5">
      <t>カンソウ</t>
    </rPh>
    <rPh sb="6" eb="7">
      <t>トモナ</t>
    </rPh>
    <rPh sb="8" eb="10">
      <t>ハイシュツ</t>
    </rPh>
    <rPh sb="10" eb="11">
      <t>リョウ</t>
    </rPh>
    <rPh sb="13" eb="15">
      <t>カンセツ</t>
    </rPh>
    <rPh sb="15" eb="17">
      <t>シヨウ</t>
    </rPh>
    <rPh sb="17" eb="19">
      <t>ハイシュツ</t>
    </rPh>
    <rPh sb="20" eb="22">
      <t>ガイトウ</t>
    </rPh>
    <rPh sb="26" eb="27">
      <t>ドウ</t>
    </rPh>
    <rPh sb="27" eb="29">
      <t>ハイシュツ</t>
    </rPh>
    <rPh sb="29" eb="30">
      <t>リョウ</t>
    </rPh>
    <rPh sb="31" eb="33">
      <t>サンテイ</t>
    </rPh>
    <rPh sb="34" eb="36">
      <t>ニンイ</t>
    </rPh>
    <rPh sb="42" eb="44">
      <t>コンカイ</t>
    </rPh>
    <rPh sb="45" eb="47">
      <t>サンテイ</t>
    </rPh>
    <phoneticPr fontId="3"/>
  </si>
  <si>
    <t>衣料品</t>
    <rPh sb="0" eb="3">
      <t>イリョウヒン</t>
    </rPh>
    <phoneticPr fontId="3"/>
  </si>
  <si>
    <t>CO2の地球温暖化係数</t>
    <rPh sb="4" eb="6">
      <t>チキュウ</t>
    </rPh>
    <rPh sb="6" eb="9">
      <t>オンダンカ</t>
    </rPh>
    <rPh sb="9" eb="11">
      <t>ケイスウ</t>
    </rPh>
    <phoneticPr fontId="3"/>
  </si>
  <si>
    <t>-</t>
    <phoneticPr fontId="3"/>
  </si>
  <si>
    <t>購入金額　80[百万円]
金額あたり重量　5.00 t/百万円
400＝80×5</t>
    <rPh sb="0" eb="2">
      <t>コウニュウ</t>
    </rPh>
    <rPh sb="2" eb="4">
      <t>キンガク</t>
    </rPh>
    <rPh sb="8" eb="11">
      <t>ヒャクマンエン</t>
    </rPh>
    <rPh sb="13" eb="15">
      <t>キンガク</t>
    </rPh>
    <rPh sb="18" eb="20">
      <t>ジュウリョウ</t>
    </rPh>
    <rPh sb="28" eb="31">
      <t>ヒャクマンエン</t>
    </rPh>
    <phoneticPr fontId="3"/>
  </si>
  <si>
    <t>ｔ</t>
    <phoneticPr fontId="3"/>
  </si>
  <si>
    <t>ドライアイス</t>
    <phoneticPr fontId="3"/>
  </si>
  <si>
    <t>生涯点灯時間は、販売時に装着している蛍光灯分とした。</t>
    <rPh sb="0" eb="2">
      <t>ショウガイ</t>
    </rPh>
    <rPh sb="2" eb="4">
      <t>テントウ</t>
    </rPh>
    <rPh sb="4" eb="6">
      <t>ジカン</t>
    </rPh>
    <rPh sb="8" eb="10">
      <t>ハンバイ</t>
    </rPh>
    <rPh sb="10" eb="11">
      <t>ジ</t>
    </rPh>
    <rPh sb="12" eb="14">
      <t>ソウチャク</t>
    </rPh>
    <rPh sb="18" eb="21">
      <t>ケイコウトウ</t>
    </rPh>
    <rPh sb="21" eb="22">
      <t>ブン</t>
    </rPh>
    <phoneticPr fontId="3"/>
  </si>
  <si>
    <t>電気事業者別排出係数 代替値 
0.000579 t-CO2/kWh
点灯期間　10,000 時間
定格出力　0.05 kW
生涯排出量　0.2895＝0.000579×10,000×0.05</t>
    <rPh sb="0" eb="2">
      <t>デンキ</t>
    </rPh>
    <rPh sb="2" eb="5">
      <t>ジギョウシャ</t>
    </rPh>
    <rPh sb="5" eb="6">
      <t>ベツ</t>
    </rPh>
    <rPh sb="6" eb="8">
      <t>ハイシュツ</t>
    </rPh>
    <rPh sb="8" eb="10">
      <t>ケイスウ</t>
    </rPh>
    <rPh sb="11" eb="13">
      <t>ダイタイ</t>
    </rPh>
    <rPh sb="13" eb="14">
      <t>アタイ</t>
    </rPh>
    <rPh sb="35" eb="37">
      <t>テントウ</t>
    </rPh>
    <rPh sb="37" eb="39">
      <t>キカン</t>
    </rPh>
    <rPh sb="47" eb="49">
      <t>ジカン</t>
    </rPh>
    <rPh sb="50" eb="52">
      <t>テイカク</t>
    </rPh>
    <rPh sb="52" eb="54">
      <t>シュツリョク</t>
    </rPh>
    <rPh sb="63" eb="65">
      <t>ショウガイ</t>
    </rPh>
    <rPh sb="65" eb="67">
      <t>ハイシュツ</t>
    </rPh>
    <rPh sb="67" eb="68">
      <t>リョウ</t>
    </rPh>
    <phoneticPr fontId="261"/>
  </si>
  <si>
    <t>t-CO2/個</t>
    <rPh sb="6" eb="7">
      <t>コ</t>
    </rPh>
    <phoneticPr fontId="261"/>
  </si>
  <si>
    <t>照明器具販売台数</t>
    <rPh sb="0" eb="2">
      <t>ショウメイ</t>
    </rPh>
    <rPh sb="2" eb="4">
      <t>キグ</t>
    </rPh>
    <rPh sb="4" eb="6">
      <t>ハンバイ</t>
    </rPh>
    <rPh sb="6" eb="8">
      <t>ダイスウ</t>
    </rPh>
    <phoneticPr fontId="3"/>
  </si>
  <si>
    <t>照明器具</t>
    <rPh sb="0" eb="2">
      <t>ショウメイ</t>
    </rPh>
    <rPh sb="2" eb="4">
      <t>キグ</t>
    </rPh>
    <phoneticPr fontId="3"/>
  </si>
  <si>
    <t>算定対象範囲：
環境マネジメントシステムの対象範囲が販売している商品</t>
    <rPh sb="32" eb="34">
      <t>ショウヒン</t>
    </rPh>
    <phoneticPr fontId="3"/>
  </si>
  <si>
    <t>当社が扱う商品は最終消費者向け製品のみであり、加工を要する中間製品は無いため算定対象外。</t>
    <rPh sb="0" eb="1">
      <t>トウシャ</t>
    </rPh>
    <rPh sb="2" eb="3">
      <t>アツカ</t>
    </rPh>
    <rPh sb="4" eb="6">
      <t>ショウヒン</t>
    </rPh>
    <rPh sb="7" eb="9">
      <t>サイシュウ</t>
    </rPh>
    <rPh sb="9" eb="11">
      <t>ショウヒ</t>
    </rPh>
    <rPh sb="11" eb="12">
      <t>シャ</t>
    </rPh>
    <rPh sb="12" eb="13">
      <t>ム</t>
    </rPh>
    <rPh sb="14" eb="16">
      <t>セイヒン</t>
    </rPh>
    <rPh sb="22" eb="24">
      <t>カコウ</t>
    </rPh>
    <rPh sb="25" eb="26">
      <t>ヨウ</t>
    </rPh>
    <rPh sb="28" eb="30">
      <t>チュウカン</t>
    </rPh>
    <rPh sb="30" eb="32">
      <t>セイヒン</t>
    </rPh>
    <rPh sb="33" eb="34">
      <t>ナ</t>
    </rPh>
    <rPh sb="37" eb="39">
      <t>サンテイ</t>
    </rPh>
    <rPh sb="39" eb="41">
      <t>タイショウ</t>
    </rPh>
    <rPh sb="41" eb="42">
      <t>ガイ</t>
    </rPh>
    <phoneticPr fontId="3"/>
  </si>
  <si>
    <t>ネット通販の場合、顧客が直接宅配業者に輸送を申し込むため、当該排出量はカテゴリ4ではなくカテゴリ9に該当する。
なお、実際には調達重量分が全て売れているわけでは無いため、本推計に用いた「ネット通販を通じて販売された商品重量」は実際よりも大きい。次年度以降、販売した商品の重量を把握し、より実態に近い排出量を算定できるようにする。</t>
    <rPh sb="3" eb="5">
      <t>ツウハン</t>
    </rPh>
    <rPh sb="6" eb="8">
      <t>バアイ</t>
    </rPh>
    <rPh sb="9" eb="11">
      <t>コキャク</t>
    </rPh>
    <rPh sb="12" eb="14">
      <t>チョクセツ</t>
    </rPh>
    <rPh sb="14" eb="16">
      <t>タクハイ</t>
    </rPh>
    <rPh sb="16" eb="18">
      <t>ギョウシャ</t>
    </rPh>
    <rPh sb="19" eb="21">
      <t>ユソウ</t>
    </rPh>
    <rPh sb="22" eb="23">
      <t>モウ</t>
    </rPh>
    <rPh sb="24" eb="25">
      <t>コ</t>
    </rPh>
    <rPh sb="29" eb="31">
      <t>トウガイ</t>
    </rPh>
    <rPh sb="31" eb="33">
      <t>ハイシュツ</t>
    </rPh>
    <rPh sb="33" eb="34">
      <t>リョウ</t>
    </rPh>
    <rPh sb="50" eb="52">
      <t>ガイトウ</t>
    </rPh>
    <rPh sb="59" eb="61">
      <t>ジッサイ</t>
    </rPh>
    <rPh sb="63" eb="65">
      <t>チョウタツ</t>
    </rPh>
    <rPh sb="65" eb="67">
      <t>ジュウリョウ</t>
    </rPh>
    <rPh sb="67" eb="68">
      <t>ブン</t>
    </rPh>
    <rPh sb="69" eb="70">
      <t>スベ</t>
    </rPh>
    <rPh sb="71" eb="72">
      <t>ウ</t>
    </rPh>
    <rPh sb="80" eb="81">
      <t>ナ</t>
    </rPh>
    <rPh sb="85" eb="86">
      <t>ホン</t>
    </rPh>
    <rPh sb="86" eb="88">
      <t>スイケイ</t>
    </rPh>
    <rPh sb="89" eb="90">
      <t>モチ</t>
    </rPh>
    <rPh sb="96" eb="98">
      <t>ツウハン</t>
    </rPh>
    <rPh sb="99" eb="100">
      <t>ツウ</t>
    </rPh>
    <rPh sb="102" eb="104">
      <t>ハンバイ</t>
    </rPh>
    <rPh sb="107" eb="109">
      <t>ショウヒン</t>
    </rPh>
    <rPh sb="109" eb="111">
      <t>ジュウリョウ</t>
    </rPh>
    <rPh sb="113" eb="115">
      <t>ジッサイ</t>
    </rPh>
    <rPh sb="118" eb="119">
      <t>オオ</t>
    </rPh>
    <rPh sb="122" eb="125">
      <t>ジネンド</t>
    </rPh>
    <rPh sb="125" eb="127">
      <t>イコウ</t>
    </rPh>
    <rPh sb="128" eb="130">
      <t>ハンバイ</t>
    </rPh>
    <rPh sb="132" eb="134">
      <t>ショウヒン</t>
    </rPh>
    <rPh sb="135" eb="137">
      <t>ジュウリョウ</t>
    </rPh>
    <rPh sb="138" eb="140">
      <t>ハアク</t>
    </rPh>
    <rPh sb="144" eb="146">
      <t>ジッタイ</t>
    </rPh>
    <rPh sb="147" eb="148">
      <t>チカ</t>
    </rPh>
    <rPh sb="149" eb="151">
      <t>ハイシュツ</t>
    </rPh>
    <rPh sb="151" eb="152">
      <t>リョウ</t>
    </rPh>
    <phoneticPr fontId="3"/>
  </si>
  <si>
    <t>調達重量（カテゴリ4 調達物流（国内陸上輸送）他社-自社倉庫において求めた重量）
ネット販売売上比率　50%
輸送距離（500km）
3.52E+07＝調達重量×0.5×500</t>
    <rPh sb="0" eb="1">
      <t>チョウタツ</t>
    </rPh>
    <rPh sb="1" eb="3">
      <t>ジュウリョウ</t>
    </rPh>
    <rPh sb="32" eb="33">
      <t>モト</t>
    </rPh>
    <rPh sb="35" eb="37">
      <t>ジュウリョウ</t>
    </rPh>
    <rPh sb="43" eb="45">
      <t>ハンバイ</t>
    </rPh>
    <rPh sb="45" eb="47">
      <t>ウリアゲ</t>
    </rPh>
    <rPh sb="47" eb="49">
      <t>ヒリツ</t>
    </rPh>
    <rPh sb="54" eb="56">
      <t>ユソウ</t>
    </rPh>
    <rPh sb="56" eb="58">
      <t>キョリ</t>
    </rPh>
    <rPh sb="77" eb="79">
      <t>チョウタツ</t>
    </rPh>
    <rPh sb="79" eb="81">
      <t>ジュウリョウ</t>
    </rPh>
    <phoneticPr fontId="3"/>
  </si>
  <si>
    <t>ネット販売</t>
    <rPh sb="2" eb="4">
      <t>ハンバイ</t>
    </rPh>
    <phoneticPr fontId="3"/>
  </si>
  <si>
    <t>アンケート結果から顧客の移動手段実績を加味した人kmあたり排出原単位を作成して適用した。
店舗の商圏距離は半径5km。これより、すべての来場者が5kmの移動を行って来店することと仮定して算定。</t>
    <rPh sb="5" eb="7">
      <t>ケッカ</t>
    </rPh>
    <rPh sb="9" eb="11">
      <t>コキャク</t>
    </rPh>
    <rPh sb="12" eb="14">
      <t>イドウ</t>
    </rPh>
    <rPh sb="14" eb="16">
      <t>シュダン</t>
    </rPh>
    <rPh sb="16" eb="18">
      <t>ジッセキ</t>
    </rPh>
    <rPh sb="19" eb="21">
      <t>カミ</t>
    </rPh>
    <rPh sb="23" eb="24">
      <t>ニン</t>
    </rPh>
    <rPh sb="29" eb="31">
      <t>ハイシュツ</t>
    </rPh>
    <rPh sb="31" eb="34">
      <t>ゲンタンイ</t>
    </rPh>
    <rPh sb="35" eb="37">
      <t>サクセイ</t>
    </rPh>
    <rPh sb="39" eb="41">
      <t>テキヨウ</t>
    </rPh>
    <rPh sb="46" eb="48">
      <t>テンポ</t>
    </rPh>
    <rPh sb="49" eb="51">
      <t>ショウケン</t>
    </rPh>
    <rPh sb="51" eb="53">
      <t>キョリ</t>
    </rPh>
    <rPh sb="54" eb="56">
      <t>ハンケイ</t>
    </rPh>
    <rPh sb="69" eb="72">
      <t>ライジョウシャ</t>
    </rPh>
    <rPh sb="77" eb="79">
      <t>イドウ</t>
    </rPh>
    <rPh sb="80" eb="81">
      <t>オコナ</t>
    </rPh>
    <rPh sb="83" eb="85">
      <t>ライテン</t>
    </rPh>
    <rPh sb="90" eb="92">
      <t>カテイ</t>
    </rPh>
    <rPh sb="94" eb="96">
      <t>サンテイ</t>
    </rPh>
    <phoneticPr fontId="3"/>
  </si>
  <si>
    <t>移動手段実態を考慮した来場者の人kｍあたり排出原単位
来店者アンケート結果　来店手段割合
徒歩・自転車15%、鉄道30%、自動車55%
'環境省DB[10]交通区分別旅客人km当たり排出原単位</t>
    <rPh sb="28" eb="31">
      <t>ライテンシャ</t>
    </rPh>
    <rPh sb="36" eb="38">
      <t>ケッカ</t>
    </rPh>
    <rPh sb="39" eb="41">
      <t>ライテン</t>
    </rPh>
    <rPh sb="41" eb="43">
      <t>シュダン</t>
    </rPh>
    <rPh sb="43" eb="45">
      <t>ワリアイ</t>
    </rPh>
    <rPh sb="46" eb="48">
      <t>トホ</t>
    </rPh>
    <rPh sb="49" eb="52">
      <t>ジテンシャ</t>
    </rPh>
    <rPh sb="56" eb="58">
      <t>テツドウ</t>
    </rPh>
    <rPh sb="62" eb="65">
      <t>ジドウシャ</t>
    </rPh>
    <rPh sb="70" eb="72">
      <t>カンキョウショウ</t>
    </rPh>
    <rPh sb="79" eb="81">
      <t>コウツウ</t>
    </rPh>
    <rPh sb="81" eb="83">
      <t>クブン</t>
    </rPh>
    <rPh sb="83" eb="84">
      <t>ベツ</t>
    </rPh>
    <rPh sb="84" eb="86">
      <t>リョカク</t>
    </rPh>
    <rPh sb="86" eb="87">
      <t>ニン</t>
    </rPh>
    <rPh sb="89" eb="90">
      <t>ア</t>
    </rPh>
    <rPh sb="92" eb="94">
      <t>ハイシュツ</t>
    </rPh>
    <rPh sb="94" eb="97">
      <t>ゲンタンイ</t>
    </rPh>
    <phoneticPr fontId="3"/>
  </si>
  <si>
    <t>来店者数　50,000,000 人
店舗商圏　平均半径5km　往復 10km
500,000,000＝50,000,000×10</t>
    <rPh sb="0" eb="1">
      <t>スウ</t>
    </rPh>
    <rPh sb="13" eb="14">
      <t>ニン</t>
    </rPh>
    <rPh sb="15" eb="17">
      <t>テンポ</t>
    </rPh>
    <rPh sb="17" eb="19">
      <t>ショウケン</t>
    </rPh>
    <rPh sb="20" eb="22">
      <t>ヘイキン</t>
    </rPh>
    <rPh sb="22" eb="24">
      <t>ハンケイ</t>
    </rPh>
    <rPh sb="31" eb="33">
      <t>オウフク</t>
    </rPh>
    <phoneticPr fontId="3"/>
  </si>
  <si>
    <t>人km</t>
    <phoneticPr fontId="3"/>
  </si>
  <si>
    <t>顧客の移動</t>
    <rPh sb="0" eb="1">
      <t>コキャク</t>
    </rPh>
    <rPh sb="2" eb="4">
      <t>イドウ</t>
    </rPh>
    <phoneticPr fontId="3"/>
  </si>
  <si>
    <t>算定対象範囲：
環境マネジメントシステムの対象範囲のリース資産</t>
    <phoneticPr fontId="3"/>
  </si>
  <si>
    <t>CSR部</t>
    <rPh sb="3" eb="4">
      <t>ブ</t>
    </rPh>
    <phoneticPr fontId="3"/>
  </si>
  <si>
    <t>段ボール箱</t>
    <rPh sb="0" eb="1">
      <t>ダン</t>
    </rPh>
    <rPh sb="4" eb="5">
      <t>バコ</t>
    </rPh>
    <phoneticPr fontId="3"/>
  </si>
  <si>
    <t>レシート</t>
    <phoneticPr fontId="3"/>
  </si>
  <si>
    <t>輸送段階を含めて評価している。
なお、生鮮食品を除き、賞味期限切れした食品は、生産会社に返送しており、カテゴリ5の活動に該当しない。</t>
    <rPh sb="0" eb="2">
      <t>ユソウ</t>
    </rPh>
    <rPh sb="2" eb="4">
      <t>ダンカイ</t>
    </rPh>
    <rPh sb="5" eb="6">
      <t>フク</t>
    </rPh>
    <rPh sb="8" eb="10">
      <t>ヒョウカ</t>
    </rPh>
    <rPh sb="19" eb="21">
      <t>セイセン</t>
    </rPh>
    <rPh sb="21" eb="23">
      <t>ショクヒン</t>
    </rPh>
    <rPh sb="24" eb="25">
      <t>ノゾ</t>
    </rPh>
    <rPh sb="27" eb="29">
      <t>ショウミ</t>
    </rPh>
    <rPh sb="29" eb="31">
      <t>キゲン</t>
    </rPh>
    <rPh sb="31" eb="32">
      <t>キ</t>
    </rPh>
    <rPh sb="35" eb="37">
      <t>ショクヒン</t>
    </rPh>
    <rPh sb="39" eb="41">
      <t>セイサン</t>
    </rPh>
    <rPh sb="41" eb="43">
      <t>カイシャ</t>
    </rPh>
    <rPh sb="44" eb="46">
      <t>ヘンソウ</t>
    </rPh>
    <phoneticPr fontId="3"/>
  </si>
  <si>
    <t>環境省DB[9]廃棄物種類別 動植物性残差</t>
    <rPh sb="0" eb="3">
      <t>カンキョウショウ</t>
    </rPh>
    <rPh sb="8" eb="11">
      <t>ハイキブツ</t>
    </rPh>
    <rPh sb="11" eb="13">
      <t>シュルイ</t>
    </rPh>
    <rPh sb="13" eb="14">
      <t>ベツ</t>
    </rPh>
    <rPh sb="15" eb="18">
      <t>ドウショクブツ</t>
    </rPh>
    <rPh sb="18" eb="19">
      <t>セイ</t>
    </rPh>
    <rPh sb="19" eb="21">
      <t>ザンサ</t>
    </rPh>
    <phoneticPr fontId="3"/>
  </si>
  <si>
    <t>生鮮食品廃棄</t>
    <rPh sb="0" eb="2">
      <t>セイセン</t>
    </rPh>
    <rPh sb="2" eb="4">
      <t>ショクヒン</t>
    </rPh>
    <rPh sb="4" eb="6">
      <t>ハイキ</t>
    </rPh>
    <phoneticPr fontId="261"/>
  </si>
  <si>
    <t>コート及び紳士服
重量推計（上記）
輸送シナリオ（500km）</t>
    <rPh sb="3" eb="4">
      <t>オヨ</t>
    </rPh>
    <rPh sb="5" eb="8">
      <t>シンシフク</t>
    </rPh>
    <rPh sb="9" eb="11">
      <t>ジュウリョウ</t>
    </rPh>
    <rPh sb="11" eb="13">
      <t>スイケイ</t>
    </rPh>
    <rPh sb="14" eb="16">
      <t>ジョウキ</t>
    </rPh>
    <rPh sb="18" eb="20">
      <t>ユソウ</t>
    </rPh>
    <phoneticPr fontId="3"/>
  </si>
  <si>
    <t>中国からのコート及び紳士服の調達輸送を、トンキロ法を用いて算定。
なお、輸送重量は、調達金額[百万円]×金額あたり重量[t/百万円] から推計。</t>
    <rPh sb="0" eb="2">
      <t>チュウゴク</t>
    </rPh>
    <rPh sb="8" eb="9">
      <t>オヨ</t>
    </rPh>
    <rPh sb="10" eb="13">
      <t>シンシフク</t>
    </rPh>
    <rPh sb="14" eb="16">
      <t>チョウタツ</t>
    </rPh>
    <rPh sb="24" eb="25">
      <t>ホウ</t>
    </rPh>
    <rPh sb="26" eb="27">
      <t>モチ</t>
    </rPh>
    <rPh sb="29" eb="31">
      <t>サンテイ</t>
    </rPh>
    <rPh sb="36" eb="38">
      <t>ユソウ</t>
    </rPh>
    <rPh sb="38" eb="40">
      <t>ジュウリョウ</t>
    </rPh>
    <rPh sb="42" eb="44">
      <t>チョウタツ</t>
    </rPh>
    <rPh sb="44" eb="46">
      <t>キンガク</t>
    </rPh>
    <rPh sb="47" eb="50">
      <t>ヒャクマンエン</t>
    </rPh>
    <rPh sb="52" eb="54">
      <t>キンガク</t>
    </rPh>
    <rPh sb="57" eb="59">
      <t>ジュウリョウ</t>
    </rPh>
    <rPh sb="69" eb="71">
      <t>スイケイ</t>
    </rPh>
    <phoneticPr fontId="3"/>
  </si>
  <si>
    <t>コート及び紳士服
重量推計（上記）
CFP DB B-JP DB国地域間距離「日本-中国」</t>
    <rPh sb="3" eb="4">
      <t>オヨ</t>
    </rPh>
    <rPh sb="5" eb="8">
      <t>シンシフク</t>
    </rPh>
    <rPh sb="9" eb="11">
      <t>ジュウリョウ</t>
    </rPh>
    <rPh sb="11" eb="13">
      <t>スイケイ</t>
    </rPh>
    <rPh sb="14" eb="16">
      <t>ジョウキ</t>
    </rPh>
    <rPh sb="42" eb="44">
      <t>チュウゴク</t>
    </rPh>
    <phoneticPr fontId="3"/>
  </si>
  <si>
    <t>金額あたり重量[t/百万円]は、同項目に該当する代表製品5製品から作成。
CFP-PCR策定のための分野別ガイドの「輸送が陸運のみの場合」を代用し、500km、10トントラック、積載率62%と想定</t>
    <rPh sb="16" eb="17">
      <t>ドウ</t>
    </rPh>
    <rPh sb="17" eb="19">
      <t>コウモク</t>
    </rPh>
    <rPh sb="20" eb="22">
      <t>ガイトウ</t>
    </rPh>
    <rPh sb="24" eb="26">
      <t>ダイヒョウ</t>
    </rPh>
    <rPh sb="26" eb="28">
      <t>セイヒン</t>
    </rPh>
    <rPh sb="29" eb="31">
      <t>セイヒン</t>
    </rPh>
    <rPh sb="33" eb="35">
      <t>サクセイ</t>
    </rPh>
    <rPh sb="59" eb="61">
      <t>ユソウ</t>
    </rPh>
    <rPh sb="62" eb="64">
      <t>リクウン</t>
    </rPh>
    <rPh sb="67" eb="69">
      <t>バアイ</t>
    </rPh>
    <phoneticPr fontId="3"/>
  </si>
  <si>
    <t>購入金額
以下、代表製品から推計
＜金額あたり重量 代表製品＞
野菜類金額あたり重量　12.50 t/百万円
魚介類金額あたり重量　15.00 t/百万円
食肉類金額あたり重量　15.00 t/百万円
菓子類金額あたり重量　0.80 t/百万円
飲料類金額あたり重量　15.00 t/百万円
ビール金額あたり重量　0.90 t/百万円
ウィスキー類金額あたり重量　1.00 t/百万円
パン類金額あたり重量　1.20 t/百万円
コート類金額あたり重量　0.15 t/百万円
紳士服金額あたり重量　0.40 t/百万円
照明器具金額あたり重量　11.00 t/百万円
例．野菜の重量
315＝2500[百万円]×12.50[t/百万円]
輸送距離（500km）</t>
    <rPh sb="149" eb="151">
      <t>キンガク</t>
    </rPh>
    <rPh sb="154" eb="156">
      <t>ジュウリョウ</t>
    </rPh>
    <rPh sb="164" eb="167">
      <t>ヒャクマンエン</t>
    </rPh>
    <rPh sb="173" eb="174">
      <t>ルイ</t>
    </rPh>
    <rPh sb="174" eb="176">
      <t>キンガク</t>
    </rPh>
    <rPh sb="179" eb="181">
      <t>ジュウリョウ</t>
    </rPh>
    <rPh sb="189" eb="192">
      <t>ヒャクマンエン</t>
    </rPh>
    <rPh sb="260" eb="262">
      <t>ショウメイ</t>
    </rPh>
    <rPh sb="262" eb="264">
      <t>キグ</t>
    </rPh>
    <rPh sb="264" eb="266">
      <t>キンガク</t>
    </rPh>
    <rPh sb="269" eb="271">
      <t>ジュウリョウ</t>
    </rPh>
    <rPh sb="280" eb="283">
      <t>ヒャクマンエン</t>
    </rPh>
    <rPh sb="321" eb="323">
      <t>ユソウ</t>
    </rPh>
    <rPh sb="323" eb="325">
      <t>キョリ</t>
    </rPh>
    <phoneticPr fontId="3"/>
  </si>
  <si>
    <t>調達物流（国内陸上輸送）
他社-自社倉庫</t>
    <rPh sb="0" eb="2">
      <t>チョウタツ</t>
    </rPh>
    <rPh sb="2" eb="4">
      <t>ブツリュウ</t>
    </rPh>
    <rPh sb="5" eb="7">
      <t>コクナイ</t>
    </rPh>
    <rPh sb="7" eb="9">
      <t>リクジョウ</t>
    </rPh>
    <rPh sb="9" eb="11">
      <t>ユソウ</t>
    </rPh>
    <rPh sb="13" eb="15">
      <t>タシャ</t>
    </rPh>
    <rPh sb="16" eb="18">
      <t>ジシャ</t>
    </rPh>
    <rPh sb="18" eb="20">
      <t>ソウコ</t>
    </rPh>
    <phoneticPr fontId="3"/>
  </si>
  <si>
    <t>自社倉庫から店舗までの輸送が該当。グループ会社が担いスコープ1,2に計上されており、カテゴリ4では計上しない。</t>
    <rPh sb="0" eb="2">
      <t>ジシャ</t>
    </rPh>
    <rPh sb="2" eb="4">
      <t>ソウコ</t>
    </rPh>
    <rPh sb="6" eb="8">
      <t>テンポ</t>
    </rPh>
    <rPh sb="11" eb="13">
      <t>ユソウ</t>
    </rPh>
    <rPh sb="14" eb="16">
      <t>ガイトウ</t>
    </rPh>
    <phoneticPr fontId="3"/>
  </si>
  <si>
    <t>横持物流（国内陸上輸送）
自社倉庫-自社店舗</t>
    <rPh sb="0" eb="2">
      <t>ヨコモチ</t>
    </rPh>
    <rPh sb="2" eb="4">
      <t>ブツリュウ</t>
    </rPh>
    <rPh sb="5" eb="7">
      <t>コクナイ</t>
    </rPh>
    <rPh sb="7" eb="9">
      <t>リクジョウ</t>
    </rPh>
    <rPh sb="9" eb="11">
      <t>ユソウ</t>
    </rPh>
    <rPh sb="13" eb="15">
      <t>ジシャ</t>
    </rPh>
    <rPh sb="15" eb="17">
      <t>ソウコ</t>
    </rPh>
    <rPh sb="18" eb="20">
      <t>ジシャ</t>
    </rPh>
    <rPh sb="20" eb="22">
      <t>テンポ</t>
    </rPh>
    <phoneticPr fontId="3"/>
  </si>
  <si>
    <t>環境省DB[6] 道路輸送（除自家輸送）</t>
    <rPh sb="0" eb="3">
      <t>カンキョウショウ</t>
    </rPh>
    <rPh sb="9" eb="11">
      <t>ドウロ</t>
    </rPh>
    <rPh sb="11" eb="13">
      <t>ユソウ</t>
    </rPh>
    <rPh sb="14" eb="15">
      <t>ジョ</t>
    </rPh>
    <rPh sb="15" eb="17">
      <t>ジカ</t>
    </rPh>
    <rPh sb="17" eb="19">
      <t>ユソウ</t>
    </rPh>
    <phoneticPr fontId="3"/>
  </si>
  <si>
    <t>百万円</t>
    <phoneticPr fontId="3"/>
  </si>
  <si>
    <t>環境省DB[6] 小売</t>
    <rPh sb="9" eb="11">
      <t>コウリ</t>
    </rPh>
    <phoneticPr fontId="3"/>
  </si>
  <si>
    <t>百万円</t>
    <phoneticPr fontId="3"/>
  </si>
  <si>
    <t>小売</t>
    <rPh sb="0" eb="2">
      <t>コウ</t>
    </rPh>
    <phoneticPr fontId="3"/>
  </si>
  <si>
    <t>環境省DB[5]事務用品</t>
    <rPh sb="8" eb="10">
      <t>ジム</t>
    </rPh>
    <rPh sb="10" eb="12">
      <t>ヨウヒン</t>
    </rPh>
    <phoneticPr fontId="3"/>
  </si>
  <si>
    <t>営業費用明細</t>
    <rPh sb="0" eb="3">
      <t>エイギョウヒ</t>
    </rPh>
    <rPh sb="3" eb="4">
      <t>ヨウ</t>
    </rPh>
    <rPh sb="4" eb="6">
      <t>メイサイ</t>
    </rPh>
    <phoneticPr fontId="3"/>
  </si>
  <si>
    <t>環境省DB[5]洋紙・和紙</t>
    <rPh sb="8" eb="10">
      <t>ヨウシ</t>
    </rPh>
    <rPh sb="11" eb="13">
      <t>ワシ</t>
    </rPh>
    <phoneticPr fontId="3"/>
  </si>
  <si>
    <t>環境省DB[5]インターネット付随サービス</t>
    <rPh sb="15" eb="17">
      <t>フズイ</t>
    </rPh>
    <phoneticPr fontId="3"/>
  </si>
  <si>
    <t>営業費用明細</t>
  </si>
  <si>
    <t>通販サイト契約料</t>
    <rPh sb="0" eb="2">
      <t>ツウハン</t>
    </rPh>
    <rPh sb="5" eb="8">
      <t>ケイヤクリョウ</t>
    </rPh>
    <phoneticPr fontId="3"/>
  </si>
  <si>
    <t>環境省DB[5]広告</t>
    <rPh sb="8" eb="10">
      <t>コウコク</t>
    </rPh>
    <phoneticPr fontId="3"/>
  </si>
  <si>
    <t>広告費</t>
    <rPh sb="0" eb="2">
      <t>コウコク</t>
    </rPh>
    <rPh sb="2" eb="3">
      <t>ヒ</t>
    </rPh>
    <phoneticPr fontId="3"/>
  </si>
  <si>
    <t>環境省DB[5]その他の対事業所サービス</t>
    <rPh sb="10" eb="11">
      <t>タ</t>
    </rPh>
    <rPh sb="12" eb="13">
      <t>タイ</t>
    </rPh>
    <rPh sb="13" eb="16">
      <t>ジギョウショ</t>
    </rPh>
    <phoneticPr fontId="3"/>
  </si>
  <si>
    <t>警備費</t>
    <rPh sb="0" eb="2">
      <t>ケイビ</t>
    </rPh>
    <rPh sb="2" eb="3">
      <t>ヒ</t>
    </rPh>
    <phoneticPr fontId="3"/>
  </si>
  <si>
    <t>環境省DB[5]固定電気通信業</t>
    <rPh sb="8" eb="10">
      <t>コテイ</t>
    </rPh>
    <rPh sb="10" eb="12">
      <t>デンキ</t>
    </rPh>
    <rPh sb="12" eb="15">
      <t>ツウシンギョウ</t>
    </rPh>
    <phoneticPr fontId="3"/>
  </si>
  <si>
    <t>データセンター利用費</t>
    <rPh sb="7" eb="9">
      <t>リヨウ</t>
    </rPh>
    <rPh sb="9" eb="10">
      <t>ヒ</t>
    </rPh>
    <phoneticPr fontId="3"/>
  </si>
  <si>
    <t>環境省DB[5]情報記録物</t>
    <rPh sb="8" eb="10">
      <t>ジョウホウ</t>
    </rPh>
    <rPh sb="10" eb="12">
      <t>キロク</t>
    </rPh>
    <rPh sb="12" eb="13">
      <t>ブツ</t>
    </rPh>
    <phoneticPr fontId="3"/>
  </si>
  <si>
    <t>カード</t>
  </si>
  <si>
    <t>環境省DB[5]織物性衣服</t>
    <rPh sb="8" eb="10">
      <t>オリモノ</t>
    </rPh>
    <rPh sb="10" eb="11">
      <t>セイ</t>
    </rPh>
    <rPh sb="11" eb="13">
      <t>イフク</t>
    </rPh>
    <phoneticPr fontId="3"/>
  </si>
  <si>
    <t>経費 ユニホーム費</t>
  </si>
  <si>
    <t>環境省DB[5]圧縮ガス・液化ガス</t>
    <rPh sb="0" eb="3">
      <t>カンキョウショウ</t>
    </rPh>
    <rPh sb="8" eb="10">
      <t>アッシュク</t>
    </rPh>
    <rPh sb="13" eb="15">
      <t>エキカ</t>
    </rPh>
    <phoneticPr fontId="3"/>
  </si>
  <si>
    <t>ドライアイス</t>
    <phoneticPr fontId="3"/>
  </si>
  <si>
    <t>環境省DB[5]プラスチック製品</t>
    <rPh sb="0" eb="3">
      <t>カンキョウショウ</t>
    </rPh>
    <rPh sb="14" eb="16">
      <t>セイヒン</t>
    </rPh>
    <phoneticPr fontId="3"/>
  </si>
  <si>
    <t>レジ袋</t>
    <rPh sb="2" eb="3">
      <t>フクロ</t>
    </rPh>
    <phoneticPr fontId="3"/>
  </si>
  <si>
    <t>環境省DB[5]その他の紙製容器　</t>
    <rPh sb="0" eb="3">
      <t>カンキョウショウ</t>
    </rPh>
    <rPh sb="10" eb="11">
      <t>タ</t>
    </rPh>
    <rPh sb="12" eb="14">
      <t>カミセイ</t>
    </rPh>
    <rPh sb="14" eb="16">
      <t>ヨウキ</t>
    </rPh>
    <phoneticPr fontId="3"/>
  </si>
  <si>
    <t>環境省DB[5]電気照明器具</t>
    <rPh sb="0" eb="3">
      <t>カンキョウショウ</t>
    </rPh>
    <rPh sb="8" eb="10">
      <t>デンキ</t>
    </rPh>
    <rPh sb="10" eb="12">
      <t>ショウメイ</t>
    </rPh>
    <rPh sb="12" eb="14">
      <t>キグ</t>
    </rPh>
    <phoneticPr fontId="3"/>
  </si>
  <si>
    <t>商品購入明細</t>
  </si>
  <si>
    <t>環境省DB[5]ニット製衣服</t>
    <rPh sb="0" eb="3">
      <t>カンキョウショウ</t>
    </rPh>
    <rPh sb="11" eb="12">
      <t>セイ</t>
    </rPh>
    <rPh sb="12" eb="14">
      <t>イフク</t>
    </rPh>
    <phoneticPr fontId="3"/>
  </si>
  <si>
    <t>紳士服類</t>
    <rPh sb="0" eb="3">
      <t>シンシフク</t>
    </rPh>
    <rPh sb="3" eb="4">
      <t>ルイ</t>
    </rPh>
    <phoneticPr fontId="3"/>
  </si>
  <si>
    <t>コート類</t>
    <rPh sb="3" eb="4">
      <t>ルイ</t>
    </rPh>
    <phoneticPr fontId="3"/>
  </si>
  <si>
    <t>環境省DB[5]パン類</t>
    <rPh sb="10" eb="11">
      <t>ルイ</t>
    </rPh>
    <phoneticPr fontId="3"/>
  </si>
  <si>
    <t>パン類</t>
    <rPh sb="2" eb="3">
      <t>ルイ</t>
    </rPh>
    <phoneticPr fontId="3"/>
  </si>
  <si>
    <t>環境省DB[5]ウィスキー類</t>
    <rPh sb="13" eb="14">
      <t>ルイ</t>
    </rPh>
    <phoneticPr fontId="3"/>
  </si>
  <si>
    <t>ウィスキー類</t>
    <rPh sb="5" eb="6">
      <t>ルイ</t>
    </rPh>
    <phoneticPr fontId="3"/>
  </si>
  <si>
    <t>環境省DB[5]ビール</t>
    <phoneticPr fontId="3"/>
  </si>
  <si>
    <t>ビール</t>
    <phoneticPr fontId="3"/>
  </si>
  <si>
    <t>環境省DB[5]清涼飲料</t>
    <rPh sb="8" eb="10">
      <t>セイリョウ</t>
    </rPh>
    <rPh sb="10" eb="12">
      <t>インリョウ</t>
    </rPh>
    <phoneticPr fontId="3"/>
  </si>
  <si>
    <t>飲料</t>
    <rPh sb="0" eb="2">
      <t>インリョウ</t>
    </rPh>
    <phoneticPr fontId="3"/>
  </si>
  <si>
    <t>環境省DB[5]菓子類</t>
    <rPh sb="8" eb="11">
      <t>カシルイ</t>
    </rPh>
    <phoneticPr fontId="3"/>
  </si>
  <si>
    <t>スナック菓子</t>
    <rPh sb="4" eb="6">
      <t>カシ</t>
    </rPh>
    <phoneticPr fontId="3"/>
  </si>
  <si>
    <t>環境省DB[5]と畜（含肉鶏処理）</t>
    <rPh sb="0" eb="3">
      <t>カンキョウショウ</t>
    </rPh>
    <rPh sb="9" eb="10">
      <t>チク</t>
    </rPh>
    <rPh sb="11" eb="12">
      <t>フクミ</t>
    </rPh>
    <rPh sb="12" eb="13">
      <t>ニク</t>
    </rPh>
    <rPh sb="13" eb="14">
      <t>ニワトリ</t>
    </rPh>
    <rPh sb="14" eb="16">
      <t>ショリ</t>
    </rPh>
    <phoneticPr fontId="3"/>
  </si>
  <si>
    <t>食肉</t>
    <rPh sb="0" eb="2">
      <t>ショクニク</t>
    </rPh>
    <phoneticPr fontId="3"/>
  </si>
  <si>
    <t>環境省DB[5]内水面漁業・養殖業</t>
    <rPh sb="0" eb="3">
      <t>カンキョウショウ</t>
    </rPh>
    <rPh sb="8" eb="11">
      <t>ナイスイメン</t>
    </rPh>
    <rPh sb="11" eb="13">
      <t>ギョギョウ</t>
    </rPh>
    <rPh sb="14" eb="17">
      <t>ヨウショクギョウ</t>
    </rPh>
    <phoneticPr fontId="3"/>
  </si>
  <si>
    <t>魚介類</t>
    <rPh sb="0" eb="3">
      <t>ギョカイルイ</t>
    </rPh>
    <phoneticPr fontId="3"/>
  </si>
  <si>
    <t>原単位の分類に倣って、購入している商品を分類する</t>
    <phoneticPr fontId="3"/>
  </si>
  <si>
    <t>環境省DB[5]野菜</t>
    <rPh sb="8" eb="10">
      <t>ヤサイ</t>
    </rPh>
    <phoneticPr fontId="3"/>
  </si>
  <si>
    <t>野菜</t>
    <rPh sb="0" eb="2">
      <t>ヤサイ</t>
    </rPh>
    <phoneticPr fontId="3"/>
  </si>
  <si>
    <t>国内に店舗を有し食品、衣類、インテリアを扱う小売事業者。また、これらの事業の運営のため、輸送会社を傘下に持つ。</t>
    <rPh sb="0" eb="2">
      <t>コクナイ</t>
    </rPh>
    <rPh sb="3" eb="5">
      <t>テンポ</t>
    </rPh>
    <rPh sb="6" eb="7">
      <t>ユウ</t>
    </rPh>
    <rPh sb="22" eb="24">
      <t>コウリ</t>
    </rPh>
    <rPh sb="24" eb="27">
      <t>ジギョウシャ</t>
    </rPh>
    <rPh sb="44" eb="46">
      <t>ユソウ</t>
    </rPh>
    <rPh sb="46" eb="48">
      <t>カイシャ</t>
    </rPh>
    <phoneticPr fontId="3"/>
  </si>
  <si>
    <t>■想定した小売業の事業イメージ</t>
    <rPh sb="1" eb="3">
      <t>ソウテイ</t>
    </rPh>
    <rPh sb="5" eb="7">
      <t>コウリ</t>
    </rPh>
    <rPh sb="7" eb="8">
      <t>ギョウ</t>
    </rPh>
    <rPh sb="9" eb="11">
      <t>ジギョウ</t>
    </rPh>
    <phoneticPr fontId="3"/>
  </si>
  <si>
    <t>算定対象範囲：
環境マネジメントシステムの対象範囲の従業員（バート、アルバイト含む）</t>
    <phoneticPr fontId="3"/>
  </si>
  <si>
    <t>Z社 CSR報告書</t>
    <rPh sb="4" eb="7">
      <t>ホウコクショ</t>
    </rPh>
    <phoneticPr fontId="3"/>
  </si>
  <si>
    <t>Z</t>
    <phoneticPr fontId="3"/>
  </si>
  <si>
    <t>Y社 CSR報告書</t>
    <rPh sb="4" eb="7">
      <t>ホウコクショ</t>
    </rPh>
    <phoneticPr fontId="3"/>
  </si>
  <si>
    <t>Y</t>
    <phoneticPr fontId="3"/>
  </si>
  <si>
    <t>X社 CSR報告書</t>
    <phoneticPr fontId="3"/>
  </si>
  <si>
    <t>X</t>
    <phoneticPr fontId="3"/>
  </si>
  <si>
    <t>W社 CSR報告書</t>
    <rPh sb="4" eb="7">
      <t>ホウコクショ</t>
    </rPh>
    <phoneticPr fontId="3"/>
  </si>
  <si>
    <t>W</t>
    <phoneticPr fontId="3"/>
  </si>
  <si>
    <t>V社 CSR報告書</t>
    <rPh sb="4" eb="7">
      <t>ホウコクショ</t>
    </rPh>
    <phoneticPr fontId="3"/>
  </si>
  <si>
    <t>V</t>
    <phoneticPr fontId="3"/>
  </si>
  <si>
    <t>U社 CSR報告書</t>
    <rPh sb="4" eb="7">
      <t>ホウコクショ</t>
    </rPh>
    <phoneticPr fontId="3"/>
  </si>
  <si>
    <t>U</t>
    <phoneticPr fontId="3"/>
  </si>
  <si>
    <t>T社 CSR報告書</t>
    <rPh sb="4" eb="7">
      <t>ホウコクショ</t>
    </rPh>
    <phoneticPr fontId="3"/>
  </si>
  <si>
    <t>T</t>
    <phoneticPr fontId="3"/>
  </si>
  <si>
    <t>S社 CSR報告書</t>
    <rPh sb="4" eb="7">
      <t>ホウコクショ</t>
    </rPh>
    <phoneticPr fontId="3"/>
  </si>
  <si>
    <t>S</t>
    <phoneticPr fontId="3"/>
  </si>
  <si>
    <t>R社 CSR報告書</t>
    <rPh sb="4" eb="7">
      <t>ホウコクショ</t>
    </rPh>
    <phoneticPr fontId="3"/>
  </si>
  <si>
    <t>R</t>
    <phoneticPr fontId="3"/>
  </si>
  <si>
    <t>Q</t>
    <phoneticPr fontId="3"/>
  </si>
  <si>
    <t>P社 CSR報告書</t>
    <rPh sb="4" eb="7">
      <t>ホウコクショ</t>
    </rPh>
    <phoneticPr fontId="3"/>
  </si>
  <si>
    <t>P</t>
    <phoneticPr fontId="3"/>
  </si>
  <si>
    <t>O社 CSR報告書</t>
    <rPh sb="4" eb="7">
      <t>ホウコクショ</t>
    </rPh>
    <phoneticPr fontId="3"/>
  </si>
  <si>
    <t>O</t>
    <phoneticPr fontId="3"/>
  </si>
  <si>
    <t>N社 CSR報告書</t>
    <rPh sb="4" eb="7">
      <t>ホウコクショ</t>
    </rPh>
    <phoneticPr fontId="3"/>
  </si>
  <si>
    <t>N</t>
    <phoneticPr fontId="3"/>
  </si>
  <si>
    <t>M社 CSR報告書</t>
    <rPh sb="4" eb="7">
      <t>ホウコクショ</t>
    </rPh>
    <phoneticPr fontId="3"/>
  </si>
  <si>
    <t>M</t>
    <phoneticPr fontId="3"/>
  </si>
  <si>
    <t>L</t>
    <phoneticPr fontId="3"/>
  </si>
  <si>
    <t>K</t>
    <phoneticPr fontId="3"/>
  </si>
  <si>
    <t>J</t>
    <phoneticPr fontId="3"/>
  </si>
  <si>
    <t>I</t>
    <phoneticPr fontId="3"/>
  </si>
  <si>
    <t>H</t>
    <phoneticPr fontId="3"/>
  </si>
  <si>
    <t>G</t>
    <phoneticPr fontId="3"/>
  </si>
  <si>
    <t>F</t>
    <phoneticPr fontId="3"/>
  </si>
  <si>
    <t>E</t>
    <phoneticPr fontId="3"/>
  </si>
  <si>
    <t>D</t>
    <phoneticPr fontId="3"/>
  </si>
  <si>
    <t>C</t>
    <phoneticPr fontId="3"/>
  </si>
  <si>
    <t>B</t>
    <phoneticPr fontId="3"/>
  </si>
  <si>
    <t>A</t>
    <phoneticPr fontId="3"/>
  </si>
  <si>
    <t>店舗内におけるATMの稼働に由来する排出量はスコープ１，２に計上済。
駅や商業施設のATMのうち、スコープ１，２に含めていない分を対象とする。</t>
    <rPh sb="0" eb="2">
      <t>テンポ</t>
    </rPh>
    <rPh sb="2" eb="3">
      <t>ナイ</t>
    </rPh>
    <rPh sb="11" eb="13">
      <t>カドウ</t>
    </rPh>
    <rPh sb="14" eb="16">
      <t>ユライ</t>
    </rPh>
    <rPh sb="18" eb="20">
      <t>ハイシュツ</t>
    </rPh>
    <rPh sb="20" eb="21">
      <t>リョウ</t>
    </rPh>
    <rPh sb="30" eb="32">
      <t>ケイジョウ</t>
    </rPh>
    <rPh sb="32" eb="33">
      <t>スミ</t>
    </rPh>
    <rPh sb="35" eb="36">
      <t>エキ</t>
    </rPh>
    <rPh sb="37" eb="39">
      <t>ショウギョウ</t>
    </rPh>
    <rPh sb="39" eb="41">
      <t>シセツ</t>
    </rPh>
    <rPh sb="57" eb="58">
      <t>フク</t>
    </rPh>
    <rPh sb="63" eb="64">
      <t>ブン</t>
    </rPh>
    <rPh sb="65" eb="67">
      <t>タイショウ</t>
    </rPh>
    <phoneticPr fontId="3"/>
  </si>
  <si>
    <t xml:space="preserve">1台稼働時排出量（製品仕様）
2.00 [t-CO2/年] </t>
    <rPh sb="1" eb="2">
      <t>ダイ</t>
    </rPh>
    <rPh sb="2" eb="4">
      <t>カドウ</t>
    </rPh>
    <rPh sb="4" eb="5">
      <t>ジ</t>
    </rPh>
    <rPh sb="5" eb="7">
      <t>ハイシュツ</t>
    </rPh>
    <rPh sb="7" eb="8">
      <t>リョウ</t>
    </rPh>
    <rPh sb="9" eb="11">
      <t>セイヒン</t>
    </rPh>
    <rPh sb="11" eb="13">
      <t>シヨウ</t>
    </rPh>
    <rPh sb="27" eb="28">
      <t>ネン</t>
    </rPh>
    <phoneticPr fontId="3"/>
  </si>
  <si>
    <t>t-CO2/年</t>
    <rPh sb="6" eb="7">
      <t>ネン</t>
    </rPh>
    <phoneticPr fontId="3"/>
  </si>
  <si>
    <t>該当するATM</t>
    <rPh sb="0" eb="2">
      <t>ガイトウ</t>
    </rPh>
    <phoneticPr fontId="3"/>
  </si>
  <si>
    <t>ＡＴＭ</t>
    <phoneticPr fontId="3"/>
  </si>
  <si>
    <t>郵送書類</t>
    <rPh sb="0" eb="1">
      <t>ユウソウ</t>
    </rPh>
    <rPh sb="1" eb="3">
      <t>ショルイ</t>
    </rPh>
    <phoneticPr fontId="3"/>
  </si>
  <si>
    <t>通帳</t>
    <rPh sb="0" eb="1">
      <t>ツウチョウ</t>
    </rPh>
    <phoneticPr fontId="3"/>
  </si>
  <si>
    <t>カード</t>
    <phoneticPr fontId="3"/>
  </si>
  <si>
    <t>調達金額
ユニフォーム金額あたり重量　3.00 t/百万円
カード金額あたり重量　4.50 t/百万円
通帳金額あたり重量　5.20 t/百万円
郵送書類類金額あたり重量　12.00 t/百万円
輸送距離 100km</t>
    <phoneticPr fontId="3"/>
  </si>
  <si>
    <t>ユニフォーム</t>
    <phoneticPr fontId="3"/>
  </si>
  <si>
    <t>カード、通帳等の使用が想定されるが、窓口及びATMでの利用となることから、スコープ1,2にて計上済のため、算定対象外。</t>
    <rPh sb="4" eb="6">
      <t>ツウチョウ</t>
    </rPh>
    <rPh sb="6" eb="7">
      <t>ナド</t>
    </rPh>
    <rPh sb="8" eb="10">
      <t>シヨウ</t>
    </rPh>
    <rPh sb="11" eb="13">
      <t>ソウテイ</t>
    </rPh>
    <rPh sb="18" eb="20">
      <t>マドグチ</t>
    </rPh>
    <rPh sb="20" eb="21">
      <t>オヨ</t>
    </rPh>
    <rPh sb="27" eb="29">
      <t>リヨウ</t>
    </rPh>
    <rPh sb="46" eb="48">
      <t>ケイジョウ</t>
    </rPh>
    <rPh sb="48" eb="49">
      <t>スミ</t>
    </rPh>
    <rPh sb="53" eb="55">
      <t>サンテイ</t>
    </rPh>
    <rPh sb="55" eb="57">
      <t>タイショウ</t>
    </rPh>
    <rPh sb="57" eb="58">
      <t>ガイ</t>
    </rPh>
    <phoneticPr fontId="3"/>
  </si>
  <si>
    <t>加工を要する製品を販売していないため、算定対象外。</t>
    <rPh sb="0" eb="2">
      <t>カコウ</t>
    </rPh>
    <rPh sb="3" eb="4">
      <t>ヨウ</t>
    </rPh>
    <phoneticPr fontId="3"/>
  </si>
  <si>
    <t>営業車輌、オフィス機器等を借りているが、これらの使用に伴う排出量はScope1,2に計上されているため、算定対象外。</t>
    <rPh sb="0" eb="1">
      <t>エイギョウ</t>
    </rPh>
    <rPh sb="7" eb="9">
      <t>キキ</t>
    </rPh>
    <rPh sb="9" eb="10">
      <t>ナド</t>
    </rPh>
    <rPh sb="13" eb="14">
      <t>カ</t>
    </rPh>
    <rPh sb="16" eb="18">
      <t>シャリョウ</t>
    </rPh>
    <rPh sb="22" eb="24">
      <t>シヨウ</t>
    </rPh>
    <rPh sb="25" eb="26">
      <t>トモナ</t>
    </rPh>
    <rPh sb="27" eb="28">
      <t>リョウ</t>
    </rPh>
    <rPh sb="38" eb="40">
      <t>ケイジョウ</t>
    </rPh>
    <rPh sb="51" eb="53">
      <t>サンテイ</t>
    </rPh>
    <rPh sb="53" eb="55">
      <t>タイショウ</t>
    </rPh>
    <rPh sb="55" eb="56">
      <t>ガイ</t>
    </rPh>
    <phoneticPr fontId="3"/>
  </si>
  <si>
    <t>算定対象範囲：
環境マネジメントシステムの対象範囲の従業員</t>
    <phoneticPr fontId="3"/>
  </si>
  <si>
    <t>算定対象範囲：
環境マネジメントシステムの対象範囲の従業員</t>
    <rPh sb="26" eb="29">
      <t>ジュウギョウイン</t>
    </rPh>
    <phoneticPr fontId="3"/>
  </si>
  <si>
    <t>輸送段階を含めて評価している。なお、有価物はカテゴリ5の対象となる活動ではないため除外。</t>
    <rPh sb="28" eb="30">
      <t>タイショウ</t>
    </rPh>
    <phoneticPr fontId="3"/>
  </si>
  <si>
    <t>環境省DB[5]郵便・信書便</t>
    <rPh sb="0" eb="3">
      <t>カンキョウショウ</t>
    </rPh>
    <rPh sb="8" eb="10">
      <t>ユウビン</t>
    </rPh>
    <rPh sb="11" eb="13">
      <t>シンショ</t>
    </rPh>
    <rPh sb="13" eb="14">
      <t>ビン</t>
    </rPh>
    <phoneticPr fontId="3"/>
  </si>
  <si>
    <t>郵送費</t>
    <rPh sb="0" eb="3">
      <t>ユウソウヒ</t>
    </rPh>
    <phoneticPr fontId="3"/>
  </si>
  <si>
    <t>調達金額
ユニフォーム金額あたり重量　3.00 t/百万円
カード金額あたり重量　4.50 t/百万円
通帳金額あたり重量　5.20 t/百万円
郵送書類類金額あたり重量　12.00 t/百万円
輸送距離 100km</t>
    <rPh sb="0" eb="2">
      <t>チョウタツ</t>
    </rPh>
    <rPh sb="2" eb="4">
      <t>キンガク</t>
    </rPh>
    <rPh sb="11" eb="13">
      <t>キンガク</t>
    </rPh>
    <rPh sb="16" eb="18">
      <t>ジュウリョウ</t>
    </rPh>
    <rPh sb="26" eb="29">
      <t>ヒャクマンエン</t>
    </rPh>
    <rPh sb="33" eb="35">
      <t>キンガク</t>
    </rPh>
    <rPh sb="38" eb="40">
      <t>ジュウリョウ</t>
    </rPh>
    <rPh sb="48" eb="51">
      <t>ヒャクマンエン</t>
    </rPh>
    <rPh sb="52" eb="54">
      <t>ツウチョウ</t>
    </rPh>
    <rPh sb="54" eb="56">
      <t>キンガク</t>
    </rPh>
    <rPh sb="59" eb="61">
      <t>ジュウリョウ</t>
    </rPh>
    <rPh sb="69" eb="72">
      <t>ヒャクマンエン</t>
    </rPh>
    <rPh sb="73" eb="75">
      <t>ユウソウ</t>
    </rPh>
    <rPh sb="75" eb="77">
      <t>ショルイ</t>
    </rPh>
    <rPh sb="77" eb="78">
      <t>ルイ</t>
    </rPh>
    <rPh sb="78" eb="80">
      <t>キンガク</t>
    </rPh>
    <rPh sb="83" eb="85">
      <t>ジュウリョウ</t>
    </rPh>
    <rPh sb="94" eb="97">
      <t>ヒャクマンエン</t>
    </rPh>
    <rPh sb="98" eb="100">
      <t>ユソウ</t>
    </rPh>
    <rPh sb="100" eb="102">
      <t>キョリ</t>
    </rPh>
    <phoneticPr fontId="3"/>
  </si>
  <si>
    <t>環境省DB[6]「その他の対事業所サービス」</t>
    <rPh sb="0" eb="3">
      <t>カンキョウショウ</t>
    </rPh>
    <rPh sb="11" eb="12">
      <t>タ</t>
    </rPh>
    <rPh sb="13" eb="14">
      <t>タイ</t>
    </rPh>
    <rPh sb="14" eb="17">
      <t>ジギョウショ</t>
    </rPh>
    <phoneticPr fontId="3"/>
  </si>
  <si>
    <t>コンサルタント</t>
    <phoneticPr fontId="3"/>
  </si>
  <si>
    <t>システム開発</t>
    <rPh sb="4" eb="6">
      <t>カイハツ</t>
    </rPh>
    <phoneticPr fontId="3"/>
  </si>
  <si>
    <t>環境省DB[6]「金融・保険」</t>
    <rPh sb="0" eb="3">
      <t>カンキョウショウ</t>
    </rPh>
    <rPh sb="9" eb="11">
      <t>キンユウ</t>
    </rPh>
    <rPh sb="12" eb="14">
      <t>ホケン</t>
    </rPh>
    <phoneticPr fontId="3"/>
  </si>
  <si>
    <t>t-CO2/百万円</t>
    <phoneticPr fontId="3"/>
  </si>
  <si>
    <t>銀行、証券</t>
    <rPh sb="0" eb="2">
      <t>ギンコウ</t>
    </rPh>
    <rPh sb="3" eb="5">
      <t>ショウケン</t>
    </rPh>
    <phoneticPr fontId="3"/>
  </si>
  <si>
    <t>事務用品</t>
    <phoneticPr fontId="3"/>
  </si>
  <si>
    <t>環境省DB[5]「機械修理」</t>
    <rPh sb="9" eb="11">
      <t>キカイ</t>
    </rPh>
    <rPh sb="11" eb="13">
      <t>シュウリ</t>
    </rPh>
    <phoneticPr fontId="3"/>
  </si>
  <si>
    <t>メンテナンス費</t>
    <rPh sb="6" eb="7">
      <t>ヒ</t>
    </rPh>
    <phoneticPr fontId="3"/>
  </si>
  <si>
    <t>環境省DB[5]印刷・製版・製本</t>
    <rPh sb="0" eb="2">
      <t>カンキョウショウ</t>
    </rPh>
    <phoneticPr fontId="3"/>
  </si>
  <si>
    <t>郵送書類</t>
    <rPh sb="0" eb="2">
      <t>ユウソウ</t>
    </rPh>
    <rPh sb="2" eb="4">
      <t>ショルイ</t>
    </rPh>
    <phoneticPr fontId="3"/>
  </si>
  <si>
    <t>環境省DB[5]その他のパルプ・紙・紙加工品</t>
  </si>
  <si>
    <t>通帳</t>
    <rPh sb="0" eb="2">
      <t>ツウチョウ</t>
    </rPh>
    <phoneticPr fontId="3"/>
  </si>
  <si>
    <t>ユニフォーム</t>
    <phoneticPr fontId="3"/>
  </si>
  <si>
    <t>算定対象範囲：
環境マネジメントシステムの対象範囲</t>
    <phoneticPr fontId="3"/>
  </si>
  <si>
    <t>銀行会社を中心とする持株会社。同事業の運営のため、証券会社、システム開発会社、コンサルタント会社等も傘下に持つ。</t>
    <rPh sb="0" eb="2">
      <t>ギンコウ</t>
    </rPh>
    <rPh sb="2" eb="4">
      <t>カイシャ</t>
    </rPh>
    <rPh sb="5" eb="7">
      <t>チュウシン</t>
    </rPh>
    <rPh sb="10" eb="12">
      <t>モチカブ</t>
    </rPh>
    <rPh sb="12" eb="14">
      <t>ガイシャ</t>
    </rPh>
    <rPh sb="15" eb="18">
      <t>ドウジギョウ</t>
    </rPh>
    <rPh sb="19" eb="21">
      <t>ウンエイ</t>
    </rPh>
    <rPh sb="25" eb="27">
      <t>ショウケン</t>
    </rPh>
    <rPh sb="27" eb="29">
      <t>カイシャ</t>
    </rPh>
    <rPh sb="34" eb="36">
      <t>カイハツ</t>
    </rPh>
    <rPh sb="36" eb="38">
      <t>カイシャ</t>
    </rPh>
    <rPh sb="46" eb="48">
      <t>カイシャ</t>
    </rPh>
    <rPh sb="48" eb="49">
      <t>ナド</t>
    </rPh>
    <rPh sb="50" eb="52">
      <t>サンカ</t>
    </rPh>
    <rPh sb="53" eb="54">
      <t>モ</t>
    </rPh>
    <phoneticPr fontId="3"/>
  </si>
  <si>
    <t>■想定した銀行業の事業イメージ</t>
    <rPh sb="1" eb="3">
      <t>ソウテイ</t>
    </rPh>
    <rPh sb="5" eb="7">
      <t>ギンコウ</t>
    </rPh>
    <rPh sb="7" eb="8">
      <t>ギョウ</t>
    </rPh>
    <rPh sb="9" eb="11">
      <t>ジギョウ</t>
    </rPh>
    <phoneticPr fontId="3"/>
  </si>
  <si>
    <t>フランチャイズ店舗の運営に伴う排出量は、Scope1,2に計上済のため、算定対象外。</t>
    <rPh sb="7" eb="9">
      <t>テンポ</t>
    </rPh>
    <rPh sb="10" eb="12">
      <t>ウンエイ</t>
    </rPh>
    <rPh sb="13" eb="14">
      <t>トモナ</t>
    </rPh>
    <rPh sb="15" eb="17">
      <t>ハイシュツ</t>
    </rPh>
    <rPh sb="17" eb="18">
      <t>リョウ</t>
    </rPh>
    <rPh sb="29" eb="31">
      <t>ケイジョウ</t>
    </rPh>
    <rPh sb="31" eb="32">
      <t>スミ</t>
    </rPh>
    <rPh sb="36" eb="38">
      <t>サンテイ</t>
    </rPh>
    <rPh sb="38" eb="40">
      <t>タイショウ</t>
    </rPh>
    <rPh sb="40" eb="41">
      <t>ガイ</t>
    </rPh>
    <phoneticPr fontId="3"/>
  </si>
  <si>
    <t>テナント</t>
    <phoneticPr fontId="3"/>
  </si>
  <si>
    <t>算定対象範囲：
環境マネジメントシステムの対象範囲</t>
    <phoneticPr fontId="3"/>
  </si>
  <si>
    <t>ブランド商品として販売している缶詰の缶が対象</t>
    <rPh sb="3" eb="5">
      <t>ショウヒン</t>
    </rPh>
    <rPh sb="8" eb="10">
      <t>ハンバイ</t>
    </rPh>
    <rPh sb="14" eb="16">
      <t>カンヅメ</t>
    </rPh>
    <rPh sb="17" eb="18">
      <t>カン</t>
    </rPh>
    <rPh sb="19" eb="21">
      <t>タイショウ</t>
    </rPh>
    <phoneticPr fontId="3"/>
  </si>
  <si>
    <t>環境省DB[9]廃棄物種類別 金属くず</t>
    <rPh sb="15" eb="17">
      <t>キンゾク</t>
    </rPh>
    <phoneticPr fontId="3"/>
  </si>
  <si>
    <t>購入重量</t>
    <rPh sb="2" eb="4">
      <t>ジュウリョウ</t>
    </rPh>
    <phoneticPr fontId="3"/>
  </si>
  <si>
    <t>缶詰用缶</t>
    <rPh sb="0" eb="1">
      <t>カン</t>
    </rPh>
    <rPh sb="1" eb="2">
      <t>ツ</t>
    </rPh>
    <rPh sb="2" eb="3">
      <t>ヨウ</t>
    </rPh>
    <rPh sb="3" eb="4">
      <t>カン</t>
    </rPh>
    <phoneticPr fontId="3"/>
  </si>
  <si>
    <t>算定対象範囲：
環境マネジメントシステムの対象範囲が販売している商品</t>
    <phoneticPr fontId="3"/>
  </si>
  <si>
    <t>電子レンジによる調理時の排出量を対象とした。
当該排出量は、間接使用段階排出であり、任意算定対象であるが、算定している。</t>
    <rPh sb="0" eb="2">
      <t>デンシ</t>
    </rPh>
    <rPh sb="8" eb="10">
      <t>チョウリ</t>
    </rPh>
    <rPh sb="10" eb="11">
      <t>ジ</t>
    </rPh>
    <rPh sb="12" eb="14">
      <t>ハイシュツ</t>
    </rPh>
    <rPh sb="14" eb="15">
      <t>リョウ</t>
    </rPh>
    <rPh sb="16" eb="18">
      <t>タイショウ</t>
    </rPh>
    <rPh sb="23" eb="25">
      <t>トウガイ</t>
    </rPh>
    <rPh sb="25" eb="27">
      <t>ハイシュツ</t>
    </rPh>
    <rPh sb="27" eb="28">
      <t>リョウ</t>
    </rPh>
    <rPh sb="30" eb="32">
      <t>カンセツ</t>
    </rPh>
    <rPh sb="32" eb="34">
      <t>シヨウ</t>
    </rPh>
    <rPh sb="34" eb="36">
      <t>ダンカイ</t>
    </rPh>
    <rPh sb="36" eb="38">
      <t>ハイシュツ</t>
    </rPh>
    <rPh sb="42" eb="44">
      <t>ニンイ</t>
    </rPh>
    <rPh sb="44" eb="46">
      <t>サンテイ</t>
    </rPh>
    <rPh sb="46" eb="48">
      <t>タイショウ</t>
    </rPh>
    <rPh sb="53" eb="55">
      <t>サンテイ</t>
    </rPh>
    <phoneticPr fontId="3"/>
  </si>
  <si>
    <t>電子レンジによる調理（500Wの電子レンジで調理時間8分加熱）
電気事業者別排出係数 代替値 
0.000579 t-CO2/kWh
排出量　0.0000386＝0.000579×8/60×0.5</t>
    <rPh sb="0" eb="2">
      <t>デンシ</t>
    </rPh>
    <rPh sb="8" eb="10">
      <t>チョウリ</t>
    </rPh>
    <rPh sb="33" eb="35">
      <t>デンキ</t>
    </rPh>
    <rPh sb="35" eb="38">
      <t>ジギョウシャ</t>
    </rPh>
    <rPh sb="38" eb="39">
      <t>ベツ</t>
    </rPh>
    <rPh sb="39" eb="41">
      <t>ハイシュツ</t>
    </rPh>
    <rPh sb="41" eb="43">
      <t>ケイスウ</t>
    </rPh>
    <rPh sb="44" eb="46">
      <t>ダイタイ</t>
    </rPh>
    <rPh sb="46" eb="47">
      <t>アタイ</t>
    </rPh>
    <rPh sb="69" eb="71">
      <t>ハイシュツ</t>
    </rPh>
    <rPh sb="71" eb="72">
      <t>リョウ</t>
    </rPh>
    <phoneticPr fontId="261"/>
  </si>
  <si>
    <t>食料品販売個数</t>
    <rPh sb="0" eb="3">
      <t>ショクリョウヒン</t>
    </rPh>
    <rPh sb="3" eb="5">
      <t>ハンバイ</t>
    </rPh>
    <rPh sb="5" eb="7">
      <t>コスウ</t>
    </rPh>
    <phoneticPr fontId="3"/>
  </si>
  <si>
    <t>食料品</t>
    <rPh sb="0" eb="3">
      <t>ショクリョウヒン</t>
    </rPh>
    <phoneticPr fontId="3"/>
  </si>
  <si>
    <t>CFP DB B-JP DB ver.1.01
「トラック輸送（10トン車：積載率62%）」</t>
    <phoneticPr fontId="3"/>
  </si>
  <si>
    <t>t-CO2/tkm</t>
    <phoneticPr fontId="3"/>
  </si>
  <si>
    <t>出荷数（100,000 個）
１個当たり重量　0.001 t
ネット販売売上比率　60%
輸送距離（500km）
2.40E+04＝100000×0.001×0.6×500</t>
    <rPh sb="0" eb="1">
      <t>シュッカ</t>
    </rPh>
    <rPh sb="1" eb="2">
      <t>スウ</t>
    </rPh>
    <rPh sb="11" eb="12">
      <t>コ</t>
    </rPh>
    <rPh sb="15" eb="16">
      <t>コ</t>
    </rPh>
    <rPh sb="16" eb="17">
      <t>ア</t>
    </rPh>
    <rPh sb="19" eb="21">
      <t>ジュウリョウ</t>
    </rPh>
    <rPh sb="32" eb="34">
      <t>ハンバイ</t>
    </rPh>
    <rPh sb="34" eb="36">
      <t>ウリアゲ</t>
    </rPh>
    <rPh sb="36" eb="38">
      <t>ヒリツ</t>
    </rPh>
    <rPh sb="43" eb="45">
      <t>ユソウ</t>
    </rPh>
    <rPh sb="45" eb="47">
      <t>キョリ</t>
    </rPh>
    <phoneticPr fontId="3"/>
  </si>
  <si>
    <t>tkm</t>
    <phoneticPr fontId="3"/>
  </si>
  <si>
    <t>算定対象範囲：
環境マネジメントシステムの対象範囲</t>
    <phoneticPr fontId="3"/>
  </si>
  <si>
    <t>t</t>
    <phoneticPr fontId="3"/>
  </si>
  <si>
    <t>オフィスごみ</t>
    <phoneticPr fontId="3"/>
  </si>
  <si>
    <t>アメニティグッズの廃棄が主であり、「廃プラスチック類」の原単位を適用</t>
    <rPh sb="9" eb="11">
      <t>ハイキ</t>
    </rPh>
    <rPh sb="12" eb="13">
      <t>オモ</t>
    </rPh>
    <rPh sb="18" eb="19">
      <t>ハイ</t>
    </rPh>
    <rPh sb="25" eb="26">
      <t>ルイ</t>
    </rPh>
    <rPh sb="28" eb="31">
      <t>ゲンタンイ</t>
    </rPh>
    <rPh sb="32" eb="34">
      <t>テキヨウ</t>
    </rPh>
    <phoneticPr fontId="3"/>
  </si>
  <si>
    <t>客室廃棄物</t>
    <rPh sb="0" eb="2">
      <t>キャクシツ</t>
    </rPh>
    <rPh sb="2" eb="5">
      <t>ハイキブツ</t>
    </rPh>
    <phoneticPr fontId="3"/>
  </si>
  <si>
    <t>産廃以外の食品廃棄物（賞味期限切れした生鮮食品など）が対象。</t>
    <rPh sb="0" eb="2">
      <t>サンパイ</t>
    </rPh>
    <rPh sb="2" eb="4">
      <t>イガイ</t>
    </rPh>
    <rPh sb="5" eb="7">
      <t>ショクヒン</t>
    </rPh>
    <rPh sb="7" eb="9">
      <t>ハイキ</t>
    </rPh>
    <rPh sb="9" eb="10">
      <t>ブツ</t>
    </rPh>
    <rPh sb="11" eb="13">
      <t>ショウミ</t>
    </rPh>
    <rPh sb="13" eb="15">
      <t>キゲン</t>
    </rPh>
    <rPh sb="15" eb="16">
      <t>キ</t>
    </rPh>
    <rPh sb="19" eb="21">
      <t>セイセン</t>
    </rPh>
    <rPh sb="21" eb="23">
      <t>ショクヒン</t>
    </rPh>
    <rPh sb="27" eb="29">
      <t>タイショウ</t>
    </rPh>
    <phoneticPr fontId="3"/>
  </si>
  <si>
    <t>環境省DB[9]廃棄物種類別 動植物性残渣</t>
    <rPh sb="0" eb="3">
      <t>カンキョウショウ</t>
    </rPh>
    <rPh sb="8" eb="11">
      <t>ハイキブツ</t>
    </rPh>
    <rPh sb="11" eb="13">
      <t>シュルイ</t>
    </rPh>
    <rPh sb="13" eb="14">
      <t>ベツ</t>
    </rPh>
    <rPh sb="15" eb="18">
      <t>ドウショクブツ</t>
    </rPh>
    <rPh sb="18" eb="19">
      <t>セイ</t>
    </rPh>
    <rPh sb="19" eb="21">
      <t>ザンサ</t>
    </rPh>
    <phoneticPr fontId="3"/>
  </si>
  <si>
    <t>食品廃棄</t>
    <rPh sb="0" eb="2">
      <t>ショクヒン</t>
    </rPh>
    <rPh sb="2" eb="4">
      <t>ハイキ</t>
    </rPh>
    <phoneticPr fontId="261"/>
  </si>
  <si>
    <t>環境省DB[9]廃棄物種類別 汚泥</t>
    <rPh sb="0" eb="3">
      <t>カンキョウショウ</t>
    </rPh>
    <rPh sb="8" eb="11">
      <t>ハイキブツ</t>
    </rPh>
    <rPh sb="11" eb="13">
      <t>シュルイ</t>
    </rPh>
    <rPh sb="13" eb="14">
      <t>ベツ</t>
    </rPh>
    <rPh sb="15" eb="17">
      <t>オデイ</t>
    </rPh>
    <phoneticPr fontId="3"/>
  </si>
  <si>
    <t>CFP DB B-JP DB ver.1.01
「トラック輸送（10トン車：積載率62%）」</t>
    <phoneticPr fontId="3"/>
  </si>
  <si>
    <t>購入重量
'購入金額
以下、代表製品から推計
＜金額あたり重量 代表製品＞
ビール金額あたり重量　0.90 t/百万円
茶・コーヒー金額あたり重量　15.00 t/百万円
飲料類金額あたり重量　15.00 t/百万円
ボディケア金額あたり重量　0.80 t/百万円
ヘアケア金額あたり重量　0.80 t/百万円
オーラルケア金額あたり重量　0.05 t/百万円
例．野菜の重量
1800[t]＝2000[百万円]×0.90[t/百万円]
輸送距離（500km）</t>
    <rPh sb="0" eb="1">
      <t>コウニュウ</t>
    </rPh>
    <rPh sb="1" eb="3">
      <t>ジュウリョウ</t>
    </rPh>
    <rPh sb="60" eb="61">
      <t>チャ</t>
    </rPh>
    <rPh sb="115" eb="117">
      <t>キンガク</t>
    </rPh>
    <rPh sb="120" eb="122">
      <t>ジュウリョウ</t>
    </rPh>
    <rPh sb="130" eb="133">
      <t>ヒャクマンエン</t>
    </rPh>
    <rPh sb="138" eb="140">
      <t>キンガク</t>
    </rPh>
    <rPh sb="143" eb="145">
      <t>ジュウリョウ</t>
    </rPh>
    <rPh sb="153" eb="156">
      <t>ヒャクマンエン</t>
    </rPh>
    <rPh sb="163" eb="165">
      <t>キンガク</t>
    </rPh>
    <rPh sb="168" eb="170">
      <t>ジュウリョウ</t>
    </rPh>
    <rPh sb="178" eb="181">
      <t>ヒャクマンエン</t>
    </rPh>
    <rPh sb="221" eb="223">
      <t>ユソウ</t>
    </rPh>
    <rPh sb="223" eb="225">
      <t>キョリ</t>
    </rPh>
    <phoneticPr fontId="3"/>
  </si>
  <si>
    <t>調達物流（国内陸上輸送）
他社-自社工場、倉庫、店舗</t>
    <rPh sb="0" eb="2">
      <t>チョウタツ</t>
    </rPh>
    <rPh sb="2" eb="4">
      <t>ブツリュウ</t>
    </rPh>
    <rPh sb="5" eb="7">
      <t>コクナイ</t>
    </rPh>
    <rPh sb="7" eb="9">
      <t>リクジョウ</t>
    </rPh>
    <rPh sb="9" eb="11">
      <t>ユソウ</t>
    </rPh>
    <rPh sb="13" eb="15">
      <t>タシャ</t>
    </rPh>
    <rPh sb="16" eb="18">
      <t>ジシャ</t>
    </rPh>
    <rPh sb="18" eb="20">
      <t>コウジョウ</t>
    </rPh>
    <rPh sb="21" eb="23">
      <t>ソウコ</t>
    </rPh>
    <rPh sb="24" eb="26">
      <t>テンポ</t>
    </rPh>
    <phoneticPr fontId="3"/>
  </si>
  <si>
    <t>自社倉庫から自社工場、自社工場から店舗までの輸送が該当。グループ会社が担いスコープ1,2に計上されており、カテゴリ4では計上しない。</t>
    <rPh sb="0" eb="2">
      <t>ジシャ</t>
    </rPh>
    <rPh sb="2" eb="4">
      <t>ソウコ</t>
    </rPh>
    <rPh sb="6" eb="8">
      <t>ジシャ</t>
    </rPh>
    <rPh sb="8" eb="10">
      <t>コウジョウ</t>
    </rPh>
    <rPh sb="11" eb="13">
      <t>ジシャ</t>
    </rPh>
    <rPh sb="13" eb="15">
      <t>コウジョウ</t>
    </rPh>
    <rPh sb="17" eb="19">
      <t>テンポ</t>
    </rPh>
    <rPh sb="22" eb="24">
      <t>ユソウ</t>
    </rPh>
    <rPh sb="25" eb="27">
      <t>ガイトウ</t>
    </rPh>
    <phoneticPr fontId="3"/>
  </si>
  <si>
    <t>t-CO2</t>
  </si>
  <si>
    <t>出荷物流（国内陸上輸送）
自社倉庫-自社店舗</t>
    <rPh sb="0" eb="2">
      <t>シュッカ</t>
    </rPh>
    <rPh sb="2" eb="4">
      <t>ブツリュウ</t>
    </rPh>
    <rPh sb="5" eb="7">
      <t>コクナイ</t>
    </rPh>
    <rPh sb="7" eb="9">
      <t>リクジョウ</t>
    </rPh>
    <rPh sb="9" eb="11">
      <t>ユソウ</t>
    </rPh>
    <rPh sb="13" eb="15">
      <t>ジシャ</t>
    </rPh>
    <rPh sb="15" eb="17">
      <t>ソウコ</t>
    </rPh>
    <rPh sb="18" eb="20">
      <t>ジシャ</t>
    </rPh>
    <rPh sb="20" eb="22">
      <t>テンポ</t>
    </rPh>
    <phoneticPr fontId="3"/>
  </si>
  <si>
    <t>環境省DB[6] 食料品</t>
    <rPh sb="0" eb="3">
      <t>カンキョウショウ</t>
    </rPh>
    <rPh sb="9" eb="12">
      <t>ショクリョウヒン</t>
    </rPh>
    <phoneticPr fontId="3"/>
  </si>
  <si>
    <t>百万円</t>
    <phoneticPr fontId="3"/>
  </si>
  <si>
    <t>環境省DB[6] 宿泊業</t>
    <rPh sb="9" eb="11">
      <t>シュクハク</t>
    </rPh>
    <rPh sb="11" eb="12">
      <t>ギョウ</t>
    </rPh>
    <phoneticPr fontId="3"/>
  </si>
  <si>
    <t>ホテル</t>
    <phoneticPr fontId="3"/>
  </si>
  <si>
    <t>リネンサプライ</t>
  </si>
  <si>
    <t>歯ブラシと歯磨き粉は適用すべき排出原単位が異なるが、活動量を分割できないため、排出量を過小評価しないよう大きい排出原単位「化粧品・歯磨」を適用する。</t>
    <rPh sb="0" eb="1">
      <t>ハ</t>
    </rPh>
    <rPh sb="5" eb="7">
      <t>ハミガ</t>
    </rPh>
    <rPh sb="8" eb="9">
      <t>コナ</t>
    </rPh>
    <rPh sb="10" eb="12">
      <t>テキヨウ</t>
    </rPh>
    <rPh sb="15" eb="17">
      <t>ハイシュツ</t>
    </rPh>
    <rPh sb="17" eb="20">
      <t>ゲンタンイ</t>
    </rPh>
    <rPh sb="21" eb="22">
      <t>コト</t>
    </rPh>
    <rPh sb="26" eb="28">
      <t>カツドウ</t>
    </rPh>
    <rPh sb="28" eb="29">
      <t>リョウ</t>
    </rPh>
    <rPh sb="30" eb="32">
      <t>ブンカツ</t>
    </rPh>
    <rPh sb="39" eb="41">
      <t>ハイシュツ</t>
    </rPh>
    <rPh sb="41" eb="42">
      <t>リョウ</t>
    </rPh>
    <rPh sb="43" eb="45">
      <t>カショウ</t>
    </rPh>
    <rPh sb="45" eb="47">
      <t>ヒョウカ</t>
    </rPh>
    <rPh sb="52" eb="53">
      <t>オオ</t>
    </rPh>
    <rPh sb="55" eb="57">
      <t>ハイシュツ</t>
    </rPh>
    <rPh sb="57" eb="60">
      <t>ゲンタンイ</t>
    </rPh>
    <rPh sb="61" eb="64">
      <t>ケショウヒン</t>
    </rPh>
    <rPh sb="65" eb="67">
      <t>ハミガ</t>
    </rPh>
    <rPh sb="69" eb="71">
      <t>テキヨウ</t>
    </rPh>
    <phoneticPr fontId="3"/>
  </si>
  <si>
    <t>環境省DB[5]「化粧品・歯磨」</t>
    <rPh sb="9" eb="12">
      <t>ケショウヒン</t>
    </rPh>
    <rPh sb="13" eb="15">
      <t>ハミガキ</t>
    </rPh>
    <phoneticPr fontId="3"/>
  </si>
  <si>
    <t>オーラルケア</t>
  </si>
  <si>
    <t>環境省DB[5]「化粧品・歯磨」</t>
  </si>
  <si>
    <t>ヘアケア</t>
  </si>
  <si>
    <t>環境省DB[5]「石けん・合成洗剤・界面活性剤」</t>
  </si>
  <si>
    <t>ボディケア</t>
  </si>
  <si>
    <t>CFP DB B-JP318002「食缶（缶詰用缶）」</t>
    <rPh sb="18" eb="20">
      <t>ショッカン</t>
    </rPh>
    <rPh sb="21" eb="24">
      <t>カンヅメヨウ</t>
    </rPh>
    <rPh sb="24" eb="25">
      <t>カン</t>
    </rPh>
    <phoneticPr fontId="3"/>
  </si>
  <si>
    <t>t-CO2/t</t>
    <phoneticPr fontId="3"/>
  </si>
  <si>
    <t>食品購入明細</t>
    <rPh sb="0" eb="2">
      <t>ショクヒン</t>
    </rPh>
    <phoneticPr fontId="3"/>
  </si>
  <si>
    <t>環境省DB(5)「清涼飲料」</t>
  </si>
  <si>
    <t>清涼飲料</t>
  </si>
  <si>
    <t>環境省DB(5)「茶・コーヒー」</t>
  </si>
  <si>
    <t>茶・コーヒー</t>
  </si>
  <si>
    <t>環境省DB(5)「ビール」</t>
  </si>
  <si>
    <t>ビール</t>
  </si>
  <si>
    <t>CFP DB B-JP303022「かに類」</t>
  </si>
  <si>
    <t>かに類</t>
    <rPh sb="2" eb="3">
      <t>ルイ</t>
    </rPh>
    <phoneticPr fontId="3"/>
  </si>
  <si>
    <t>CFP DB B-JP303021「えび類」</t>
  </si>
  <si>
    <t>えび類</t>
    <rPh sb="2" eb="3">
      <t>ルイ</t>
    </rPh>
    <phoneticPr fontId="3"/>
  </si>
  <si>
    <t>CFP DB B-JP303012「ぶり類」</t>
  </si>
  <si>
    <t>ぶり類</t>
    <rPh sb="2" eb="3">
      <t>ルイ</t>
    </rPh>
    <phoneticPr fontId="3"/>
  </si>
  <si>
    <t>CFP DB B-JP303011「たい類」</t>
  </si>
  <si>
    <t>たい類</t>
    <rPh sb="2" eb="3">
      <t>ルイ</t>
    </rPh>
    <phoneticPr fontId="3"/>
  </si>
  <si>
    <t>CFP DB B-JP303004「さけ類」</t>
  </si>
  <si>
    <t>さけ類</t>
    <rPh sb="2" eb="3">
      <t>ルイ</t>
    </rPh>
    <phoneticPr fontId="3"/>
  </si>
  <si>
    <t>CFP DB B-JP303003「かつお類」</t>
  </si>
  <si>
    <t>かつお類</t>
    <rPh sb="3" eb="4">
      <t>ルイ</t>
    </rPh>
    <phoneticPr fontId="3"/>
  </si>
  <si>
    <t>CFP DB B-JP303001「まぐろ類」</t>
  </si>
  <si>
    <t>まぐろ類</t>
    <rPh sb="3" eb="4">
      <t>ルイ</t>
    </rPh>
    <phoneticPr fontId="3"/>
  </si>
  <si>
    <t>CFP DB B-JP305041「豚部分肉」</t>
  </si>
  <si>
    <t>豚部分肉</t>
  </si>
  <si>
    <t>CFP DB B-JP305040「牛部分肉」</t>
  </si>
  <si>
    <t>牛部分肉</t>
  </si>
  <si>
    <t>CFP DB B-JP305038「豆腐、しみ豆腐、油揚げ類」</t>
  </si>
  <si>
    <t>豆腐、しみ豆腐、油揚げ類</t>
  </si>
  <si>
    <t>CFP DB B-JP305036「マーガリン」</t>
  </si>
  <si>
    <t>マーガリン</t>
  </si>
  <si>
    <t>CFP DB B-JP305031「混合植物油脂」</t>
  </si>
  <si>
    <t>混合植物油脂</t>
  </si>
  <si>
    <t>CFP DB B-JP305028「小麦粉」</t>
  </si>
  <si>
    <t>小麦粉</t>
  </si>
  <si>
    <t>CFP DB B-JP305026「精米」</t>
  </si>
  <si>
    <t>精米</t>
  </si>
  <si>
    <t>CFP DB B-JP305022「精製糖」</t>
  </si>
  <si>
    <t>精製糖</t>
  </si>
  <si>
    <t>CFP DB B-JP305019「香辛料」</t>
  </si>
  <si>
    <t>香辛料</t>
  </si>
  <si>
    <t>CFP DB B-JP305014「しょう油、食用アミノ酸」</t>
  </si>
  <si>
    <t>しょう油</t>
    <phoneticPr fontId="3"/>
  </si>
  <si>
    <t>CFP DB B-JP305013「味そ」</t>
  </si>
  <si>
    <t>味そ</t>
  </si>
  <si>
    <t>CFP DB B-JP305002「バター」</t>
  </si>
  <si>
    <t>バター</t>
  </si>
  <si>
    <t>CFP DB B-JP301017「生乳」</t>
  </si>
  <si>
    <t>生乳</t>
  </si>
  <si>
    <t>CFP DB B-JP301015「熱帯産果実（キウイフルーツ、パインアップル等）」</t>
  </si>
  <si>
    <t>熱帯産果実</t>
    <phoneticPr fontId="261"/>
  </si>
  <si>
    <t>CFP DB B-JP301009「根菜類」</t>
  </si>
  <si>
    <t>根菜類</t>
  </si>
  <si>
    <t>CFP DB B-JP301008「葉茎菜類」</t>
  </si>
  <si>
    <t>葉茎菜類</t>
  </si>
  <si>
    <t>CFP DB B-JP301006「果菜類（施設）」</t>
  </si>
  <si>
    <t>果菜類（施設）</t>
    <phoneticPr fontId="3"/>
  </si>
  <si>
    <t>CFP DB B-JP301005「いも類」</t>
  </si>
  <si>
    <t>いも類</t>
  </si>
  <si>
    <t>CFP DB B-JP301004「雑穀」</t>
  </si>
  <si>
    <t>雑穀</t>
  </si>
  <si>
    <t>CFP DB B-JP301003「豆類」</t>
  </si>
  <si>
    <t>豆類</t>
  </si>
  <si>
    <t>CFP DB B-JP301002「麦類」</t>
  </si>
  <si>
    <t>麦類</t>
  </si>
  <si>
    <t>CFP DB B-JP301001「玄米」</t>
  </si>
  <si>
    <t>玄米</t>
  </si>
  <si>
    <t>国内でホテルを経営する宿泊事業者。また、これらの事業の運営に付随して食品会社を傘下に持ち、店頭及びネット通販によるブランド商品の販売を行っている。また、輸送会社を傘下に持つ。</t>
    <rPh sb="0" eb="2">
      <t>コクナイ</t>
    </rPh>
    <rPh sb="7" eb="9">
      <t>ケイエイ</t>
    </rPh>
    <rPh sb="11" eb="13">
      <t>シュクハク</t>
    </rPh>
    <rPh sb="13" eb="16">
      <t>ジギョウシャ</t>
    </rPh>
    <rPh sb="30" eb="32">
      <t>フズイ</t>
    </rPh>
    <rPh sb="34" eb="36">
      <t>ショクヒン</t>
    </rPh>
    <rPh sb="36" eb="38">
      <t>ガイシャ</t>
    </rPh>
    <rPh sb="45" eb="47">
      <t>テントウ</t>
    </rPh>
    <rPh sb="47" eb="48">
      <t>オヨ</t>
    </rPh>
    <rPh sb="52" eb="54">
      <t>ツウハン</t>
    </rPh>
    <rPh sb="61" eb="63">
      <t>ショウヒン</t>
    </rPh>
    <rPh sb="64" eb="66">
      <t>ハンバイ</t>
    </rPh>
    <rPh sb="67" eb="68">
      <t>オコナ</t>
    </rPh>
    <rPh sb="76" eb="78">
      <t>ユソウ</t>
    </rPh>
    <rPh sb="78" eb="80">
      <t>カイシャ</t>
    </rPh>
    <rPh sb="81" eb="83">
      <t>サンカ</t>
    </rPh>
    <rPh sb="84" eb="85">
      <t>モ</t>
    </rPh>
    <phoneticPr fontId="3"/>
  </si>
  <si>
    <t>■想定した宿泊業の事業イメージ</t>
    <rPh sb="1" eb="3">
      <t>ソウテイ</t>
    </rPh>
    <rPh sb="5" eb="7">
      <t>シュクハク</t>
    </rPh>
    <rPh sb="7" eb="8">
      <t>ギョウ</t>
    </rPh>
    <rPh sb="8" eb="9">
      <t>コワザ</t>
    </rPh>
    <rPh sb="9" eb="11">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</si>
</sst>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6" formatCode="&quot;¥&quot;#,##0;[Red]&quot;¥&quot;\-#,##0"/>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Red]\-#,##0.0"/>
    <numFmt numFmtId="177" formatCode="0.0%"/>
    <numFmt numFmtId="178" formatCode="#,##0.0"/>
    <numFmt numFmtId="179" formatCode="0.0"/>
    <numFmt numFmtId="180" formatCode="#,##0;\-#,##0;&quot;-&quot;"/>
    <numFmt numFmtId="181" formatCode="_(&quot;$&quot;* #,##0_);_(&quot;$&quot;* \(#,##0\);_(&quot;$&quot;* &quot;-&quot;_);_(@_)"/>
    <numFmt numFmtId="182" formatCode="_(&quot;$&quot;* #,##0.00_);_(&quot;$&quot;* \(#,##0.00\);_(&quot;$&quot;* &quot;-&quot;??_);_(@_)"/>
    <numFmt numFmtId="183" formatCode="&quot;¥&quot;#,##0;[Red]\-&quot;¥&quot;#,##0"/>
    <numFmt numFmtId="184" formatCode="&quot;¥&quot;#,##0.00;[Red]\-&quot;¥&quot;#,##0.00"/>
    <numFmt numFmtId="185" formatCode="_-* #,##0_-;\-* #,##0_-;_-* &quot;-&quot;_-;_-@_-"/>
    <numFmt numFmtId="186" formatCode="_-* #,##0.00_-;\-* #,##0.00_-;_-* &quot;-&quot;??_-;_-@_-"/>
    <numFmt numFmtId="187" formatCode="0_)"/>
    <numFmt numFmtId="188" formatCode="_(* #,##0.00_);_(* \(#,##0.00\);_(* &quot;-&quot;??_);_(@_)"/>
    <numFmt numFmtId="189" formatCode="0.00_)"/>
    <numFmt numFmtId="190" formatCode="General_)"/>
    <numFmt numFmtId="191" formatCode="_(* #,##0_);_(* \(#,##0\);_(* &quot;-&quot;_);_(@_)"/>
    <numFmt numFmtId="192" formatCode="\$#,##0\ ;\(\$#,##0\)"/>
    <numFmt numFmtId="193" formatCode="&quot;¥&quot;#,##0;[Red]&quot;¥&quot;&quot;¥&quot;\-#,##0"/>
    <numFmt numFmtId="194" formatCode="&quot;¥&quot;#,##0.00;[Red]&quot;¥&quot;&quot;¥&quot;&quot;¥&quot;&quot;¥&quot;&quot;¥&quot;&quot;¥&quot;\-#,##0.00"/>
    <numFmt numFmtId="195" formatCode="00"/>
    <numFmt numFmtId="196" formatCode="\$#,##0.00;[Red]\-\$#,##0.00"/>
    <numFmt numFmtId="197" formatCode="_-[$€-2]* #,##0.00_-;\-[$€-2]* #,##0.00_-;_-[$€-2]* &quot;-&quot;??_-"/>
    <numFmt numFmtId="198" formatCode="_-* #,##0\ &quot;F&quot;_-;\-* #,##0\ &quot;F&quot;_-;_-* &quot;-&quot;\ &quot;F&quot;_-;_-@_-"/>
    <numFmt numFmtId="199" formatCode="_-* #,##0\ _F_-;\-* #,##0\ _F_-;_-* &quot;-&quot;\ _F_-;_-@_-"/>
    <numFmt numFmtId="200" formatCode="_-* #,##0.00\ &quot;F&quot;_-;\-* #,##0.00\ &quot;F&quot;_-;_-* &quot;-&quot;??\ &quot;F&quot;_-;_-@_-"/>
    <numFmt numFmtId="201" formatCode="_-* #,##0.00\ _F_-;\-* #,##0.00\ _F_-;_-* &quot;-&quot;??\ _F_-;_-@_-"/>
    <numFmt numFmtId="202" formatCode="_-* #,##0\ &quot;kr&quot;_-;\-* #,##0\ &quot;kr&quot;_-;_-* &quot;-&quot;\ &quot;kr&quot;_-;_-@_-"/>
    <numFmt numFmtId="203" formatCode="_-* #,##0.00\ &quot;kr&quot;_-;\-* #,##0.00\ &quot;kr&quot;_-;_-* &quot;-&quot;??\ &quot;kr&quot;_-;_-@_-"/>
    <numFmt numFmtId="204" formatCode="#,##0.0_);\(#,##0.0\)"/>
    <numFmt numFmtId="205" formatCode="\ \ \ \ \ @"/>
    <numFmt numFmtId="206" formatCode="&quot;$&quot;#,##0.00_-;&quot;$&quot;#,##0.00\-"/>
    <numFmt numFmtId="207" formatCode="&quot;$&quot;#,##0.00_-;[Red]&quot;$&quot;#,##0.00\-"/>
    <numFmt numFmtId="208" formatCode="_-* #,##0_-;_-* #,##0\-;_-* &quot;-&quot;_-;_-@_-"/>
    <numFmt numFmtId="209" formatCode="#,##0\ &quot;DM&quot;;[Red]\-#,##0\ &quot;DM&quot;"/>
    <numFmt numFmtId="210" formatCode="_ &quot;SFr.&quot;\ * #,##0.00_ ;_ &quot;SFr.&quot;\ * \-#,##0.00_ ;_ &quot;SFr.&quot;\ * &quot;-&quot;??_ ;_ @_ "/>
    <numFmt numFmtId="211" formatCode="_-&quot;L.&quot;\ * #,##0_-;\-&quot;L.&quot;\ * #,##0_-;_-&quot;L.&quot;\ * &quot;-&quot;_-;_-@_-"/>
    <numFmt numFmtId="212" formatCode="_-* #,##0.00\ &quot;€&quot;_-;\-* #,##0.00\ &quot;€&quot;_-;_-* &quot;-&quot;??\ &quot;€&quot;_-;_-@_-"/>
    <numFmt numFmtId="213" formatCode="_-* #,##0\ &quot;€&quot;_-;\-* #,##0\ &quot;€&quot;_-;_-* &quot;-&quot;\ &quot;€&quot;_-;_-@_-"/>
    <numFmt numFmtId="214" formatCode="_-&quot;$&quot;* #,##0_-;\-&quot;$&quot;* #,##0_-;_-&quot;$&quot;* &quot;-&quot;_-;_-@_-"/>
    <numFmt numFmtId="215" formatCode="_-&quot;$&quot;* #,##0.00_-;\-&quot;$&quot;* #,##0.00_-;_-&quot;$&quot;* &quot;-&quot;??_-;_-@_-"/>
    <numFmt numFmtId="216" formatCode="&quot;ｪ&quot;&quot;ｪ&quot;\:&quot;ｹ&quot;&quot;ｹ&quot;\:&quot;ｷ&quot;&quot;ｷ&quot;"/>
    <numFmt numFmtId="217" formatCode="&quot;$&quot;#,##0.00;[Red]\-&quot;$&quot;#,##0.00"/>
    <numFmt numFmtId="218" formatCode="&quot;$&quot;\ #,##0.00_);[Red]\(&quot;$&quot;\ #,##0.00\)"/>
    <numFmt numFmtId="219" formatCode="##,##0.00_);\(#,##0.00\)"/>
    <numFmt numFmtId="220" formatCode="##,##0.000_);\(#,##0.000\)"/>
    <numFmt numFmtId="221" formatCode="_-* #,##0_-;\-* #,##0_-;_-* &quot;-&quot;??_-;_-@_-"/>
    <numFmt numFmtId="222" formatCode="0.0%;[Red]\(0.0%\)"/>
    <numFmt numFmtId="223" formatCode="#,###,&quot; &quot;"/>
    <numFmt numFmtId="224" formatCode="#,##0.0_);[Red]\(#,##0.0\)"/>
    <numFmt numFmtId="225" formatCode="#,##0_)"/>
    <numFmt numFmtId="226" formatCode="###0.00_)"/>
    <numFmt numFmtId="227" formatCode="0.0_W"/>
    <numFmt numFmtId="228" formatCode="#,##0.0000"/>
    <numFmt numFmtId="229" formatCode="0.00.E+00"/>
    <numFmt numFmtId="230" formatCode="0.0000"/>
    <numFmt numFmtId="231" formatCode="#,##0.000;[Red]\-#,##0.000"/>
  </numFmts>
  <fonts count="274">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sz val="11"/>
      <name val="ＭＳ Ｐゴシック"/>
      <family val="3"/>
      <charset val="128"/>
      <scheme val="minor"/>
    </font>
    <font>
      <sz val="11"/>
      <name val="ＭＳ Ｐゴシック"/>
      <family val="3"/>
      <charset val="128"/>
    </font>
    <font>
      <sz val="14"/>
      <name val="ＭＳ 明朝"/>
      <family val="1"/>
      <charset val="128"/>
    </font>
    <font>
      <sz val="10"/>
      <name val="Arial"/>
      <family val="2"/>
    </font>
    <font>
      <sz val="9.6"/>
      <name val="標準ゴシック"/>
      <family val="3"/>
      <charset val="128"/>
    </font>
    <font>
      <sz val="12"/>
      <name val="ｷsｲﾓｩ愰 "/>
      <family val="3"/>
      <charset val="128"/>
    </font>
    <font>
      <sz val="11"/>
      <name val="｢ﾛ｢・｢ﾞ????"/>
      <family val="3"/>
      <charset val="128"/>
    </font>
    <font>
      <sz val="11"/>
      <name val="ＭＳ Ｐ明朝"/>
      <family val="1"/>
      <charset val="128"/>
    </font>
    <font>
      <sz val="10"/>
      <name val="ＭＳ 明朝"/>
      <family val="1"/>
      <charset val="128"/>
    </font>
    <font>
      <sz val="11"/>
      <name val="MS P????"/>
      <family val="2"/>
    </font>
    <font>
      <sz val="11"/>
      <name val="??"/>
      <family val="3"/>
    </font>
    <font>
      <sz val="12"/>
      <name val="??????"/>
      <family val="1"/>
    </font>
    <font>
      <sz val="11"/>
      <name val="??? "/>
      <family val="3"/>
      <charset val="128"/>
    </font>
    <font>
      <u/>
      <sz val="12"/>
      <color indexed="12"/>
      <name val="Osaka"/>
      <family val="3"/>
      <charset val="128"/>
    </font>
    <font>
      <u/>
      <sz val="8.25"/>
      <color indexed="12"/>
      <name val="?? ?????"/>
      <family val="3"/>
      <charset val="128"/>
    </font>
    <font>
      <u/>
      <sz val="8.25"/>
      <color indexed="12"/>
      <name val="?? ???"/>
      <family val="1"/>
      <charset val="128"/>
    </font>
    <font>
      <u/>
      <sz val="10"/>
      <color indexed="12"/>
      <name val="Arial"/>
      <family val="2"/>
    </font>
    <font>
      <u/>
      <sz val="8.25"/>
      <color indexed="36"/>
      <name val="?? ?????"/>
      <family val="3"/>
      <charset val="128"/>
    </font>
    <font>
      <u/>
      <sz val="10"/>
      <color indexed="36"/>
      <name val="Arial"/>
      <family val="2"/>
    </font>
    <font>
      <u/>
      <sz val="9"/>
      <color indexed="36"/>
      <name val="Arial"/>
      <family val="2"/>
    </font>
    <font>
      <u/>
      <sz val="12"/>
      <color indexed="36"/>
      <name val="Osaka"/>
      <family val="3"/>
      <charset val="128"/>
    </font>
    <font>
      <u/>
      <sz val="11"/>
      <color indexed="36"/>
      <name val="?? ?????"/>
      <family val="3"/>
      <charset val="128"/>
    </font>
    <font>
      <u/>
      <sz val="11"/>
      <color indexed="36"/>
      <name val="MS P????"/>
      <family val="2"/>
    </font>
    <font>
      <u/>
      <sz val="8.25"/>
      <color indexed="36"/>
      <name val="?l?r ?o?S?V?b?N"/>
      <family val="3"/>
    </font>
    <font>
      <u/>
      <sz val="8.25"/>
      <color indexed="36"/>
      <name val="MS P????"/>
      <family val="2"/>
    </font>
    <font>
      <u/>
      <sz val="8.25"/>
      <color indexed="12"/>
      <name val="MS P????"/>
      <family val="2"/>
    </font>
    <font>
      <u/>
      <sz val="8.25"/>
      <color indexed="36"/>
      <name val="?? ???"/>
      <family val="1"/>
      <charset val="128"/>
    </font>
    <font>
      <u/>
      <sz val="12"/>
      <color indexed="36"/>
      <name val="Arial"/>
      <family val="2"/>
    </font>
    <font>
      <u/>
      <sz val="10"/>
      <color indexed="36"/>
      <name val="Geneva"/>
      <family val="2"/>
    </font>
    <font>
      <u/>
      <sz val="8.25"/>
      <color indexed="12"/>
      <name val="?l?r ?o?S?V?b?N"/>
      <family val="3"/>
    </font>
    <font>
      <u/>
      <sz val="9"/>
      <color indexed="12"/>
      <name val="Arial"/>
      <family val="2"/>
    </font>
    <font>
      <u/>
      <sz val="12"/>
      <color indexed="12"/>
      <name val="Arial"/>
      <family val="2"/>
    </font>
    <font>
      <u/>
      <sz val="11"/>
      <color indexed="12"/>
      <name val="MS P????"/>
      <family val="2"/>
    </font>
    <font>
      <u/>
      <sz val="10"/>
      <color indexed="12"/>
      <name val="Geneva"/>
      <family val="2"/>
    </font>
    <font>
      <sz val="11"/>
      <name val="?l?r ?o?S?V?b?N"/>
      <family val="3"/>
    </font>
    <font>
      <sz val="12"/>
      <name val="?s???? "/>
      <family val="1"/>
      <charset val="128"/>
    </font>
    <font>
      <sz val="11"/>
      <name val="?? ?????"/>
      <family val="3"/>
      <charset val="128"/>
    </font>
    <font>
      <sz val="11"/>
      <name val="?? ???"/>
      <family val="1"/>
      <charset val="128"/>
    </font>
    <font>
      <sz val="11"/>
      <name val="?l?r ???"/>
      <family val="1"/>
    </font>
    <font>
      <sz val="11"/>
      <name val="?l?r ??団"/>
      <family val="1"/>
      <charset val="128"/>
    </font>
    <font>
      <sz val="11"/>
      <name val="?"/>
      <family val="3"/>
      <charset val="136"/>
    </font>
    <font>
      <sz val="11"/>
      <name val="絡?"/>
      <family val="3"/>
      <charset val="136"/>
    </font>
    <font>
      <sz val="12"/>
      <name val="ìVã»"/>
      <family val="1"/>
      <charset val="136"/>
    </font>
    <font>
      <u/>
      <sz val="10.5"/>
      <color indexed="12"/>
      <name val="?l?r ??・"/>
      <family val="3"/>
      <charset val="128"/>
    </font>
    <font>
      <u/>
      <sz val="10.5"/>
      <color indexed="12"/>
      <name val="?l?r ??’?"/>
      <family val="1"/>
      <charset val="128"/>
    </font>
    <font>
      <sz val="12"/>
      <name val="Times New Roman"/>
      <family val="1"/>
    </font>
    <font>
      <sz val="10"/>
      <name val="Times New Roman"/>
      <family val="1"/>
    </font>
    <font>
      <sz val="12"/>
      <name val="???"/>
      <family val="3"/>
    </font>
    <font>
      <u/>
      <sz val="12"/>
      <color indexed="36"/>
      <name val="蘜???"/>
      <family val="3"/>
      <charset val="136"/>
    </font>
    <font>
      <b/>
      <sz val="9.6"/>
      <name val="標準ゴシック"/>
      <family val="3"/>
      <charset val="128"/>
    </font>
    <font>
      <sz val="10"/>
      <name val="Helv"/>
      <family val="2"/>
    </font>
    <font>
      <sz val="16"/>
      <color indexed="9"/>
      <name val="SwitzerlandInserat"/>
      <family val="2"/>
    </font>
    <font>
      <sz val="12"/>
      <name val="宋体"/>
      <charset val="134"/>
    </font>
    <font>
      <sz val="10"/>
      <color indexed="8"/>
      <name val="Arial"/>
      <family val="2"/>
    </font>
    <font>
      <sz val="10"/>
      <name val="Arial CE"/>
      <family val="1"/>
    </font>
    <font>
      <b/>
      <sz val="11"/>
      <name val="明朝"/>
      <family val="1"/>
      <charset val="128"/>
    </font>
    <font>
      <sz val="12"/>
      <name val="Arial"/>
      <family val="2"/>
    </font>
    <font>
      <sz val="11"/>
      <name val="??’?"/>
      <family val="1"/>
      <charset val="128"/>
    </font>
    <font>
      <sz val="11"/>
      <name val="?l?r ??’c"/>
      <family val="1"/>
      <charset val="128"/>
    </font>
    <font>
      <sz val="11"/>
      <name val="‚l‚r ‚oƒSƒVƒbƒN"/>
      <family val="3"/>
      <charset val="128"/>
    </font>
    <font>
      <i/>
      <sz val="11"/>
      <name val="明朝"/>
      <family val="1"/>
      <charset val="128"/>
    </font>
    <font>
      <sz val="14"/>
      <name val="lr ¾©"/>
      <family val="1"/>
      <charset val="128"/>
    </font>
    <font>
      <u/>
      <sz val="11"/>
      <color indexed="36"/>
      <name val="lr oSVbN"/>
      <family val="3"/>
      <charset val="128"/>
    </font>
    <font>
      <u/>
      <sz val="9.35"/>
      <color indexed="36"/>
      <name val="lr oSVbN"/>
      <family val="3"/>
      <charset val="128"/>
    </font>
    <font>
      <sz val="11"/>
      <name val="??・"/>
      <family val="3"/>
      <charset val="128"/>
    </font>
    <font>
      <u/>
      <sz val="8.25"/>
      <color indexed="36"/>
      <name val="®l®r ®o™S™V™b™N"/>
      <family val="3"/>
      <charset val="128"/>
    </font>
    <font>
      <sz val="11"/>
      <name val="Arial"/>
      <family val="2"/>
    </font>
    <font>
      <sz val="12"/>
      <name val="×–¾’©‘Ì"/>
      <family val="3"/>
      <charset val="128"/>
    </font>
    <font>
      <sz val="11"/>
      <name val="明朝"/>
      <family val="1"/>
      <charset val="128"/>
    </font>
    <font>
      <sz val="10"/>
      <name val="MS Sans Serif"/>
      <family val="2"/>
    </font>
    <font>
      <sz val="9"/>
      <name val="中ゴシックＢＢＢ－等幅"/>
      <family val="3"/>
      <charset val="128"/>
    </font>
    <font>
      <sz val="12"/>
      <name val="ｹﾙﾅﾁﾃｼ"/>
      <family val="1"/>
      <charset val="128"/>
    </font>
    <font>
      <sz val="11"/>
      <color indexed="8"/>
      <name val="Calibri"/>
      <family val="2"/>
    </font>
    <font>
      <sz val="11"/>
      <color indexed="9"/>
      <name val="Calibri"/>
      <family val="2"/>
    </font>
    <font>
      <sz val="12"/>
      <name val="細明朝体"/>
      <family val="3"/>
      <charset val="128"/>
    </font>
    <font>
      <sz val="11"/>
      <name val="ｵｸｿ "/>
      <family val="3"/>
      <charset val="128"/>
    </font>
    <font>
      <sz val="12"/>
      <name val="¹UAAA¼"/>
      <family val="3"/>
      <charset val="255"/>
    </font>
    <font>
      <sz val="8"/>
      <name val="Times New Roman"/>
      <family val="1"/>
    </font>
    <font>
      <b/>
      <sz val="10"/>
      <name val="Arial CE"/>
      <family val="1"/>
    </font>
    <font>
      <sz val="9"/>
      <name val="Arial CE"/>
      <family val="1"/>
    </font>
    <font>
      <sz val="14"/>
      <name val="Terminal"/>
      <family val="3"/>
      <charset val="255"/>
    </font>
    <font>
      <sz val="11"/>
      <color indexed="20"/>
      <name val="Calibri"/>
      <family val="2"/>
    </font>
    <font>
      <b/>
      <sz val="10"/>
      <name val="Helv"/>
      <family val="2"/>
    </font>
    <font>
      <b/>
      <sz val="12"/>
      <name val="Arial"/>
      <family val="2"/>
    </font>
    <font>
      <sz val="8"/>
      <color indexed="20"/>
      <name val="Tahoma"/>
      <family val="2"/>
    </font>
    <font>
      <sz val="12"/>
      <name val="±¼¸²Ã¼"/>
      <family val="3"/>
      <charset val="128"/>
    </font>
    <font>
      <b/>
      <sz val="11"/>
      <color indexed="52"/>
      <name val="Calibri"/>
      <family val="2"/>
    </font>
    <font>
      <sz val="14"/>
      <name val="Arial CE"/>
      <family val="1"/>
    </font>
    <font>
      <b/>
      <sz val="11"/>
      <color indexed="9"/>
      <name val="Calibri"/>
      <family val="2"/>
    </font>
    <font>
      <sz val="10"/>
      <name val="ＭＳ Ｐゴシック"/>
      <family val="3"/>
      <charset val="128"/>
    </font>
    <font>
      <b/>
      <sz val="8"/>
      <name val="Arial"/>
      <family val="2"/>
    </font>
    <font>
      <i/>
      <sz val="8"/>
      <color indexed="10"/>
      <name val="Tahoma"/>
      <family val="2"/>
    </font>
    <font>
      <b/>
      <sz val="10"/>
      <name val="Tms Rmn"/>
      <family val="1"/>
    </font>
    <font>
      <sz val="12"/>
      <name val="Tms Rmn"/>
      <family val="1"/>
    </font>
    <font>
      <sz val="7"/>
      <name val="Times New Roman"/>
      <family val="1"/>
    </font>
    <font>
      <sz val="8"/>
      <name val="CG Times (E1)"/>
      <family val="1"/>
    </font>
    <font>
      <sz val="10"/>
      <color indexed="19"/>
      <name val="Arial"/>
      <family val="2"/>
    </font>
    <font>
      <sz val="12"/>
      <name val="V×¾é"/>
      <family val="1"/>
      <charset val="136"/>
    </font>
    <font>
      <sz val="11"/>
      <name val="lr oSVbN"/>
      <family val="3"/>
      <charset val="128"/>
    </font>
    <font>
      <sz val="9"/>
      <name val="Times New Roman"/>
      <family val="1"/>
    </font>
    <font>
      <i/>
      <sz val="10"/>
      <color indexed="11"/>
      <name val="Arial"/>
      <family val="2"/>
    </font>
    <font>
      <sz val="10"/>
      <name val="Courier"/>
      <family val="3"/>
    </font>
    <font>
      <i/>
      <sz val="11"/>
      <color indexed="23"/>
      <name val="Calibri"/>
      <family val="2"/>
    </font>
    <font>
      <sz val="11"/>
      <name val="Ec"/>
      <family val="1"/>
      <charset val="128"/>
    </font>
    <font>
      <sz val="11"/>
      <name val="??fc"/>
      <family val="1"/>
      <charset val="128"/>
    </font>
    <font>
      <i/>
      <sz val="10"/>
      <color indexed="12"/>
      <name val="Arial"/>
      <family val="2"/>
    </font>
    <font>
      <sz val="14"/>
      <name val="MS ｷ?"/>
      <family val="1"/>
      <charset val="128"/>
    </font>
    <font>
      <b/>
      <sz val="10"/>
      <name val="MS Sans Serif"/>
      <family val="2"/>
    </font>
    <font>
      <sz val="11"/>
      <color indexed="17"/>
      <name val="Calibri"/>
      <family val="2"/>
    </font>
    <font>
      <sz val="8"/>
      <name val="Arial"/>
      <family val="2"/>
    </font>
    <font>
      <b/>
      <sz val="12"/>
      <name val="Helv"/>
      <family val="2"/>
    </font>
    <font>
      <b/>
      <sz val="18"/>
      <name val="Arial"/>
      <family val="2"/>
    </font>
    <font>
      <b/>
      <sz val="11"/>
      <color indexed="56"/>
      <name val="Calibri"/>
      <family val="2"/>
    </font>
    <font>
      <b/>
      <sz val="18"/>
      <name val="Helv"/>
      <family val="2"/>
    </font>
    <font>
      <b/>
      <sz val="14"/>
      <name val="Helv"/>
      <family val="2"/>
    </font>
    <font>
      <u/>
      <sz val="8"/>
      <color indexed="12"/>
      <name val="Arial"/>
      <family val="2"/>
    </font>
    <font>
      <u/>
      <sz val="8"/>
      <color indexed="36"/>
      <name val="Arial"/>
      <family val="2"/>
    </font>
    <font>
      <u/>
      <sz val="11"/>
      <color indexed="12"/>
      <name val="?? ?????"/>
      <family val="3"/>
      <charset val="128"/>
    </font>
    <font>
      <sz val="10"/>
      <name val="ＭＳ ゴシック"/>
      <family val="3"/>
      <charset val="128"/>
    </font>
    <font>
      <sz val="10"/>
      <name val="Wingdings"/>
      <charset val="2"/>
    </font>
    <font>
      <sz val="11"/>
      <color indexed="62"/>
      <name val="Calibri"/>
      <family val="2"/>
    </font>
    <font>
      <shadow/>
      <sz val="8"/>
      <color indexed="12"/>
      <name val="Times New Roman"/>
      <family val="1"/>
    </font>
    <font>
      <b/>
      <sz val="9"/>
      <name val="Arial CE"/>
      <family val="1"/>
    </font>
    <font>
      <sz val="11"/>
      <color indexed="52"/>
      <name val="Calibri"/>
      <family val="2"/>
    </font>
    <font>
      <sz val="11"/>
      <name val="ＭＳ ゴシック"/>
      <family val="3"/>
      <charset val="128"/>
    </font>
    <font>
      <b/>
      <sz val="11"/>
      <name val="Helv"/>
      <family val="2"/>
    </font>
    <font>
      <b/>
      <u/>
      <sz val="12"/>
      <name val="Arial CE"/>
      <family val="1"/>
    </font>
    <font>
      <u/>
      <sz val="11"/>
      <color indexed="12"/>
      <name val="lr oSVbN"/>
      <family val="3"/>
      <charset val="128"/>
    </font>
    <font>
      <u/>
      <sz val="9.35"/>
      <color indexed="12"/>
      <name val="lr oSVbN"/>
      <family val="3"/>
      <charset val="128"/>
    </font>
    <font>
      <sz val="11"/>
      <color indexed="60"/>
      <name val="Calibri"/>
      <family val="2"/>
    </font>
    <font>
      <b/>
      <i/>
      <sz val="16"/>
      <name val="Helv"/>
      <family val="2"/>
    </font>
    <font>
      <sz val="6"/>
      <name val="Arial"/>
      <family val="2"/>
    </font>
    <font>
      <sz val="18"/>
      <name val="Arial"/>
      <family val="2"/>
    </font>
    <font>
      <sz val="24"/>
      <name val="Arial"/>
      <family val="2"/>
    </font>
    <font>
      <b/>
      <sz val="16"/>
      <name val="Arial Narrow CE"/>
      <family val="2"/>
    </font>
    <font>
      <b/>
      <sz val="11"/>
      <color indexed="63"/>
      <name val="Calibri"/>
      <family val="2"/>
    </font>
    <font>
      <b/>
      <sz val="16"/>
      <name val="Arial CE"/>
      <family val="1"/>
    </font>
    <font>
      <i/>
      <sz val="8"/>
      <name val="Arial CE"/>
      <family val="1"/>
    </font>
    <font>
      <i/>
      <sz val="11"/>
      <color indexed="23"/>
      <name val="ＭＳ Ｐゴシック"/>
      <family val="3"/>
      <charset val="128"/>
    </font>
    <font>
      <sz val="8"/>
      <color indexed="16"/>
      <name val="Century Schoolbook"/>
      <family val="1"/>
    </font>
    <font>
      <sz val="18"/>
      <name val="Times New Roman"/>
      <family val="1"/>
    </font>
    <font>
      <b/>
      <sz val="11"/>
      <color indexed="18"/>
      <name val="Arial"/>
      <family val="2"/>
    </font>
    <font>
      <b/>
      <i/>
      <sz val="11"/>
      <color indexed="18"/>
      <name val="Arial"/>
      <family val="2"/>
    </font>
    <font>
      <sz val="12"/>
      <color indexed="18"/>
      <name val="MS Sans Serif"/>
      <family val="2"/>
    </font>
    <font>
      <sz val="11"/>
      <color indexed="9"/>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i/>
      <sz val="10"/>
      <name val="Times New Roman"/>
      <family val="1"/>
    </font>
    <font>
      <sz val="8"/>
      <name val="Helv"/>
      <family val="2"/>
    </font>
    <font>
      <b/>
      <sz val="11"/>
      <name val="Arial"/>
      <family val="2"/>
    </font>
    <font>
      <b/>
      <sz val="14"/>
      <name val="Arial CE"/>
      <family val="1"/>
    </font>
    <font>
      <sz val="14"/>
      <name val="Arial Narrow"/>
      <family val="2"/>
    </font>
    <font>
      <b/>
      <sz val="12"/>
      <name val="Univers (WN)"/>
      <family val="2"/>
    </font>
    <font>
      <b/>
      <sz val="11"/>
      <name val="Times New Roman"/>
      <family val="1"/>
    </font>
    <font>
      <b/>
      <sz val="9"/>
      <name val="Times New Roman"/>
      <family val="1"/>
    </font>
    <font>
      <u/>
      <sz val="8.25"/>
      <color indexed="12"/>
      <name val="®l®r ®o™S™V™b™N"/>
      <family val="3"/>
      <charset val="128"/>
    </font>
    <font>
      <sz val="10"/>
      <name val="Univers (E1)"/>
      <family val="2"/>
    </font>
    <font>
      <sz val="11"/>
      <color indexed="18"/>
      <name val="ＭＳ Ｐゴシック"/>
      <family val="3"/>
      <charset val="128"/>
    </font>
    <font>
      <sz val="11"/>
      <color indexed="20"/>
      <name val="ＭＳ Ｐゴシック"/>
      <family val="3"/>
      <charset val="128"/>
    </font>
    <font>
      <i/>
      <sz val="11"/>
      <color indexed="8"/>
      <name val="ＭＳ Ｐゴシック"/>
      <family val="3"/>
      <charset val="128"/>
    </font>
    <font>
      <sz val="11"/>
      <color indexed="10"/>
      <name val="Calibri"/>
      <family val="2"/>
    </font>
    <font>
      <sz val="12"/>
      <name val="ｱｼｸｲﾃｼ"/>
      <family val="3"/>
      <charset val="128"/>
    </font>
    <font>
      <sz val="12"/>
      <name val="HG丸ｺﾞｼｯｸM-PRO"/>
      <family val="3"/>
      <charset val="128"/>
    </font>
    <font>
      <b/>
      <i/>
      <sz val="11"/>
      <name val="Arial CE"/>
      <family val="1"/>
    </font>
    <font>
      <u/>
      <sz val="9"/>
      <color indexed="12"/>
      <name val="ﾋﾎﾌ "/>
      <family val="3"/>
      <charset val="128"/>
    </font>
    <font>
      <u/>
      <sz val="11"/>
      <color indexed="8"/>
      <name val="ＭＳ Ｐゴシック"/>
      <family val="3"/>
      <charset val="128"/>
    </font>
    <font>
      <u/>
      <sz val="9"/>
      <color indexed="36"/>
      <name val="ﾋﾎﾌ "/>
      <family val="3"/>
      <charset val="128"/>
    </font>
    <font>
      <b/>
      <sz val="18"/>
      <color indexed="56"/>
      <name val="ＭＳ Ｐゴシック"/>
      <family val="3"/>
      <charset val="128"/>
    </font>
    <font>
      <u/>
      <sz val="8.25"/>
      <color indexed="12"/>
      <name val="ＭＳ Ｐゴシック"/>
      <family val="3"/>
      <charset val="128"/>
    </font>
    <font>
      <u/>
      <sz val="11"/>
      <color indexed="12"/>
      <name val="ＭＳ Ｐゴシック"/>
      <family val="3"/>
      <charset val="128"/>
    </font>
    <font>
      <u/>
      <sz val="7.5"/>
      <color indexed="12"/>
      <name val="Arial"/>
      <family val="2"/>
    </font>
    <font>
      <u/>
      <sz val="6.6"/>
      <color indexed="12"/>
      <name val="ＭＳ Ｐゴシック"/>
      <family val="3"/>
      <charset val="128"/>
    </font>
    <font>
      <sz val="10"/>
      <name val="宋体"/>
      <charset val="134"/>
    </font>
    <font>
      <sz val="11"/>
      <color indexed="62"/>
      <name val="ＭＳ Ｐゴシック"/>
      <family val="3"/>
      <charset val="128"/>
    </font>
    <font>
      <sz val="8"/>
      <name val="ＭＳ ゴシック"/>
      <family val="3"/>
      <charset val="128"/>
    </font>
    <font>
      <sz val="7"/>
      <name val="Tms Rmn"/>
      <family val="1"/>
    </font>
    <font>
      <sz val="10"/>
      <name val="細明朝体"/>
      <family val="3"/>
      <charset val="128"/>
    </font>
    <font>
      <sz val="10"/>
      <name val="本明朝－Ｍ"/>
      <family val="3"/>
      <charset val="128"/>
    </font>
    <font>
      <u/>
      <sz val="7"/>
      <color indexed="36"/>
      <name val="ＭＳ ・・"/>
      <family val="1"/>
      <charset val="128"/>
    </font>
    <font>
      <u/>
      <sz val="11"/>
      <color indexed="36"/>
      <name val="ＭＳ Ｐゴシック"/>
      <family val="3"/>
      <charset val="128"/>
    </font>
    <font>
      <u/>
      <sz val="11"/>
      <color indexed="36"/>
      <name val="ＭＳ Ｐ????"/>
      <family val="1"/>
      <charset val="136"/>
    </font>
    <font>
      <u/>
      <sz val="6.6"/>
      <color indexed="36"/>
      <name val="ＭＳ Ｐゴシック"/>
      <family val="3"/>
      <charset val="128"/>
    </font>
    <font>
      <u/>
      <sz val="8.25"/>
      <color indexed="36"/>
      <name val="ＭＳ Ｐゴシック"/>
      <family val="3"/>
      <charset val="128"/>
    </font>
    <font>
      <u/>
      <sz val="7.5"/>
      <color indexed="36"/>
      <name val="Arial"/>
      <family val="2"/>
    </font>
    <font>
      <sz val="14"/>
      <name val="뼻뮝"/>
      <family val="3"/>
      <charset val="255"/>
    </font>
    <font>
      <sz val="14"/>
      <name val="ＭＳ ・団"/>
      <family val="1"/>
      <charset val="128"/>
    </font>
    <font>
      <sz val="12"/>
      <name val="夥鰻羹"/>
      <family val="1"/>
      <charset val="136"/>
    </font>
    <font>
      <sz val="12"/>
      <name val="뼻뮝"/>
      <family val="3"/>
      <charset val="255"/>
    </font>
    <font>
      <sz val="12"/>
      <name val="바탕체"/>
      <family val="1"/>
      <charset val="255"/>
    </font>
    <font>
      <sz val="10"/>
      <name val="굴림체"/>
      <family val="3"/>
      <charset val="255"/>
    </font>
    <font>
      <u/>
      <sz val="8.25"/>
      <color indexed="12"/>
      <name val="Arial"/>
      <family val="2"/>
    </font>
    <font>
      <sz val="12"/>
      <name val="蘜???"/>
      <family val="3"/>
      <charset val="136"/>
    </font>
    <font>
      <sz val="12"/>
      <name val="?"/>
      <family val="3"/>
      <charset val="136"/>
    </font>
    <font>
      <sz val="14"/>
      <color indexed="8"/>
      <name val="?"/>
      <family val="3"/>
      <charset val="128"/>
    </font>
    <font>
      <u/>
      <sz val="12"/>
      <color indexed="36"/>
      <name val="?"/>
      <family val="3"/>
      <charset val="136"/>
    </font>
    <font>
      <u/>
      <sz val="12"/>
      <color indexed="12"/>
      <name val="?"/>
      <family val="3"/>
      <charset val="136"/>
    </font>
    <font>
      <sz val="12"/>
      <name val="?"/>
      <family val="3"/>
      <charset val="136"/>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9"/>
      <color indexed="8"/>
      <name val="ＭＳ Ｐゴシック"/>
      <family val="3"/>
      <charset val="128"/>
    </font>
    <font>
      <sz val="11"/>
      <color indexed="17"/>
      <name val="ＭＳ Ｐゴシック"/>
      <family val="3"/>
      <charset val="128"/>
    </font>
    <font>
      <sz val="12"/>
      <name val="Helv"/>
      <family val="2"/>
    </font>
    <font>
      <sz val="11"/>
      <name val="Calibri"/>
      <family val="2"/>
    </font>
    <font>
      <sz val="9"/>
      <name val="Helv"/>
      <family val="2"/>
    </font>
    <font>
      <vertAlign val="superscript"/>
      <sz val="12"/>
      <name val="Helv"/>
      <family val="2"/>
    </font>
    <font>
      <b/>
      <sz val="12"/>
      <name val="Times New Roman"/>
      <family val="1"/>
    </font>
    <font>
      <b/>
      <sz val="9"/>
      <name val="Helv"/>
      <family val="2"/>
    </font>
    <font>
      <sz val="8.5"/>
      <name val="Helv"/>
      <family val="2"/>
    </font>
    <font>
      <sz val="12"/>
      <name val="リュウミンライト－ＫＬ"/>
      <family val="3"/>
      <charset val="128"/>
    </font>
    <font>
      <sz val="11"/>
      <name val="JTI"/>
      <family val="2"/>
    </font>
    <font>
      <b/>
      <sz val="10"/>
      <color indexed="8"/>
      <name val="Arial"/>
      <family val="2"/>
    </font>
    <font>
      <sz val="10"/>
      <name val="IPAゴシック;IPAGothic"/>
      <family val="3"/>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scheme val="minor"/>
    </font>
    <font>
      <sz val="11"/>
      <color rgb="FF006100"/>
      <name val="ＭＳ Ｐゴシック"/>
      <family val="3"/>
      <charset val="128"/>
      <scheme val="minor"/>
    </font>
    <font>
      <sz val="10"/>
      <color theme="1"/>
      <name val="ＭＳ Ｐゴシック"/>
      <family val="2"/>
      <charset val="128"/>
      <scheme val="minor"/>
    </font>
    <font>
      <sz val="10"/>
      <name val="ＭＳ Ｐゴシック"/>
      <family val="3"/>
      <charset val="128"/>
      <scheme val="minor"/>
    </font>
    <font>
      <sz val="10.5"/>
      <name val="ＭＳ Ｐゴシック"/>
      <family val="3"/>
      <charset val="128"/>
      <scheme val="minor"/>
    </font>
    <font>
      <sz val="6"/>
      <name val="ＭＳ Ｐゴシック"/>
      <family val="3"/>
      <charset val="128"/>
    </font>
    <font>
      <sz val="11"/>
      <color theme="1"/>
      <name val="ＭＳ Ｐゴシック"/>
      <family val="2"/>
      <scheme val="minor"/>
    </font>
    <font>
      <sz val="10"/>
      <color theme="1"/>
      <name val="ＭＳ Ｐゴシック"/>
      <family val="3"/>
      <charset val="128"/>
      <scheme val="minor"/>
    </font>
    <font>
      <sz val="9"/>
      <color indexed="8"/>
      <name val="Times New Roman"/>
      <family val="1"/>
    </font>
    <font>
      <sz val="12"/>
      <color indexed="8"/>
      <name val="Times New Roman"/>
      <family val="1"/>
    </font>
    <font>
      <b/>
      <sz val="12"/>
      <color indexed="8"/>
      <name val="Times New Roman"/>
      <family val="1"/>
    </font>
    <font>
      <sz val="8"/>
      <name val="Helvetica"/>
      <family val="2"/>
    </font>
    <font>
      <u/>
      <sz val="10"/>
      <color indexed="12"/>
      <name val="Times New Roman"/>
      <family val="1"/>
    </font>
    <font>
      <u/>
      <sz val="11"/>
      <color indexed="40"/>
      <name val="ＭＳ Ｐゴシック"/>
      <family val="3"/>
      <charset val="128"/>
      <scheme val="minor"/>
    </font>
    <font>
      <u/>
      <sz val="9"/>
      <color indexed="12"/>
      <name val="Helvetica"/>
      <family val="2"/>
    </font>
    <font>
      <sz val="8"/>
      <name val="MS Sans Serif"/>
      <family val="2"/>
    </font>
    <font>
      <sz val="9"/>
      <color theme="1"/>
      <name val="Arial"/>
      <family val="2"/>
    </font>
    <font>
      <sz val="11"/>
      <name val="ＭＳ Ｐゴシック"/>
      <family val="2"/>
      <charset val="128"/>
    </font>
  </fonts>
  <fills count="87">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9"/>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darkGray">
        <fgColor indexed="9"/>
        <bgColor indexed="10"/>
      </patternFill>
    </fill>
    <fill>
      <patternFill patternType="mediumGray">
        <fgColor indexed="9"/>
        <bgColor indexed="12"/>
      </patternFill>
    </fill>
    <fill>
      <patternFill patternType="solid">
        <fgColor indexed="22"/>
      </patternFill>
    </fill>
    <fill>
      <patternFill patternType="solid">
        <fgColor indexed="55"/>
      </patternFill>
    </fill>
    <fill>
      <patternFill patternType="solid">
        <fgColor indexed="55"/>
        <bgColor indexed="64"/>
      </patternFill>
    </fill>
    <fill>
      <patternFill patternType="solid">
        <fgColor indexed="43"/>
        <bgColor indexed="64"/>
      </patternFill>
    </fill>
    <fill>
      <patternFill patternType="solid">
        <fgColor indexed="22"/>
        <bgColor indexed="9"/>
      </patternFill>
    </fill>
    <fill>
      <patternFill patternType="solid">
        <fgColor indexed="26"/>
        <bgColor indexed="64"/>
      </patternFill>
    </fill>
    <fill>
      <patternFill patternType="solid">
        <fgColor indexed="43"/>
      </patternFill>
    </fill>
    <fill>
      <patternFill patternType="solid">
        <fgColor indexed="26"/>
      </patternFill>
    </fill>
    <fill>
      <patternFill patternType="darkTrellis"/>
    </fill>
    <fill>
      <patternFill patternType="solid">
        <fgColor indexed="9"/>
        <bgColor indexed="64"/>
      </patternFill>
    </fill>
    <fill>
      <patternFill patternType="solid">
        <fgColor indexed="31"/>
        <bgColor indexed="64"/>
      </patternFill>
    </fill>
    <fill>
      <patternFill patternType="solid">
        <fgColor indexed="10"/>
        <bgColor indexed="64"/>
      </patternFill>
    </fill>
    <fill>
      <patternFill patternType="solid">
        <fgColor indexed="47"/>
        <bgColor indexed="64"/>
      </patternFill>
    </fill>
    <fill>
      <patternFill patternType="solid">
        <fgColor indexed="21"/>
        <bgColor indexed="64"/>
      </patternFill>
    </fill>
    <fill>
      <patternFill patternType="solid">
        <fgColor indexed="50"/>
      </patternFill>
    </fill>
    <fill>
      <patternFill patternType="lightUp">
        <fgColor indexed="54"/>
        <bgColor indexed="41"/>
      </patternFill>
    </fill>
    <fill>
      <patternFill patternType="solid">
        <fgColor indexed="41"/>
        <bgColor indexed="64"/>
      </patternFill>
    </fill>
    <fill>
      <patternFill patternType="solid">
        <fgColor indexed="54"/>
        <bgColor indexed="64"/>
      </patternFill>
    </fill>
    <fill>
      <patternFill patternType="solid">
        <fgColor indexed="44"/>
        <bgColor indexed="64"/>
      </patternFill>
    </fill>
    <fill>
      <patternFill patternType="solid">
        <fgColor indexed="23"/>
        <bgColor indexed="64"/>
      </patternFill>
    </fill>
    <fill>
      <patternFill patternType="solid">
        <fgColor indexed="40"/>
        <bgColor indexed="64"/>
      </patternFill>
    </fill>
    <fill>
      <patternFill patternType="solid">
        <fgColor indexed="35"/>
        <bgColor indexed="64"/>
      </patternFill>
    </fill>
    <fill>
      <patternFill patternType="lightGray"/>
    </fill>
    <fill>
      <patternFill patternType="solid">
        <fgColor indexed="22"/>
        <bgColor indexed="55"/>
      </patternFill>
    </fill>
    <fill>
      <patternFill patternType="solid">
        <fgColor indexed="22"/>
        <bgColor indexed="25"/>
      </patternFill>
    </fill>
    <fill>
      <patternFill patternType="gray0625">
        <fgColor indexed="9"/>
      </patternFill>
    </fill>
    <fill>
      <patternFill patternType="gray0625">
        <fgColor indexed="11"/>
        <bgColor indexed="13"/>
      </patternFill>
    </fill>
    <fill>
      <patternFill patternType="solid">
        <fgColor theme="0"/>
        <bgColor indexed="64"/>
      </patternFill>
    </fill>
    <fill>
      <patternFill patternType="solid">
        <fgColor theme="9" tint="0.79998168889431442"/>
        <bgColor indexed="64"/>
      </patternFill>
    </fill>
    <fill>
      <patternFill patternType="solid">
        <fgColor indexed="27"/>
        <bgColor indexed="64"/>
      </patternFill>
    </fill>
    <fill>
      <patternFill patternType="solid">
        <fgColor indexed="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double">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dotted">
        <color indexed="64"/>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hair">
        <color indexed="64"/>
      </bottom>
      <diagonal/>
    </border>
    <border>
      <left/>
      <right/>
      <top/>
      <bottom style="thin">
        <color indexed="22"/>
      </bottom>
      <diagonal/>
    </border>
    <border>
      <left style="medium">
        <color indexed="64"/>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right/>
      <top/>
      <bottom style="hair">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right/>
      <top style="medium">
        <color indexed="64"/>
      </top>
      <bottom/>
      <diagonal/>
    </border>
    <border>
      <left/>
      <right/>
      <top/>
      <bottom style="dotted">
        <color indexed="64"/>
      </bottom>
      <diagonal/>
    </border>
    <border>
      <left/>
      <right/>
      <top/>
      <bottom style="thick">
        <color indexed="44"/>
      </bottom>
      <diagonal/>
    </border>
    <border>
      <left style="thin">
        <color indexed="48"/>
      </left>
      <right style="thin">
        <color indexed="48"/>
      </right>
      <top style="thin">
        <color indexed="48"/>
      </top>
      <bottom style="thin">
        <color indexed="48"/>
      </bottom>
      <diagonal/>
    </border>
    <border>
      <left style="hair">
        <color indexed="64"/>
      </left>
      <right style="hair">
        <color indexed="64"/>
      </right>
      <top/>
      <bottom/>
      <diagonal/>
    </border>
    <border>
      <left/>
      <right/>
      <top/>
      <bottom style="hair">
        <color indexed="8"/>
      </bottom>
      <diagonal/>
    </border>
    <border>
      <left/>
      <right/>
      <top style="thick">
        <color indexed="64"/>
      </top>
      <bottom/>
      <diagonal/>
    </border>
    <border>
      <left/>
      <right/>
      <top style="double">
        <color indexed="64"/>
      </top>
      <bottom/>
      <diagonal/>
    </border>
    <border>
      <left style="thin">
        <color indexed="8"/>
      </left>
      <right/>
      <top style="thin">
        <color indexed="8"/>
      </top>
      <bottom/>
      <diagonal/>
    </border>
    <border>
      <left style="hair">
        <color indexed="23"/>
      </left>
      <right style="hair">
        <color indexed="23"/>
      </right>
      <top style="hair">
        <color indexed="23"/>
      </top>
      <bottom style="hair">
        <color indexed="23"/>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87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0" fillId="0" borderId="0"/>
    <xf numFmtId="0" fontId="64" fillId="0" borderId="0" applyNumberFormat="0" applyFill="0" applyBorder="0" applyAlignment="0" applyProtection="0"/>
    <xf numFmtId="0" fontId="12" fillId="0" borderId="0"/>
    <xf numFmtId="0" fontId="13" fillId="0" borderId="0"/>
    <xf numFmtId="0" fontId="13" fillId="0" borderId="0"/>
    <xf numFmtId="0" fontId="13" fillId="0" borderId="0"/>
    <xf numFmtId="1" fontId="12" fillId="0" borderId="0" applyNumberFormat="0" applyFill="0" applyBorder="0" applyAlignment="0" applyProtection="0"/>
    <xf numFmtId="1" fontId="12" fillId="0" borderId="0" applyNumberFormat="0" applyFill="0" applyBorder="0" applyAlignment="0" applyProtection="0"/>
    <xf numFmtId="0" fontId="12" fillId="0" borderId="0"/>
    <xf numFmtId="0" fontId="14" fillId="0" borderId="0"/>
    <xf numFmtId="0" fontId="14" fillId="0" borderId="0"/>
    <xf numFmtId="0" fontId="14" fillId="0" borderId="0"/>
    <xf numFmtId="0" fontId="10" fillId="0" borderId="0"/>
    <xf numFmtId="0" fontId="14" fillId="0" borderId="0"/>
    <xf numFmtId="0" fontId="15" fillId="0" borderId="0"/>
    <xf numFmtId="0" fontId="16" fillId="0" borderId="0"/>
    <xf numFmtId="185" fontId="14" fillId="0" borderId="0" applyFont="0" applyFill="0" applyBorder="0" applyAlignment="0" applyProtection="0"/>
    <xf numFmtId="186" fontId="14" fillId="0" borderId="0" applyFont="0" applyFill="0" applyBorder="0" applyAlignment="0" applyProtection="0"/>
    <xf numFmtId="186" fontId="14" fillId="0" borderId="0" applyFont="0" applyFill="0" applyBorder="0" applyAlignment="0" applyProtection="0"/>
    <xf numFmtId="186" fontId="14" fillId="0" borderId="0" applyFont="0" applyFill="0" applyBorder="0" applyAlignment="0" applyProtection="0"/>
    <xf numFmtId="40" fontId="10" fillId="0" borderId="0" applyFont="0" applyFill="0" applyBorder="0" applyAlignment="0" applyProtection="0"/>
    <xf numFmtId="186" fontId="14" fillId="0" borderId="0" applyFont="0" applyFill="0" applyBorder="0" applyAlignment="0" applyProtection="0"/>
    <xf numFmtId="40" fontId="16" fillId="0" borderId="0" applyFont="0" applyFill="0" applyBorder="0" applyAlignment="0" applyProtection="0"/>
    <xf numFmtId="0" fontId="17" fillId="0" borderId="0"/>
    <xf numFmtId="6" fontId="18" fillId="0" borderId="0" applyFont="0" applyFill="0" applyBorder="0" applyAlignment="0" applyProtection="0"/>
    <xf numFmtId="184" fontId="19" fillId="0" borderId="0" applyFont="0" applyFill="0" applyBorder="0" applyAlignment="0" applyProtection="0"/>
    <xf numFmtId="214" fontId="12" fillId="0" borderId="0" applyFont="0" applyFill="0" applyBorder="0" applyAlignment="0" applyProtection="0"/>
    <xf numFmtId="42" fontId="20" fillId="0" borderId="0" applyFont="0" applyFill="0" applyBorder="0" applyAlignment="0" applyProtection="0"/>
    <xf numFmtId="188" fontId="12" fillId="0" borderId="0" applyFont="0" applyFill="0" applyBorder="0" applyAlignment="0" applyProtection="0"/>
    <xf numFmtId="41" fontId="21" fillId="0" borderId="0" applyFont="0" applyFill="0" applyBorder="0" applyAlignment="0" applyProtection="0"/>
    <xf numFmtId="0" fontId="2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9" fontId="20" fillId="0" borderId="0" applyFont="0" applyFill="0" applyBorder="0" applyAlignment="0" applyProtection="0"/>
    <xf numFmtId="43" fontId="20" fillId="0" borderId="0" applyFont="0" applyFill="0" applyBorder="0" applyAlignment="0" applyProtection="0"/>
    <xf numFmtId="185" fontId="12" fillId="0" borderId="0" applyFont="0" applyFill="0" applyBorder="0" applyAlignment="0" applyProtection="0"/>
    <xf numFmtId="44" fontId="20" fillId="0" borderId="0" applyFont="0" applyFill="0" applyBorder="0" applyAlignment="0" applyProtection="0"/>
    <xf numFmtId="201" fontId="12" fillId="0" borderId="0" applyFont="0" applyFill="0" applyBorder="0" applyAlignment="0" applyProtection="0"/>
    <xf numFmtId="199" fontId="12" fillId="0" borderId="0" applyFont="0" applyFill="0" applyBorder="0" applyAlignment="0" applyProtection="0"/>
    <xf numFmtId="0" fontId="36" fillId="0" borderId="0" applyNumberFormat="0" applyFill="0" applyBorder="0" applyAlignment="0" applyProtection="0">
      <alignment vertical="top"/>
      <protection locked="0"/>
    </xf>
    <xf numFmtId="0" fontId="43" fillId="0" borderId="0"/>
    <xf numFmtId="40" fontId="43" fillId="0" borderId="0" applyFont="0" applyFill="0" applyBorder="0" applyAlignment="0" applyProtection="0"/>
    <xf numFmtId="38" fontId="43" fillId="0" borderId="0" applyFont="0" applyFill="0" applyBorder="0" applyAlignment="0" applyProtection="0"/>
    <xf numFmtId="0" fontId="44" fillId="0" borderId="0"/>
    <xf numFmtId="0" fontId="44" fillId="0" borderId="0"/>
    <xf numFmtId="0" fontId="45" fillId="0" borderId="0"/>
    <xf numFmtId="0" fontId="44" fillId="0" borderId="0"/>
    <xf numFmtId="0" fontId="46" fillId="0" borderId="0"/>
    <xf numFmtId="8" fontId="47" fillId="0" borderId="0" applyFont="0" applyFill="0" applyBorder="0" applyAlignment="0" applyProtection="0"/>
    <xf numFmtId="6" fontId="47" fillId="0" borderId="0" applyFont="0" applyFill="0" applyBorder="0" applyAlignment="0" applyProtection="0"/>
    <xf numFmtId="0" fontId="32" fillId="0" borderId="0" applyNumberFormat="0" applyFill="0" applyBorder="0" applyAlignment="0" applyProtection="0">
      <alignment vertical="top"/>
      <protection locked="0"/>
    </xf>
    <xf numFmtId="40" fontId="48" fillId="0" borderId="0" applyFont="0" applyFill="0" applyBorder="0" applyAlignment="0" applyProtection="0"/>
    <xf numFmtId="38" fontId="48" fillId="0" borderId="0" applyFont="0" applyFill="0" applyBorder="0" applyAlignment="0" applyProtection="0"/>
    <xf numFmtId="185" fontId="44" fillId="0" borderId="0" applyFont="0" applyFill="0" applyBorder="0" applyAlignment="0" applyProtection="0"/>
    <xf numFmtId="186" fontId="44" fillId="0" borderId="0" applyFont="0" applyFill="0" applyBorder="0" applyAlignment="0" applyProtection="0"/>
    <xf numFmtId="186" fontId="44" fillId="0" borderId="0" applyFont="0" applyFill="0" applyBorder="0" applyAlignment="0" applyProtection="0"/>
    <xf numFmtId="186" fontId="44" fillId="0" borderId="0" applyFont="0" applyFill="0" applyBorder="0" applyAlignment="0" applyProtection="0"/>
    <xf numFmtId="40" fontId="45" fillId="0" borderId="0" applyFont="0" applyFill="0" applyBorder="0" applyAlignment="0" applyProtection="0"/>
    <xf numFmtId="186" fontId="44" fillId="0" borderId="0" applyFont="0" applyFill="0" applyBorder="0" applyAlignment="0" applyProtection="0"/>
    <xf numFmtId="40" fontId="46" fillId="0" borderId="0" applyFont="0" applyFill="0" applyBorder="0" applyAlignment="0" applyProtection="0"/>
    <xf numFmtId="44" fontId="49" fillId="0" borderId="0" applyFont="0" applyFill="0" applyBorder="0" applyAlignment="0" applyProtection="0"/>
    <xf numFmtId="44" fontId="50" fillId="0" borderId="0" applyFont="0" applyFill="0" applyBorder="0" applyAlignment="0" applyProtection="0"/>
    <xf numFmtId="214" fontId="44" fillId="0" borderId="0" applyFont="0" applyFill="0" applyBorder="0" applyAlignment="0" applyProtection="0"/>
    <xf numFmtId="215" fontId="44" fillId="0" borderId="0" applyFont="0" applyFill="0" applyBorder="0" applyAlignment="0" applyProtection="0"/>
    <xf numFmtId="215" fontId="44" fillId="0" borderId="0" applyFont="0" applyFill="0" applyBorder="0" applyAlignment="0" applyProtection="0"/>
    <xf numFmtId="215" fontId="44" fillId="0" borderId="0" applyFont="0" applyFill="0" applyBorder="0" applyAlignment="0" applyProtection="0"/>
    <xf numFmtId="8" fontId="45" fillId="0" borderId="0" applyFont="0" applyFill="0" applyBorder="0" applyAlignment="0" applyProtection="0"/>
    <xf numFmtId="215" fontId="44" fillId="0" borderId="0" applyFont="0" applyFill="0" applyBorder="0" applyAlignment="0" applyProtection="0"/>
    <xf numFmtId="8" fontId="46" fillId="0" borderId="0" applyFont="0" applyFill="0" applyBorder="0" applyAlignment="0" applyProtection="0"/>
    <xf numFmtId="9" fontId="51" fillId="0" borderId="0" applyFon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3" fillId="0" borderId="0"/>
    <xf numFmtId="0" fontId="43" fillId="0" borderId="0"/>
    <xf numFmtId="0" fontId="43" fillId="0" borderId="0"/>
    <xf numFmtId="0" fontId="54" fillId="0" borderId="0"/>
    <xf numFmtId="0" fontId="43" fillId="0" borderId="0"/>
    <xf numFmtId="42" fontId="20" fillId="0" borderId="0" applyFont="0" applyFill="0" applyBorder="0" applyAlignment="0" applyProtection="0"/>
    <xf numFmtId="44" fontId="20" fillId="0" borderId="0" applyFont="0" applyFill="0" applyBorder="0" applyAlignment="0" applyProtection="0"/>
    <xf numFmtId="40" fontId="43" fillId="0" borderId="0" applyFont="0" applyFill="0" applyBorder="0" applyAlignment="0" applyProtection="0"/>
    <xf numFmtId="38" fontId="43" fillId="0" borderId="0" applyFont="0" applyFill="0" applyBorder="0" applyAlignment="0" applyProtection="0"/>
    <xf numFmtId="200" fontId="55" fillId="0" borderId="0" applyFont="0" applyFill="0" applyBorder="0" applyAlignment="0" applyProtection="0"/>
    <xf numFmtId="198" fontId="55" fillId="0" borderId="0" applyFont="0" applyFill="0" applyBorder="0" applyAlignment="0" applyProtection="0"/>
    <xf numFmtId="0" fontId="56" fillId="0" borderId="0"/>
    <xf numFmtId="0" fontId="57" fillId="0" borderId="0" applyNumberFormat="0" applyFill="0" applyBorder="0" applyAlignment="0" applyProtection="0">
      <alignment vertical="top"/>
      <protection locked="0"/>
    </xf>
    <xf numFmtId="201" fontId="55" fillId="0" borderId="0" applyFont="0" applyFill="0" applyBorder="0" applyAlignment="0" applyProtection="0"/>
    <xf numFmtId="199" fontId="55"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8" fillId="0" borderId="0" applyNumberFormat="0" applyFill="0" applyBorder="0" applyAlignment="0" applyProtection="0"/>
    <xf numFmtId="0" fontId="12" fillId="0" borderId="0"/>
    <xf numFmtId="0" fontId="54" fillId="0" borderId="0"/>
    <xf numFmtId="0" fontId="59" fillId="0" borderId="0"/>
    <xf numFmtId="0" fontId="59" fillId="0" borderId="0"/>
    <xf numFmtId="0" fontId="60" fillId="34" borderId="0">
      <alignment horizontal="left" vertical="top"/>
    </xf>
    <xf numFmtId="0" fontId="60" fillId="34" borderId="0">
      <alignment horizontal="left" vertical="top"/>
    </xf>
    <xf numFmtId="0" fontId="60" fillId="34" borderId="0">
      <alignment horizontal="left" vertical="top"/>
    </xf>
    <xf numFmtId="0" fontId="60" fillId="34" borderId="0">
      <alignment horizontal="left" vertical="top"/>
    </xf>
    <xf numFmtId="0" fontId="60" fillId="34" borderId="0">
      <alignment horizontal="left" vertical="top"/>
    </xf>
    <xf numFmtId="0" fontId="59" fillId="0" borderId="0"/>
    <xf numFmtId="0" fontId="61" fillId="0" borderId="0"/>
    <xf numFmtId="0" fontId="59" fillId="0" borderId="0"/>
    <xf numFmtId="0" fontId="62" fillId="0" borderId="0">
      <alignment vertical="top"/>
    </xf>
    <xf numFmtId="0" fontId="62" fillId="0" borderId="0">
      <alignment vertical="top"/>
    </xf>
    <xf numFmtId="0" fontId="59" fillId="0" borderId="0"/>
    <xf numFmtId="0" fontId="12" fillId="0" borderId="0"/>
    <xf numFmtId="0" fontId="59" fillId="0" borderId="0"/>
    <xf numFmtId="0" fontId="12" fillId="0" borderId="0"/>
    <xf numFmtId="0" fontId="12" fillId="0" borderId="0"/>
    <xf numFmtId="0" fontId="59" fillId="0" borderId="0"/>
    <xf numFmtId="0" fontId="58" fillId="0" borderId="0" applyNumberFormat="0" applyFill="0" applyBorder="0" applyAlignment="0" applyProtection="0"/>
    <xf numFmtId="0" fontId="61" fillId="0" borderId="0"/>
    <xf numFmtId="0" fontId="59" fillId="0" borderId="0"/>
    <xf numFmtId="0" fontId="61" fillId="0" borderId="0"/>
    <xf numFmtId="0" fontId="62" fillId="0" borderId="0">
      <alignment vertical="top"/>
    </xf>
    <xf numFmtId="0" fontId="62" fillId="0" borderId="0">
      <alignment vertical="top"/>
    </xf>
    <xf numFmtId="0" fontId="59" fillId="0" borderId="0"/>
    <xf numFmtId="0" fontId="58" fillId="0" borderId="0" applyNumberFormat="0" applyFill="0" applyBorder="0" applyAlignment="0" applyProtection="0"/>
    <xf numFmtId="0" fontId="58" fillId="0" borderId="0" applyNumberFormat="0" applyFill="0" applyBorder="0" applyAlignment="0" applyProtection="0"/>
    <xf numFmtId="0" fontId="59" fillId="0" borderId="0"/>
    <xf numFmtId="0" fontId="12" fillId="0" borderId="0"/>
    <xf numFmtId="0" fontId="12" fillId="0" borderId="0"/>
    <xf numFmtId="0" fontId="61" fillId="0" borderId="0"/>
    <xf numFmtId="0" fontId="61" fillId="0" borderId="0"/>
    <xf numFmtId="0" fontId="12" fillId="0" borderId="0"/>
    <xf numFmtId="0" fontId="12" fillId="0" borderId="0"/>
    <xf numFmtId="0" fontId="61" fillId="0" borderId="0"/>
    <xf numFmtId="0" fontId="61" fillId="0" borderId="0"/>
    <xf numFmtId="0" fontId="62" fillId="0" borderId="0">
      <alignment vertical="top"/>
    </xf>
    <xf numFmtId="0" fontId="62" fillId="0" borderId="0">
      <alignment vertical="top"/>
    </xf>
    <xf numFmtId="0" fontId="12" fillId="0" borderId="0"/>
    <xf numFmtId="0" fontId="59" fillId="0" borderId="0"/>
    <xf numFmtId="0" fontId="59" fillId="0" borderId="0"/>
    <xf numFmtId="0" fontId="12" fillId="0" borderId="0"/>
    <xf numFmtId="0" fontId="12" fillId="0" borderId="0"/>
    <xf numFmtId="0" fontId="12" fillId="0" borderId="0"/>
    <xf numFmtId="0" fontId="12" fillId="0" borderId="0"/>
    <xf numFmtId="0" fontId="63" fillId="0" borderId="0">
      <alignment vertical="top"/>
    </xf>
    <xf numFmtId="0" fontId="63" fillId="0" borderId="0">
      <alignment vertical="top"/>
    </xf>
    <xf numFmtId="0" fontId="63" fillId="0" borderId="0">
      <alignment vertical="top"/>
    </xf>
    <xf numFmtId="0" fontId="63" fillId="0" borderId="0">
      <alignment vertical="top"/>
    </xf>
    <xf numFmtId="0" fontId="63" fillId="0" borderId="0">
      <alignment vertical="top"/>
    </xf>
    <xf numFmtId="0" fontId="12" fillId="0" borderId="0"/>
    <xf numFmtId="0" fontId="12" fillId="0" borderId="0"/>
    <xf numFmtId="0" fontId="12" fillId="0" borderId="0"/>
    <xf numFmtId="0" fontId="59" fillId="0" borderId="0"/>
    <xf numFmtId="0" fontId="59" fillId="0" borderId="0"/>
    <xf numFmtId="0" fontId="59" fillId="0" borderId="0"/>
    <xf numFmtId="0" fontId="61" fillId="0" borderId="0"/>
    <xf numFmtId="0" fontId="58" fillId="0" borderId="0" applyNumberFormat="0" applyFill="0" applyBorder="0" applyAlignment="0" applyProtection="0"/>
    <xf numFmtId="0" fontId="58" fillId="0" borderId="0" applyNumberFormat="0" applyFill="0" applyBorder="0" applyAlignment="0" applyProtection="0"/>
    <xf numFmtId="0" fontId="62" fillId="0" borderId="0">
      <alignment vertical="top"/>
    </xf>
    <xf numFmtId="0" fontId="62" fillId="0" borderId="0">
      <alignment vertical="top"/>
    </xf>
    <xf numFmtId="0" fontId="61" fillId="0" borderId="0"/>
    <xf numFmtId="0" fontId="61" fillId="0" borderId="0"/>
    <xf numFmtId="0" fontId="62" fillId="0" borderId="0">
      <alignment vertical="top"/>
    </xf>
    <xf numFmtId="0" fontId="62" fillId="0" borderId="0">
      <alignment vertical="top"/>
    </xf>
    <xf numFmtId="0" fontId="62" fillId="0" borderId="0">
      <alignment vertical="top"/>
    </xf>
    <xf numFmtId="0" fontId="62" fillId="0" borderId="0">
      <alignment vertical="top"/>
    </xf>
    <xf numFmtId="0" fontId="59" fillId="0" borderId="0"/>
    <xf numFmtId="0" fontId="12" fillId="0" borderId="0"/>
    <xf numFmtId="0" fontId="62" fillId="0" borderId="0">
      <alignment vertical="top"/>
    </xf>
    <xf numFmtId="0" fontId="62" fillId="0" borderId="0">
      <alignment vertical="top"/>
    </xf>
    <xf numFmtId="0" fontId="59" fillId="0" borderId="0"/>
    <xf numFmtId="0" fontId="59" fillId="0" borderId="0"/>
    <xf numFmtId="1" fontId="12" fillId="0" borderId="0" applyNumberFormat="0" applyFill="0" applyBorder="0" applyAlignment="0" applyProtection="0"/>
    <xf numFmtId="0" fontId="59" fillId="0" borderId="0"/>
    <xf numFmtId="0" fontId="61" fillId="0" borderId="0"/>
    <xf numFmtId="0" fontId="61" fillId="0" borderId="0"/>
    <xf numFmtId="0" fontId="62" fillId="0" borderId="0">
      <alignment vertical="top"/>
    </xf>
    <xf numFmtId="0" fontId="62" fillId="0" borderId="0">
      <alignment vertical="top"/>
    </xf>
    <xf numFmtId="0" fontId="59" fillId="0" borderId="0"/>
    <xf numFmtId="0" fontId="59" fillId="0" borderId="0"/>
    <xf numFmtId="0" fontId="61" fillId="0" borderId="0"/>
    <xf numFmtId="0" fontId="58"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9" fillId="0" borderId="0"/>
    <xf numFmtId="0" fontId="59" fillId="0" borderId="0"/>
    <xf numFmtId="0" fontId="12" fillId="0" borderId="0"/>
    <xf numFmtId="0" fontId="12" fillId="0" borderId="0"/>
    <xf numFmtId="0" fontId="61"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61" fillId="0" borderId="0"/>
    <xf numFmtId="0" fontId="58" fillId="0" borderId="0" applyNumberFormat="0" applyFill="0" applyBorder="0" applyAlignment="0" applyProtection="0"/>
    <xf numFmtId="0" fontId="59" fillId="0" borderId="0"/>
    <xf numFmtId="0" fontId="59" fillId="0" borderId="0"/>
    <xf numFmtId="0" fontId="59" fillId="0" borderId="0"/>
    <xf numFmtId="0" fontId="59" fillId="0" borderId="0"/>
    <xf numFmtId="0" fontId="59" fillId="0" borderId="0"/>
    <xf numFmtId="0" fontId="59" fillId="0" borderId="0"/>
    <xf numFmtId="0" fontId="58" fillId="0" borderId="0" applyNumberFormat="0" applyFill="0" applyBorder="0" applyAlignment="0" applyProtection="0"/>
    <xf numFmtId="0" fontId="59" fillId="0" borderId="0"/>
    <xf numFmtId="0" fontId="59" fillId="0" borderId="0"/>
    <xf numFmtId="0" fontId="59" fillId="0" borderId="0"/>
    <xf numFmtId="0" fontId="59" fillId="0" borderId="0"/>
    <xf numFmtId="0" fontId="61" fillId="0" borderId="0"/>
    <xf numFmtId="0" fontId="62" fillId="0" borderId="0">
      <alignment vertical="top"/>
    </xf>
    <xf numFmtId="0" fontId="62" fillId="0" borderId="0">
      <alignment vertical="top"/>
    </xf>
    <xf numFmtId="0" fontId="62" fillId="0" borderId="0">
      <alignment vertical="top"/>
    </xf>
    <xf numFmtId="0" fontId="62" fillId="0" borderId="0">
      <alignment vertical="top"/>
    </xf>
    <xf numFmtId="0" fontId="59" fillId="0" borderId="0"/>
    <xf numFmtId="0" fontId="65" fillId="0" borderId="0">
      <alignment vertical="center"/>
    </xf>
    <xf numFmtId="184" fontId="66" fillId="0" borderId="0" applyFont="0" applyFill="0" applyBorder="0" applyAlignment="0" applyProtection="0"/>
    <xf numFmtId="183" fontId="66" fillId="0" borderId="0" applyFont="0" applyFill="0" applyBorder="0" applyAlignment="0" applyProtection="0"/>
    <xf numFmtId="8" fontId="67" fillId="0" borderId="0" applyFont="0" applyFill="0" applyBorder="0" applyAlignment="0" applyProtection="0"/>
    <xf numFmtId="6" fontId="67" fillId="0" borderId="0" applyFont="0" applyFill="0" applyBorder="0" applyAlignment="0" applyProtection="0"/>
    <xf numFmtId="203" fontId="55" fillId="0" borderId="0" applyFont="0" applyFill="0" applyBorder="0" applyAlignment="0" applyProtection="0"/>
    <xf numFmtId="202" fontId="55" fillId="0" borderId="0" applyFont="0" applyFill="0" applyBorder="0" applyAlignment="0" applyProtection="0"/>
    <xf numFmtId="6" fontId="68" fillId="0" borderId="0" applyFont="0" applyFill="0" applyBorder="0" applyAlignment="0" applyProtection="0"/>
    <xf numFmtId="0" fontId="69" fillId="0" borderId="0" applyNumberFormat="0" applyFill="0" applyBorder="0" applyAlignment="0" applyProtection="0"/>
    <xf numFmtId="0" fontId="70" fillId="0" borderId="0"/>
    <xf numFmtId="0" fontId="71"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184" fontId="73" fillId="0" borderId="0" applyFont="0" applyFill="0" applyBorder="0" applyAlignment="0" applyProtection="0"/>
    <xf numFmtId="183" fontId="73" fillId="0" borderId="0" applyFont="0" applyFill="0" applyBorder="0" applyAlignment="0" applyProtection="0"/>
    <xf numFmtId="0" fontId="71"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75" fillId="0" borderId="0"/>
    <xf numFmtId="0" fontId="76" fillId="0" borderId="0"/>
    <xf numFmtId="1" fontId="77" fillId="35" borderId="19">
      <alignment horizontal="center"/>
      <protection locked="0"/>
    </xf>
    <xf numFmtId="0" fontId="10" fillId="0" borderId="0"/>
    <xf numFmtId="179" fontId="77" fillId="0" borderId="19" applyProtection="0">
      <alignment horizontal="center"/>
    </xf>
    <xf numFmtId="2" fontId="77" fillId="0" borderId="19">
      <alignment horizontal="center"/>
    </xf>
    <xf numFmtId="1" fontId="78" fillId="0" borderId="0"/>
    <xf numFmtId="1" fontId="78" fillId="0" borderId="0"/>
    <xf numFmtId="1" fontId="77" fillId="35" borderId="19">
      <alignment horizontal="center"/>
      <protection locked="0"/>
    </xf>
    <xf numFmtId="1" fontId="78" fillId="0" borderId="0"/>
    <xf numFmtId="1" fontId="77" fillId="35" borderId="19">
      <alignment horizontal="center"/>
      <protection locked="0"/>
    </xf>
    <xf numFmtId="1" fontId="77" fillId="35" borderId="19">
      <alignment horizontal="center"/>
      <protection locked="0"/>
    </xf>
    <xf numFmtId="1" fontId="78" fillId="0" borderId="0"/>
    <xf numFmtId="1" fontId="78" fillId="0" borderId="0"/>
    <xf numFmtId="1" fontId="78" fillId="0" borderId="0"/>
    <xf numFmtId="1" fontId="77" fillId="35" borderId="19">
      <alignment horizontal="center"/>
      <protection locked="0"/>
    </xf>
    <xf numFmtId="1" fontId="77" fillId="35" borderId="19">
      <alignment horizontal="center"/>
      <protection locked="0"/>
    </xf>
    <xf numFmtId="1" fontId="77" fillId="35" borderId="19">
      <alignment horizontal="center"/>
      <protection locked="0"/>
    </xf>
    <xf numFmtId="0" fontId="197" fillId="0" borderId="0" applyNumberFormat="0"/>
    <xf numFmtId="195" fontId="79" fillId="0" borderId="17" applyFont="0" applyFill="0" applyBorder="0" applyAlignment="0" applyProtection="0">
      <alignment horizontal="center"/>
    </xf>
    <xf numFmtId="0" fontId="63" fillId="0" borderId="0" applyFont="0" applyFill="0" applyBorder="0" applyAlignment="0" applyProtection="0"/>
    <xf numFmtId="0" fontId="239" fillId="0" borderId="1" applyNumberFormat="0" applyFont="0" applyFill="0" applyAlignment="0" applyProtection="0">
      <alignment horizontal="centerContinuous"/>
    </xf>
    <xf numFmtId="3" fontId="239" fillId="0" borderId="0" applyFont="0" applyFill="0" applyBorder="0" applyAlignment="0" applyProtection="0"/>
    <xf numFmtId="9" fontId="80" fillId="0" borderId="0" applyFont="0" applyFill="0" applyBorder="0" applyAlignment="0" applyProtection="0"/>
    <xf numFmtId="0" fontId="81" fillId="36"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9" borderId="0" applyNumberFormat="0" applyBorder="0" applyAlignment="0" applyProtection="0"/>
    <xf numFmtId="0" fontId="81" fillId="40" borderId="0" applyNumberFormat="0" applyBorder="0" applyAlignment="0" applyProtection="0"/>
    <xf numFmtId="0" fontId="81" fillId="41" borderId="0" applyNumberFormat="0" applyBorder="0" applyAlignment="0" applyProtection="0"/>
    <xf numFmtId="0" fontId="218" fillId="36" borderId="0" applyNumberFormat="0" applyBorder="0" applyAlignment="0" applyProtection="0">
      <alignment vertical="center"/>
    </xf>
    <xf numFmtId="0" fontId="218" fillId="36" borderId="0" applyNumberFormat="0" applyBorder="0" applyAlignment="0" applyProtection="0">
      <alignment vertical="center"/>
    </xf>
    <xf numFmtId="0" fontId="218" fillId="36" borderId="0" applyNumberFormat="0" applyBorder="0" applyAlignment="0" applyProtection="0">
      <alignment vertical="center"/>
    </xf>
    <xf numFmtId="0" fontId="218" fillId="36" borderId="0" applyNumberFormat="0" applyBorder="0" applyAlignment="0" applyProtection="0">
      <alignment vertical="center"/>
    </xf>
    <xf numFmtId="0" fontId="218" fillId="36" borderId="0" applyNumberFormat="0" applyBorder="0" applyAlignment="0" applyProtection="0">
      <alignment vertical="center"/>
    </xf>
    <xf numFmtId="0" fontId="218" fillId="37" borderId="0" applyNumberFormat="0" applyBorder="0" applyAlignment="0" applyProtection="0">
      <alignment vertical="center"/>
    </xf>
    <xf numFmtId="0" fontId="218" fillId="37" borderId="0" applyNumberFormat="0" applyBorder="0" applyAlignment="0" applyProtection="0">
      <alignment vertical="center"/>
    </xf>
    <xf numFmtId="0" fontId="218" fillId="37" borderId="0" applyNumberFormat="0" applyBorder="0" applyAlignment="0" applyProtection="0">
      <alignment vertical="center"/>
    </xf>
    <xf numFmtId="0" fontId="218" fillId="37" borderId="0" applyNumberFormat="0" applyBorder="0" applyAlignment="0" applyProtection="0">
      <alignment vertical="center"/>
    </xf>
    <xf numFmtId="0" fontId="218" fillId="37" borderId="0" applyNumberFormat="0" applyBorder="0" applyAlignment="0" applyProtection="0">
      <alignment vertical="center"/>
    </xf>
    <xf numFmtId="0" fontId="218" fillId="38" borderId="0" applyNumberFormat="0" applyBorder="0" applyAlignment="0" applyProtection="0">
      <alignment vertical="center"/>
    </xf>
    <xf numFmtId="0" fontId="218" fillId="38" borderId="0" applyNumberFormat="0" applyBorder="0" applyAlignment="0" applyProtection="0">
      <alignment vertical="center"/>
    </xf>
    <xf numFmtId="0" fontId="218" fillId="38" borderId="0" applyNumberFormat="0" applyBorder="0" applyAlignment="0" applyProtection="0">
      <alignment vertical="center"/>
    </xf>
    <xf numFmtId="0" fontId="218" fillId="38" borderId="0" applyNumberFormat="0" applyBorder="0" applyAlignment="0" applyProtection="0">
      <alignment vertical="center"/>
    </xf>
    <xf numFmtId="0" fontId="218" fillId="38" borderId="0" applyNumberFormat="0" applyBorder="0" applyAlignment="0" applyProtection="0">
      <alignment vertical="center"/>
    </xf>
    <xf numFmtId="0" fontId="218" fillId="39" borderId="0" applyNumberFormat="0" applyBorder="0" applyAlignment="0" applyProtection="0">
      <alignment vertical="center"/>
    </xf>
    <xf numFmtId="0" fontId="218" fillId="39" borderId="0" applyNumberFormat="0" applyBorder="0" applyAlignment="0" applyProtection="0">
      <alignment vertical="center"/>
    </xf>
    <xf numFmtId="0" fontId="218" fillId="39" borderId="0" applyNumberFormat="0" applyBorder="0" applyAlignment="0" applyProtection="0">
      <alignment vertical="center"/>
    </xf>
    <xf numFmtId="0" fontId="218" fillId="39" borderId="0" applyNumberFormat="0" applyBorder="0" applyAlignment="0" applyProtection="0">
      <alignment vertical="center"/>
    </xf>
    <xf numFmtId="0" fontId="218" fillId="39" borderId="0" applyNumberFormat="0" applyBorder="0" applyAlignment="0" applyProtection="0">
      <alignment vertical="center"/>
    </xf>
    <xf numFmtId="0" fontId="218" fillId="40" borderId="0" applyNumberFormat="0" applyBorder="0" applyAlignment="0" applyProtection="0">
      <alignment vertical="center"/>
    </xf>
    <xf numFmtId="0" fontId="218" fillId="40" borderId="0" applyNumberFormat="0" applyBorder="0" applyAlignment="0" applyProtection="0">
      <alignment vertical="center"/>
    </xf>
    <xf numFmtId="0" fontId="218" fillId="40" borderId="0" applyNumberFormat="0" applyBorder="0" applyAlignment="0" applyProtection="0">
      <alignment vertical="center"/>
    </xf>
    <xf numFmtId="0" fontId="218" fillId="40" borderId="0" applyNumberFormat="0" applyBorder="0" applyAlignment="0" applyProtection="0">
      <alignment vertical="center"/>
    </xf>
    <xf numFmtId="0" fontId="218" fillId="40" borderId="0" applyNumberFormat="0" applyBorder="0" applyAlignment="0" applyProtection="0">
      <alignment vertical="center"/>
    </xf>
    <xf numFmtId="0" fontId="218" fillId="41" borderId="0" applyNumberFormat="0" applyBorder="0" applyAlignment="0" applyProtection="0">
      <alignment vertical="center"/>
    </xf>
    <xf numFmtId="0" fontId="218" fillId="41" borderId="0" applyNumberFormat="0" applyBorder="0" applyAlignment="0" applyProtection="0">
      <alignment vertical="center"/>
    </xf>
    <xf numFmtId="0" fontId="218" fillId="41" borderId="0" applyNumberFormat="0" applyBorder="0" applyAlignment="0" applyProtection="0">
      <alignment vertical="center"/>
    </xf>
    <xf numFmtId="0" fontId="218" fillId="41" borderId="0" applyNumberFormat="0" applyBorder="0" applyAlignment="0" applyProtection="0">
      <alignment vertical="center"/>
    </xf>
    <xf numFmtId="0" fontId="218" fillId="41" borderId="0" applyNumberFormat="0" applyBorder="0" applyAlignment="0" applyProtection="0">
      <alignment vertical="center"/>
    </xf>
    <xf numFmtId="49" fontId="108" fillId="0" borderId="1" applyNumberFormat="0" applyFont="0" applyFill="0" applyBorder="0" applyProtection="0">
      <alignment horizontal="left" vertical="center" indent="2"/>
    </xf>
    <xf numFmtId="0" fontId="81" fillId="42" borderId="0" applyNumberFormat="0" applyBorder="0" applyAlignment="0" applyProtection="0"/>
    <xf numFmtId="0" fontId="81" fillId="43" borderId="0" applyNumberFormat="0" applyBorder="0" applyAlignment="0" applyProtection="0"/>
    <xf numFmtId="0" fontId="81" fillId="44" borderId="0" applyNumberFormat="0" applyBorder="0" applyAlignment="0" applyProtection="0"/>
    <xf numFmtId="0" fontId="81" fillId="39" borderId="0" applyNumberFormat="0" applyBorder="0" applyAlignment="0" applyProtection="0"/>
    <xf numFmtId="0" fontId="81" fillId="42" borderId="0" applyNumberFormat="0" applyBorder="0" applyAlignment="0" applyProtection="0"/>
    <xf numFmtId="0" fontId="81" fillId="45" borderId="0" applyNumberFormat="0" applyBorder="0" applyAlignment="0" applyProtection="0"/>
    <xf numFmtId="0" fontId="218" fillId="42" borderId="0" applyNumberFormat="0" applyBorder="0" applyAlignment="0" applyProtection="0">
      <alignment vertical="center"/>
    </xf>
    <xf numFmtId="0" fontId="218" fillId="42" borderId="0" applyNumberFormat="0" applyBorder="0" applyAlignment="0" applyProtection="0">
      <alignment vertical="center"/>
    </xf>
    <xf numFmtId="0" fontId="218" fillId="42" borderId="0" applyNumberFormat="0" applyBorder="0" applyAlignment="0" applyProtection="0">
      <alignment vertical="center"/>
    </xf>
    <xf numFmtId="0" fontId="218" fillId="42" borderId="0" applyNumberFormat="0" applyBorder="0" applyAlignment="0" applyProtection="0">
      <alignment vertical="center"/>
    </xf>
    <xf numFmtId="0" fontId="218" fillId="42" borderId="0" applyNumberFormat="0" applyBorder="0" applyAlignment="0" applyProtection="0">
      <alignment vertical="center"/>
    </xf>
    <xf numFmtId="0" fontId="218" fillId="43" borderId="0" applyNumberFormat="0" applyBorder="0" applyAlignment="0" applyProtection="0">
      <alignment vertical="center"/>
    </xf>
    <xf numFmtId="0" fontId="218" fillId="43" borderId="0" applyNumberFormat="0" applyBorder="0" applyAlignment="0" applyProtection="0">
      <alignment vertical="center"/>
    </xf>
    <xf numFmtId="0" fontId="218" fillId="43" borderId="0" applyNumberFormat="0" applyBorder="0" applyAlignment="0" applyProtection="0">
      <alignment vertical="center"/>
    </xf>
    <xf numFmtId="0" fontId="218" fillId="43" borderId="0" applyNumberFormat="0" applyBorder="0" applyAlignment="0" applyProtection="0">
      <alignment vertical="center"/>
    </xf>
    <xf numFmtId="0" fontId="218" fillId="43" borderId="0" applyNumberFormat="0" applyBorder="0" applyAlignment="0" applyProtection="0">
      <alignment vertical="center"/>
    </xf>
    <xf numFmtId="0" fontId="218" fillId="44" borderId="0" applyNumberFormat="0" applyBorder="0" applyAlignment="0" applyProtection="0">
      <alignment vertical="center"/>
    </xf>
    <xf numFmtId="0" fontId="218" fillId="44" borderId="0" applyNumberFormat="0" applyBorder="0" applyAlignment="0" applyProtection="0">
      <alignment vertical="center"/>
    </xf>
    <xf numFmtId="0" fontId="218" fillId="44" borderId="0" applyNumberFormat="0" applyBorder="0" applyAlignment="0" applyProtection="0">
      <alignment vertical="center"/>
    </xf>
    <xf numFmtId="0" fontId="218" fillId="44" borderId="0" applyNumberFormat="0" applyBorder="0" applyAlignment="0" applyProtection="0">
      <alignment vertical="center"/>
    </xf>
    <xf numFmtId="0" fontId="218" fillId="44" borderId="0" applyNumberFormat="0" applyBorder="0" applyAlignment="0" applyProtection="0">
      <alignment vertical="center"/>
    </xf>
    <xf numFmtId="0" fontId="218" fillId="39" borderId="0" applyNumberFormat="0" applyBorder="0" applyAlignment="0" applyProtection="0">
      <alignment vertical="center"/>
    </xf>
    <xf numFmtId="0" fontId="218" fillId="39" borderId="0" applyNumberFormat="0" applyBorder="0" applyAlignment="0" applyProtection="0">
      <alignment vertical="center"/>
    </xf>
    <xf numFmtId="0" fontId="218" fillId="39" borderId="0" applyNumberFormat="0" applyBorder="0" applyAlignment="0" applyProtection="0">
      <alignment vertical="center"/>
    </xf>
    <xf numFmtId="0" fontId="218" fillId="39" borderId="0" applyNumberFormat="0" applyBorder="0" applyAlignment="0" applyProtection="0">
      <alignment vertical="center"/>
    </xf>
    <xf numFmtId="0" fontId="218" fillId="39" borderId="0" applyNumberFormat="0" applyBorder="0" applyAlignment="0" applyProtection="0">
      <alignment vertical="center"/>
    </xf>
    <xf numFmtId="0" fontId="218" fillId="42" borderId="0" applyNumberFormat="0" applyBorder="0" applyAlignment="0" applyProtection="0">
      <alignment vertical="center"/>
    </xf>
    <xf numFmtId="0" fontId="218" fillId="42" borderId="0" applyNumberFormat="0" applyBorder="0" applyAlignment="0" applyProtection="0">
      <alignment vertical="center"/>
    </xf>
    <xf numFmtId="0" fontId="218" fillId="42" borderId="0" applyNumberFormat="0" applyBorder="0" applyAlignment="0" applyProtection="0">
      <alignment vertical="center"/>
    </xf>
    <xf numFmtId="0" fontId="218" fillId="42" borderId="0" applyNumberFormat="0" applyBorder="0" applyAlignment="0" applyProtection="0">
      <alignment vertical="center"/>
    </xf>
    <xf numFmtId="0" fontId="218" fillId="42" borderId="0" applyNumberFormat="0" applyBorder="0" applyAlignment="0" applyProtection="0">
      <alignment vertical="center"/>
    </xf>
    <xf numFmtId="0" fontId="218" fillId="45" borderId="0" applyNumberFormat="0" applyBorder="0" applyAlignment="0" applyProtection="0">
      <alignment vertical="center"/>
    </xf>
    <xf numFmtId="0" fontId="218" fillId="45" borderId="0" applyNumberFormat="0" applyBorder="0" applyAlignment="0" applyProtection="0">
      <alignment vertical="center"/>
    </xf>
    <xf numFmtId="0" fontId="218" fillId="45" borderId="0" applyNumberFormat="0" applyBorder="0" applyAlignment="0" applyProtection="0">
      <alignment vertical="center"/>
    </xf>
    <xf numFmtId="0" fontId="218" fillId="45" borderId="0" applyNumberFormat="0" applyBorder="0" applyAlignment="0" applyProtection="0">
      <alignment vertical="center"/>
    </xf>
    <xf numFmtId="0" fontId="218" fillId="45" borderId="0" applyNumberFormat="0" applyBorder="0" applyAlignment="0" applyProtection="0">
      <alignment vertical="center"/>
    </xf>
    <xf numFmtId="49" fontId="108" fillId="0" borderId="20" applyNumberFormat="0" applyFont="0" applyFill="0" applyBorder="0" applyProtection="0">
      <alignment horizontal="left" vertical="center" indent="5"/>
    </xf>
    <xf numFmtId="0" fontId="82" fillId="46" borderId="0" applyNumberFormat="0" applyBorder="0" applyAlignment="0" applyProtection="0"/>
    <xf numFmtId="0" fontId="82" fillId="43" borderId="0" applyNumberFormat="0" applyBorder="0" applyAlignment="0" applyProtection="0"/>
    <xf numFmtId="0" fontId="82" fillId="44" borderId="0" applyNumberFormat="0" applyBorder="0" applyAlignment="0" applyProtection="0"/>
    <xf numFmtId="0" fontId="82" fillId="47" borderId="0" applyNumberFormat="0" applyBorder="0" applyAlignment="0" applyProtection="0"/>
    <xf numFmtId="0" fontId="82" fillId="48" borderId="0" applyNumberFormat="0" applyBorder="0" applyAlignment="0" applyProtection="0"/>
    <xf numFmtId="0" fontId="82" fillId="49" borderId="0" applyNumberFormat="0" applyBorder="0" applyAlignment="0" applyProtection="0"/>
    <xf numFmtId="0" fontId="219" fillId="46" borderId="0" applyNumberFormat="0" applyBorder="0" applyAlignment="0" applyProtection="0">
      <alignment vertical="center"/>
    </xf>
    <xf numFmtId="0" fontId="219" fillId="46" borderId="0" applyNumberFormat="0" applyBorder="0" applyAlignment="0" applyProtection="0">
      <alignment vertical="center"/>
    </xf>
    <xf numFmtId="0" fontId="219" fillId="43" borderId="0" applyNumberFormat="0" applyBorder="0" applyAlignment="0" applyProtection="0">
      <alignment vertical="center"/>
    </xf>
    <xf numFmtId="0" fontId="219" fillId="43" borderId="0" applyNumberFormat="0" applyBorder="0" applyAlignment="0" applyProtection="0">
      <alignment vertical="center"/>
    </xf>
    <xf numFmtId="0" fontId="219" fillId="44" borderId="0" applyNumberFormat="0" applyBorder="0" applyAlignment="0" applyProtection="0">
      <alignment vertical="center"/>
    </xf>
    <xf numFmtId="0" fontId="219" fillId="44" borderId="0" applyNumberFormat="0" applyBorder="0" applyAlignment="0" applyProtection="0">
      <alignment vertical="center"/>
    </xf>
    <xf numFmtId="0" fontId="219" fillId="47" borderId="0" applyNumberFormat="0" applyBorder="0" applyAlignment="0" applyProtection="0">
      <alignment vertical="center"/>
    </xf>
    <xf numFmtId="0" fontId="219" fillId="47" borderId="0" applyNumberFormat="0" applyBorder="0" applyAlignment="0" applyProtection="0">
      <alignment vertical="center"/>
    </xf>
    <xf numFmtId="0" fontId="219" fillId="48" borderId="0" applyNumberFormat="0" applyBorder="0" applyAlignment="0" applyProtection="0">
      <alignment vertical="center"/>
    </xf>
    <xf numFmtId="0" fontId="219" fillId="48" borderId="0" applyNumberFormat="0" applyBorder="0" applyAlignment="0" applyProtection="0">
      <alignment vertical="center"/>
    </xf>
    <xf numFmtId="0" fontId="219" fillId="49" borderId="0" applyNumberFormat="0" applyBorder="0" applyAlignment="0" applyProtection="0">
      <alignment vertical="center"/>
    </xf>
    <xf numFmtId="0" fontId="219" fillId="49" borderId="0" applyNumberFormat="0" applyBorder="0" applyAlignment="0" applyProtection="0">
      <alignment vertical="center"/>
    </xf>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3" fillId="0" borderId="0" applyNumberFormat="0" applyFill="0" applyBorder="0" applyAlignment="0"/>
    <xf numFmtId="0" fontId="82" fillId="50" borderId="0" applyNumberFormat="0" applyBorder="0" applyAlignment="0" applyProtection="0"/>
    <xf numFmtId="0" fontId="82" fillId="51" borderId="0" applyNumberFormat="0" applyBorder="0" applyAlignment="0" applyProtection="0"/>
    <xf numFmtId="0" fontId="82" fillId="52" borderId="0" applyNumberFormat="0" applyBorder="0" applyAlignment="0" applyProtection="0"/>
    <xf numFmtId="0" fontId="82" fillId="47" borderId="0" applyNumberFormat="0" applyBorder="0" applyAlignment="0" applyProtection="0"/>
    <xf numFmtId="0" fontId="82" fillId="48" borderId="0" applyNumberFormat="0" applyBorder="0" applyAlignment="0" applyProtection="0"/>
    <xf numFmtId="0" fontId="82" fillId="53" borderId="0" applyNumberFormat="0" applyBorder="0" applyAlignment="0" applyProtection="0"/>
    <xf numFmtId="42" fontId="84" fillId="0" borderId="0" applyFont="0" applyFill="0" applyBorder="0" applyAlignment="0" applyProtection="0"/>
    <xf numFmtId="44" fontId="84" fillId="0" borderId="0" applyFont="0" applyFill="0" applyBorder="0" applyAlignment="0" applyProtection="0"/>
    <xf numFmtId="0" fontId="85" fillId="0" borderId="0" applyFont="0" applyFill="0" applyBorder="0" applyAlignment="0" applyProtection="0"/>
    <xf numFmtId="0" fontId="85" fillId="0" borderId="0" applyFont="0" applyFill="0" applyBorder="0" applyAlignment="0" applyProtection="0"/>
    <xf numFmtId="188" fontId="12" fillId="0" borderId="0" applyFont="0" applyFill="0" applyBorder="0" applyAlignment="0" applyProtection="0"/>
    <xf numFmtId="191" fontId="12" fillId="0" borderId="0" applyFont="0" applyFill="0" applyBorder="0" applyAlignment="0" applyProtection="0"/>
    <xf numFmtId="201" fontId="55" fillId="0" borderId="0" applyFont="0" applyFill="0" applyBorder="0" applyAlignment="0" applyProtection="0"/>
    <xf numFmtId="199" fontId="55" fillId="0" borderId="0" applyFont="0" applyFill="0" applyBorder="0" applyAlignment="0" applyProtection="0"/>
    <xf numFmtId="0" fontId="86" fillId="0" borderId="0">
      <alignment horizontal="center" wrapText="1"/>
      <protection locked="0"/>
    </xf>
    <xf numFmtId="49" fontId="87" fillId="0" borderId="0">
      <alignment horizontal="left" vertical="center"/>
    </xf>
    <xf numFmtId="49" fontId="87" fillId="0" borderId="0">
      <alignment horizontal="left" vertical="center"/>
    </xf>
    <xf numFmtId="49" fontId="88" fillId="0" borderId="0">
      <alignment horizontal="left" vertical="center"/>
    </xf>
    <xf numFmtId="41" fontId="84" fillId="0" borderId="0" applyFont="0" applyFill="0" applyBorder="0" applyAlignment="0" applyProtection="0"/>
    <xf numFmtId="0" fontId="85" fillId="0" borderId="0" applyFont="0" applyFill="0" applyBorder="0" applyAlignment="0" applyProtection="0"/>
    <xf numFmtId="43" fontId="84" fillId="0" borderId="0" applyFont="0" applyFill="0" applyBorder="0" applyAlignment="0" applyProtection="0"/>
    <xf numFmtId="0" fontId="85" fillId="0" borderId="0" applyFont="0" applyFill="0" applyBorder="0" applyAlignment="0" applyProtection="0"/>
    <xf numFmtId="216" fontId="89" fillId="0" borderId="0" applyFont="0" applyFill="0" applyBorder="0" applyAlignment="0" applyProtection="0"/>
    <xf numFmtId="0" fontId="90" fillId="37" borderId="0" applyNumberFormat="0" applyBorder="0" applyAlignment="0" applyProtection="0"/>
    <xf numFmtId="205" fontId="12" fillId="0" borderId="0" applyNumberFormat="0" applyFill="0" applyBorder="0" applyAlignment="0"/>
    <xf numFmtId="4" fontId="175" fillId="0" borderId="4" applyFill="0" applyBorder="0" applyProtection="0">
      <alignment horizontal="right" vertical="center"/>
    </xf>
    <xf numFmtId="0" fontId="59" fillId="0" borderId="1"/>
    <xf numFmtId="0" fontId="91" fillId="54" borderId="1"/>
    <xf numFmtId="0" fontId="91" fillId="55" borderId="1"/>
    <xf numFmtId="0" fontId="92" fillId="0" borderId="0">
      <alignment horizontal="left"/>
    </xf>
    <xf numFmtId="0" fontId="93" fillId="0" borderId="0" applyNumberFormat="0" applyFill="0" applyBorder="0" applyProtection="0">
      <alignment horizontal="left"/>
    </xf>
    <xf numFmtId="0" fontId="85" fillId="0" borderId="0"/>
    <xf numFmtId="0" fontId="94" fillId="0" borderId="0"/>
    <xf numFmtId="0" fontId="85" fillId="0" borderId="0"/>
    <xf numFmtId="0" fontId="84" fillId="0" borderId="0"/>
    <xf numFmtId="180" fontId="62" fillId="0" borderId="0" applyFill="0" applyBorder="0" applyAlignment="0"/>
    <xf numFmtId="0" fontId="95" fillId="56" borderId="21" applyNumberFormat="0" applyAlignment="0" applyProtection="0"/>
    <xf numFmtId="0" fontId="96" fillId="0" borderId="22" applyFont="0" applyFill="0" applyAlignment="0"/>
    <xf numFmtId="0" fontId="63" fillId="0" borderId="0" applyFont="0" applyFill="0" applyBorder="0" applyAlignment="0" applyProtection="0"/>
    <xf numFmtId="0" fontId="63" fillId="0" borderId="0" applyFont="0" applyFill="0" applyBorder="0" applyAlignment="0" applyProtection="0"/>
    <xf numFmtId="0" fontId="91" fillId="0" borderId="0"/>
    <xf numFmtId="3" fontId="88" fillId="0" borderId="0">
      <alignment horizontal="right" vertical="top"/>
    </xf>
    <xf numFmtId="3" fontId="88" fillId="34" borderId="0">
      <alignment horizontal="right" vertical="top"/>
    </xf>
    <xf numFmtId="3" fontId="87" fillId="0" borderId="0">
      <alignment horizontal="right" vertical="center"/>
    </xf>
    <xf numFmtId="0" fontId="97" fillId="57" borderId="23" applyNumberFormat="0" applyAlignment="0" applyProtection="0"/>
    <xf numFmtId="0" fontId="97" fillId="58" borderId="23" applyNumberFormat="0" applyAlignment="0" applyProtection="0">
      <alignment vertical="center"/>
    </xf>
    <xf numFmtId="49" fontId="88" fillId="0" borderId="0">
      <alignment horizontal="left" vertical="center"/>
    </xf>
    <xf numFmtId="0" fontId="98" fillId="0" borderId="0" applyNumberFormat="0" applyBorder="0">
      <alignment vertical="center"/>
    </xf>
    <xf numFmtId="0" fontId="232" fillId="0" borderId="0">
      <alignment horizontal="center" vertical="center" wrapText="1"/>
    </xf>
    <xf numFmtId="0" fontId="99" fillId="0" borderId="5">
      <alignment horizontal="center"/>
    </xf>
    <xf numFmtId="0" fontId="100" fillId="0" borderId="0" applyNumberFormat="0" applyFill="0" applyBorder="0" applyProtection="0">
      <alignment horizontal="right"/>
    </xf>
    <xf numFmtId="0" fontId="101" fillId="0" borderId="0"/>
    <xf numFmtId="37" fontId="102" fillId="0" borderId="0"/>
    <xf numFmtId="37" fontId="102" fillId="0" borderId="0"/>
    <xf numFmtId="37" fontId="102" fillId="0" borderId="0"/>
    <xf numFmtId="37" fontId="102" fillId="0" borderId="0"/>
    <xf numFmtId="37" fontId="102" fillId="0" borderId="0"/>
    <xf numFmtId="37" fontId="102" fillId="0" borderId="0"/>
    <xf numFmtId="37" fontId="102" fillId="0" borderId="0"/>
    <xf numFmtId="0" fontId="12" fillId="0" borderId="0" applyFont="0" applyFill="0" applyBorder="0" applyAlignment="0" applyProtection="0"/>
    <xf numFmtId="40" fontId="10" fillId="0" borderId="0" applyFont="0" applyFill="0" applyBorder="0" applyAlignment="0" applyProtection="0">
      <alignment vertical="center"/>
    </xf>
    <xf numFmtId="40" fontId="45" fillId="0" borderId="0" applyFont="0" applyFill="0" applyBorder="0" applyAlignment="0" applyProtection="0">
      <alignment vertical="center"/>
    </xf>
    <xf numFmtId="4" fontId="59" fillId="0" borderId="0" applyFont="0" applyFill="0" applyBorder="0" applyAlignment="0" applyProtection="0"/>
    <xf numFmtId="3" fontId="12" fillId="0" borderId="0" applyFont="0" applyFill="0" applyBorder="0" applyAlignment="0" applyProtection="0"/>
    <xf numFmtId="0" fontId="59" fillId="0" borderId="0"/>
    <xf numFmtId="3" fontId="12" fillId="0" borderId="0" applyFont="0" applyFill="0" applyBorder="0" applyAlignment="0" applyProtection="0"/>
    <xf numFmtId="0" fontId="59" fillId="0" borderId="0"/>
    <xf numFmtId="49" fontId="240" fillId="59" borderId="24" applyBorder="0">
      <protection locked="0"/>
    </xf>
    <xf numFmtId="0" fontId="103" fillId="0" borderId="0">
      <alignment horizontal="left" vertical="top"/>
    </xf>
    <xf numFmtId="0" fontId="119" fillId="0" borderId="0">
      <alignment horizontal="left" vertical="center" wrapText="1"/>
    </xf>
    <xf numFmtId="0" fontId="101" fillId="0" borderId="0"/>
    <xf numFmtId="0" fontId="59" fillId="0" borderId="0"/>
    <xf numFmtId="196" fontId="55" fillId="0" borderId="0">
      <alignment horizontal="center"/>
    </xf>
    <xf numFmtId="0" fontId="12" fillId="0" borderId="0" applyFont="0" applyFill="0" applyBorder="0" applyAlignment="0" applyProtection="0"/>
    <xf numFmtId="217" fontId="59" fillId="0" borderId="0" applyFont="0" applyFill="0" applyBorder="0" applyAlignment="0" applyProtection="0"/>
    <xf numFmtId="192" fontId="12" fillId="0" borderId="0" applyFont="0" applyFill="0" applyBorder="0" applyAlignment="0" applyProtection="0"/>
    <xf numFmtId="178" fontId="75" fillId="0" borderId="0"/>
    <xf numFmtId="225" fontId="234" fillId="0" borderId="25">
      <alignment horizontal="right" vertical="center"/>
    </xf>
    <xf numFmtId="49" fontId="235" fillId="0" borderId="25">
      <alignment horizontal="left" vertical="center"/>
    </xf>
    <xf numFmtId="226" fontId="59" fillId="0" borderId="25" applyNumberFormat="0" applyFill="0">
      <alignment horizontal="right"/>
    </xf>
    <xf numFmtId="227" fontId="59" fillId="0" borderId="25">
      <alignment horizontal="right"/>
    </xf>
    <xf numFmtId="0" fontId="12" fillId="0" borderId="0" applyFont="0" applyFill="0" applyBorder="0" applyAlignment="0" applyProtection="0"/>
    <xf numFmtId="0" fontId="87" fillId="0" borderId="0">
      <alignment horizontal="right" vertical="center"/>
    </xf>
    <xf numFmtId="204" fontId="104" fillId="0" borderId="0" applyFont="0" applyFill="0" applyBorder="0" applyAlignment="0" applyProtection="0">
      <protection locked="0"/>
    </xf>
    <xf numFmtId="39" fontId="59" fillId="0" borderId="0" applyFont="0" applyFill="0" applyBorder="0" applyAlignment="0" applyProtection="0"/>
    <xf numFmtId="211" fontId="12" fillId="0" borderId="0" applyFont="0" applyFill="0" applyBorder="0" applyAlignment="0"/>
    <xf numFmtId="0" fontId="12" fillId="0" borderId="0" applyFont="0" applyFill="0" applyBorder="0" applyAlignment="0" applyProtection="0"/>
    <xf numFmtId="38" fontId="78" fillId="0" borderId="1" applyBorder="0"/>
    <xf numFmtId="0" fontId="12" fillId="0" borderId="0" applyFont="0" applyFill="0" applyBorder="0" applyAlignment="0" applyProtection="0"/>
    <xf numFmtId="0" fontId="105" fillId="0" borderId="0" applyNumberFormat="0" applyFill="0" applyBorder="0" applyProtection="0">
      <alignment horizontal="left"/>
    </xf>
    <xf numFmtId="0" fontId="106" fillId="0" borderId="0"/>
    <xf numFmtId="38" fontId="107" fillId="0" borderId="0" applyFont="0" applyFill="0" applyBorder="0" applyAlignment="0" applyProtection="0"/>
    <xf numFmtId="0" fontId="108" fillId="0" borderId="0">
      <alignment horizontal="left"/>
    </xf>
    <xf numFmtId="0" fontId="109" fillId="0" borderId="0" applyNumberFormat="0" applyFill="0" applyBorder="0" applyProtection="0">
      <alignment horizontal="right"/>
    </xf>
    <xf numFmtId="197" fontId="12" fillId="0" borderId="0" applyFont="0" applyFill="0" applyBorder="0" applyAlignment="0" applyProtection="0"/>
    <xf numFmtId="187" fontId="110" fillId="0" borderId="0"/>
    <xf numFmtId="0" fontId="111" fillId="0" borderId="0" applyNumberFormat="0" applyFill="0" applyBorder="0" applyAlignment="0" applyProtection="0"/>
    <xf numFmtId="182" fontId="12" fillId="0" borderId="0" applyFont="0" applyFill="0" applyBorder="0" applyAlignment="0" applyProtection="0"/>
    <xf numFmtId="218" fontId="12" fillId="0" borderId="0" applyFont="0" applyFill="0" applyBorder="0" applyAlignment="0" applyProtection="0"/>
    <xf numFmtId="184" fontId="112" fillId="0" borderId="0" applyFont="0" applyFill="0" applyBorder="0" applyAlignment="0" applyProtection="0"/>
    <xf numFmtId="181" fontId="12" fillId="0" borderId="0" applyFont="0" applyFill="0" applyBorder="0" applyAlignment="0" applyProtection="0"/>
    <xf numFmtId="6" fontId="107" fillId="0" borderId="0" applyFont="0" applyFill="0" applyBorder="0" applyAlignment="0" applyProtection="0"/>
    <xf numFmtId="183" fontId="112" fillId="0" borderId="0" applyFont="0" applyFill="0" applyBorder="0" applyAlignment="0" applyProtection="0"/>
    <xf numFmtId="6" fontId="107" fillId="0" borderId="0" applyFont="0" applyFill="0" applyBorder="0" applyAlignment="0" applyProtection="0"/>
    <xf numFmtId="8" fontId="43" fillId="0" borderId="0" applyFont="0" applyFill="0" applyBorder="0" applyAlignment="0" applyProtection="0"/>
    <xf numFmtId="184" fontId="113" fillId="0" borderId="0" applyFont="0" applyFill="0" applyBorder="0" applyAlignment="0" applyProtection="0"/>
    <xf numFmtId="6" fontId="43" fillId="0" borderId="0" applyFont="0" applyFill="0" applyBorder="0" applyAlignment="0" applyProtection="0"/>
    <xf numFmtId="183" fontId="113" fillId="0" borderId="0" applyFont="0" applyFill="0" applyBorder="0" applyAlignment="0" applyProtection="0"/>
    <xf numFmtId="2" fontId="12" fillId="0" borderId="0" applyFont="0" applyFill="0" applyBorder="0" applyAlignment="0" applyProtection="0"/>
    <xf numFmtId="0" fontId="39"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14" fillId="0" borderId="0" applyNumberFormat="0" applyFill="0" applyBorder="0" applyProtection="0">
      <alignment horizontal="right"/>
    </xf>
    <xf numFmtId="0" fontId="115" fillId="0" borderId="0"/>
    <xf numFmtId="1" fontId="116" fillId="0" borderId="26">
      <alignment horizontal="center"/>
    </xf>
    <xf numFmtId="0" fontId="117" fillId="38" borderId="0" applyNumberFormat="0" applyBorder="0" applyAlignment="0" applyProtection="0"/>
    <xf numFmtId="38" fontId="118" fillId="34" borderId="0" applyNumberFormat="0" applyBorder="0" applyAlignment="0" applyProtection="0"/>
    <xf numFmtId="0" fontId="75" fillId="0" borderId="0"/>
    <xf numFmtId="0" fontId="119" fillId="0" borderId="0">
      <alignment horizontal="left"/>
    </xf>
    <xf numFmtId="0" fontId="92" fillId="0" borderId="27" applyNumberFormat="0" applyAlignment="0" applyProtection="0">
      <alignment horizontal="left" vertical="center"/>
    </xf>
    <xf numFmtId="0" fontId="92" fillId="0" borderId="28">
      <alignment horizontal="left" vertical="center"/>
    </xf>
    <xf numFmtId="0" fontId="120" fillId="0" borderId="0" applyNumberFormat="0" applyFill="0" applyBorder="0" applyAlignment="0" applyProtection="0"/>
    <xf numFmtId="0" fontId="92" fillId="0" borderId="0" applyNumberFormat="0" applyFill="0" applyBorder="0" applyAlignment="0" applyProtection="0"/>
    <xf numFmtId="0" fontId="121" fillId="0" borderId="29" applyNumberFormat="0" applyFill="0" applyAlignment="0" applyProtection="0"/>
    <xf numFmtId="0" fontId="121" fillId="0" borderId="0" applyNumberFormat="0" applyFill="0" applyBorder="0" applyAlignment="0" applyProtection="0"/>
    <xf numFmtId="0" fontId="122" fillId="0" borderId="0"/>
    <xf numFmtId="0" fontId="123" fillId="0" borderId="0"/>
    <xf numFmtId="0" fontId="119" fillId="0" borderId="0"/>
    <xf numFmtId="0" fontId="236" fillId="0" borderId="0" applyNumberFormat="0" applyFill="0" applyBorder="0" applyAlignment="0" applyProtection="0"/>
    <xf numFmtId="0" fontId="237" fillId="0" borderId="25">
      <alignment horizontal="left"/>
    </xf>
    <xf numFmtId="0" fontId="237" fillId="0" borderId="30">
      <alignment horizontal="right" vertical="center"/>
    </xf>
    <xf numFmtId="0" fontId="238" fillId="0" borderId="25">
      <alignment horizontal="left" vertical="center"/>
    </xf>
    <xf numFmtId="0" fontId="59" fillId="0" borderId="25">
      <alignment horizontal="left" vertical="center"/>
    </xf>
    <xf numFmtId="0" fontId="91" fillId="0" borderId="25">
      <alignment horizontal="left"/>
    </xf>
    <xf numFmtId="0" fontId="91" fillId="60" borderId="0">
      <alignment horizontal="centerContinuous" wrapText="1"/>
    </xf>
    <xf numFmtId="49" fontId="91" fillId="60" borderId="31">
      <alignment horizontal="left" vertical="center"/>
    </xf>
    <xf numFmtId="0" fontId="91" fillId="60" borderId="0">
      <alignment horizontal="centerContinuous" vertical="center" wrapText="1"/>
    </xf>
    <xf numFmtId="0" fontId="124"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7" fillId="0" borderId="0" applyBorder="0"/>
    <xf numFmtId="0" fontId="128" fillId="0" borderId="0">
      <alignment horizontal="left" vertical="top" wrapText="1"/>
    </xf>
    <xf numFmtId="0" fontId="129" fillId="41" borderId="21" applyNumberFormat="0" applyAlignment="0" applyProtection="0"/>
    <xf numFmtId="177" fontId="130" fillId="0" borderId="17" applyFill="0" applyBorder="0" applyAlignment="0">
      <alignment horizontal="center"/>
      <protection locked="0"/>
    </xf>
    <xf numFmtId="10" fontId="118" fillId="61" borderId="1" applyNumberFormat="0" applyBorder="0" applyAlignment="0" applyProtection="0"/>
    <xf numFmtId="204" fontId="130" fillId="0" borderId="0" applyFill="0" applyBorder="0" applyAlignment="0">
      <protection locked="0"/>
    </xf>
    <xf numFmtId="211" fontId="12" fillId="0" borderId="0" applyFill="0" applyBorder="0" applyAlignment="0" applyProtection="0">
      <protection locked="0"/>
    </xf>
    <xf numFmtId="224" fontId="240" fillId="0" borderId="0"/>
    <xf numFmtId="37" fontId="130" fillId="0" borderId="0" applyFill="0" applyBorder="0" applyAlignment="0">
      <protection locked="0"/>
    </xf>
    <xf numFmtId="0" fontId="62" fillId="0" borderId="0" applyNumberFormat="0" applyFill="0" applyBorder="0" applyProtection="0">
      <alignment horizontal="left"/>
    </xf>
    <xf numFmtId="0" fontId="127" fillId="0" borderId="0"/>
    <xf numFmtId="0" fontId="131" fillId="0" borderId="0">
      <alignment horizontal="left" vertical="top"/>
      <protection hidden="1"/>
    </xf>
    <xf numFmtId="1" fontId="127" fillId="0" borderId="0" applyProtection="0">
      <protection locked="0"/>
    </xf>
    <xf numFmtId="224" fontId="240" fillId="0" borderId="0"/>
    <xf numFmtId="224" fontId="240" fillId="0" borderId="32" applyBorder="0"/>
    <xf numFmtId="224" fontId="240" fillId="0" borderId="0"/>
    <xf numFmtId="224" fontId="240" fillId="59" borderId="0" applyBorder="0">
      <protection locked="0"/>
    </xf>
    <xf numFmtId="224" fontId="240" fillId="0" borderId="0"/>
    <xf numFmtId="0" fontId="1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32" fillId="0" borderId="33" applyNumberFormat="0" applyFill="0" applyAlignment="0" applyProtection="0"/>
    <xf numFmtId="182" fontId="54" fillId="0" borderId="0">
      <alignment horizontal="justify"/>
    </xf>
    <xf numFmtId="0" fontId="63" fillId="0" borderId="0" applyFont="0" applyFill="0" applyBorder="0" applyAlignment="0" applyProtection="0"/>
    <xf numFmtId="38" fontId="18" fillId="0" borderId="0" applyFont="0" applyFill="0" applyBorder="0" applyAlignment="0" applyProtection="0"/>
    <xf numFmtId="38" fontId="133" fillId="0" borderId="0" applyFont="0" applyFill="0" applyBorder="0" applyAlignment="0" applyProtection="0"/>
    <xf numFmtId="188" fontId="12" fillId="0" borderId="0" applyFont="0" applyFill="0" applyBorder="0" applyAlignment="0" applyProtection="0"/>
    <xf numFmtId="219" fontId="12" fillId="0" borderId="0" applyFont="0" applyFill="0" applyBorder="0" applyAlignment="0" applyProtection="0"/>
    <xf numFmtId="186" fontId="12" fillId="0" borderId="0" applyFont="0" applyFill="0" applyBorder="0" applyAlignment="0" applyProtection="0"/>
    <xf numFmtId="0" fontId="134" fillId="0" borderId="34"/>
    <xf numFmtId="189" fontId="12" fillId="0" borderId="0" applyFont="0" applyFill="0" applyBorder="0" applyAlignment="0" applyProtection="0"/>
    <xf numFmtId="204" fontId="12" fillId="0" borderId="0" applyFont="0" applyFill="0" applyBorder="0" applyAlignment="0" applyProtection="0"/>
    <xf numFmtId="181" fontId="12" fillId="0" borderId="0" applyFont="0" applyFill="0" applyBorder="0" applyAlignment="0" applyProtection="0"/>
    <xf numFmtId="182" fontId="12" fillId="0" borderId="0" applyFont="0" applyFill="0" applyBorder="0" applyAlignment="0" applyProtection="0"/>
    <xf numFmtId="198" fontId="12" fillId="0" borderId="0" applyFont="0" applyFill="0" applyBorder="0" applyAlignment="0" applyProtection="0"/>
    <xf numFmtId="200" fontId="12" fillId="0" borderId="0" applyFont="0" applyFill="0" applyBorder="0" applyAlignment="0" applyProtection="0"/>
    <xf numFmtId="213" fontId="12" fillId="0" borderId="0" applyFont="0" applyFill="0" applyBorder="0" applyAlignment="0" applyProtection="0"/>
    <xf numFmtId="212" fontId="12" fillId="0" borderId="0" applyFont="0" applyFill="0" applyBorder="0" applyAlignment="0" applyProtection="0"/>
    <xf numFmtId="220" fontId="12" fillId="0" borderId="0" applyFont="0" applyFill="0" applyBorder="0" applyAlignment="0" applyProtection="0"/>
    <xf numFmtId="198" fontId="12" fillId="0" borderId="0" applyFont="0" applyFill="0" applyBorder="0" applyAlignment="0" applyProtection="0"/>
    <xf numFmtId="185" fontId="12" fillId="0" borderId="0" applyFont="0" applyFill="0" applyBorder="0" applyAlignment="0" applyProtection="0"/>
    <xf numFmtId="200" fontId="12" fillId="0" borderId="0" applyFont="0" applyFill="0" applyBorder="0" applyAlignment="0" applyProtection="0"/>
    <xf numFmtId="207" fontId="12" fillId="0" borderId="0" applyFont="0" applyFill="0" applyBorder="0" applyAlignment="0" applyProtection="0"/>
    <xf numFmtId="181" fontId="12" fillId="0" borderId="0" applyFont="0" applyFill="0" applyBorder="0" applyAlignment="0" applyProtection="0"/>
    <xf numFmtId="182" fontId="12" fillId="0" borderId="0" applyFont="0" applyFill="0" applyBorder="0" applyAlignment="0" applyProtection="0"/>
    <xf numFmtId="49" fontId="17" fillId="0" borderId="0" applyNumberFormat="0" applyFill="0" applyBorder="0" applyAlignment="0">
      <alignment horizontal="centerContinuous"/>
    </xf>
    <xf numFmtId="0" fontId="127" fillId="0" borderId="0"/>
    <xf numFmtId="0" fontId="135" fillId="0" borderId="0">
      <alignment horizontal="centerContinuous"/>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62" borderId="0" applyNumberFormat="0" applyBorder="0" applyAlignment="0" applyProtection="0"/>
    <xf numFmtId="0" fontId="110" fillId="0" borderId="0"/>
    <xf numFmtId="0" fontId="12" fillId="0" borderId="35" applyBorder="0"/>
    <xf numFmtId="189" fontId="139" fillId="0" borderId="0"/>
    <xf numFmtId="0" fontId="101"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205" fontId="12" fillId="0" borderId="0" applyFill="0" applyBorder="0" applyAlignment="0"/>
    <xf numFmtId="0" fontId="12" fillId="0" borderId="0"/>
    <xf numFmtId="0" fontId="10" fillId="0" borderId="0"/>
    <xf numFmtId="0" fontId="10" fillId="0" borderId="0"/>
    <xf numFmtId="0" fontId="12" fillId="0" borderId="0"/>
    <xf numFmtId="0" fontId="233" fillId="0" borderId="0">
      <alignment vertical="center"/>
    </xf>
    <xf numFmtId="0" fontId="140" fillId="0" borderId="35" applyBorder="0"/>
    <xf numFmtId="0" fontId="140" fillId="0" borderId="35" applyBorder="0"/>
    <xf numFmtId="0" fontId="118" fillId="0" borderId="35" applyBorder="0"/>
    <xf numFmtId="0" fontId="118" fillId="0" borderId="35" applyBorder="0"/>
    <xf numFmtId="0" fontId="12" fillId="0" borderId="0" applyBorder="0">
      <alignment horizontal="right"/>
    </xf>
    <xf numFmtId="4" fontId="108" fillId="0" borderId="1" applyFill="0" applyBorder="0" applyProtection="0">
      <alignment horizontal="right" vertical="center"/>
    </xf>
    <xf numFmtId="49" fontId="175" fillId="0" borderId="1" applyNumberFormat="0" applyFill="0" applyBorder="0" applyProtection="0">
      <alignment horizontal="left" vertical="center"/>
    </xf>
    <xf numFmtId="0" fontId="108" fillId="0" borderId="1" applyNumberFormat="0" applyFill="0" applyAlignment="0" applyProtection="0"/>
    <xf numFmtId="0" fontId="169" fillId="34" borderId="0" applyNumberFormat="0" applyFont="0" applyBorder="0" applyAlignment="0" applyProtection="0"/>
    <xf numFmtId="0" fontId="59" fillId="0" borderId="0"/>
    <xf numFmtId="0" fontId="65" fillId="0" borderId="35" applyBorder="0"/>
    <xf numFmtId="0" fontId="65" fillId="0" borderId="35" applyBorder="0"/>
    <xf numFmtId="0" fontId="141" fillId="0" borderId="35" applyBorder="0"/>
    <xf numFmtId="0" fontId="142" fillId="0" borderId="35" applyBorder="0"/>
    <xf numFmtId="0" fontId="12" fillId="0" borderId="0"/>
    <xf numFmtId="0" fontId="59" fillId="0" borderId="0"/>
    <xf numFmtId="0" fontId="10" fillId="63" borderId="36" applyNumberFormat="0" applyFont="0" applyAlignment="0" applyProtection="0"/>
    <xf numFmtId="0" fontId="87" fillId="0" borderId="0">
      <alignment horizontal="left"/>
    </xf>
    <xf numFmtId="40" fontId="12" fillId="0" borderId="0" applyFont="0" applyFill="0" applyBorder="0" applyAlignment="0" applyProtection="0"/>
    <xf numFmtId="38" fontId="12" fillId="0" borderId="0" applyFont="0" applyFill="0" applyBorder="0" applyAlignment="0" applyProtection="0"/>
    <xf numFmtId="0" fontId="77" fillId="0" borderId="0"/>
    <xf numFmtId="0" fontId="143" fillId="34" borderId="0">
      <alignment horizontal="left" vertical="center"/>
    </xf>
    <xf numFmtId="0" fontId="105" fillId="0" borderId="0" applyNumberFormat="0" applyFill="0" applyBorder="0" applyProtection="0">
      <alignment horizontal="left"/>
    </xf>
    <xf numFmtId="0" fontId="144" fillId="56" borderId="37" applyNumberFormat="0" applyAlignment="0" applyProtection="0"/>
    <xf numFmtId="228" fontId="108" fillId="64" borderId="1" applyNumberFormat="0" applyFont="0" applyBorder="0" applyAlignment="0" applyProtection="0">
      <alignment horizontal="right" vertical="center"/>
    </xf>
    <xf numFmtId="14" fontId="86" fillId="0" borderId="0">
      <alignment horizontal="center" wrapText="1"/>
      <protection locked="0"/>
    </xf>
    <xf numFmtId="0" fontId="59" fillId="0" borderId="0"/>
    <xf numFmtId="0" fontId="59" fillId="0" borderId="0"/>
    <xf numFmtId="209" fontId="12" fillId="0" borderId="38" applyFont="0" applyFill="0" applyBorder="0" applyAlignment="0" applyProtection="0">
      <alignment horizontal="right"/>
    </xf>
    <xf numFmtId="10" fontId="12" fillId="0" borderId="0" applyFont="0" applyFill="0" applyBorder="0" applyAlignment="0" applyProtection="0"/>
    <xf numFmtId="208" fontId="12" fillId="0" borderId="0" applyFont="0" applyFill="0" applyBorder="0" applyAlignment="0" applyProtection="0"/>
    <xf numFmtId="206" fontId="12" fillId="0" borderId="0" applyFont="0" applyFill="0" applyBorder="0" applyAlignment="0" applyProtection="0"/>
    <xf numFmtId="10" fontId="78" fillId="0" borderId="0" applyFont="0" applyFill="0" applyBorder="0" applyAlignment="0" applyProtection="0"/>
    <xf numFmtId="9" fontId="78" fillId="0" borderId="39" applyNumberFormat="0" applyBorder="0"/>
    <xf numFmtId="0" fontId="131" fillId="0" borderId="0">
      <alignment horizontal="right"/>
    </xf>
    <xf numFmtId="0" fontId="145" fillId="65" borderId="30">
      <alignment horizontal="left" vertical="center"/>
    </xf>
    <xf numFmtId="0" fontId="88" fillId="0" borderId="0">
      <alignment vertical="top" wrapText="1"/>
    </xf>
    <xf numFmtId="0" fontId="88" fillId="0" borderId="0">
      <alignment horizontal="left" vertical="top"/>
    </xf>
    <xf numFmtId="0" fontId="88" fillId="0" borderId="0">
      <alignment vertical="top" wrapText="1"/>
    </xf>
    <xf numFmtId="0" fontId="146" fillId="0" borderId="0" applyNumberFormat="0" applyFill="0">
      <alignment horizontal="left" wrapText="1"/>
    </xf>
    <xf numFmtId="0" fontId="147" fillId="0" borderId="0" applyNumberFormat="0" applyFill="0" applyBorder="0" applyProtection="0">
      <alignment horizontal="right"/>
    </xf>
    <xf numFmtId="4" fontId="108" fillId="0" borderId="0">
      <alignment horizontal="right"/>
    </xf>
    <xf numFmtId="4" fontId="10" fillId="0" borderId="0" applyFont="0" applyFill="0" applyBorder="0" applyProtection="0">
      <alignment horizontal="right"/>
    </xf>
    <xf numFmtId="0" fontId="96" fillId="0" borderId="40"/>
    <xf numFmtId="0" fontId="78" fillId="0" borderId="0" applyNumberFormat="0" applyFont="0" applyFill="0" applyBorder="0" applyAlignment="0" applyProtection="0">
      <alignment horizontal="left"/>
    </xf>
    <xf numFmtId="0" fontId="116" fillId="0" borderId="34">
      <alignment horizontal="center"/>
    </xf>
    <xf numFmtId="190" fontId="86" fillId="0" borderId="0" applyFill="0" applyAlignment="0"/>
    <xf numFmtId="3" fontId="234" fillId="0" borderId="0">
      <alignment horizontal="left" vertical="center"/>
    </xf>
    <xf numFmtId="4" fontId="148" fillId="0" borderId="0">
      <alignment horizontal="right"/>
    </xf>
    <xf numFmtId="0" fontId="55" fillId="0" borderId="35" applyBorder="0"/>
    <xf numFmtId="0" fontId="54" fillId="0" borderId="35" applyBorder="0"/>
    <xf numFmtId="0" fontId="149" fillId="0" borderId="35" applyBorder="0"/>
    <xf numFmtId="0" fontId="232" fillId="0" borderId="0">
      <alignment horizontal="left" vertical="center"/>
    </xf>
    <xf numFmtId="4" fontId="150" fillId="59" borderId="41" applyNumberFormat="0" applyProtection="0">
      <alignment vertical="center"/>
    </xf>
    <xf numFmtId="4" fontId="151" fillId="59" borderId="41" applyNumberFormat="0" applyProtection="0">
      <alignment vertical="center"/>
    </xf>
    <xf numFmtId="4" fontId="152" fillId="59" borderId="41" applyNumberFormat="0" applyProtection="0">
      <alignment horizontal="left" vertical="center" indent="1"/>
    </xf>
    <xf numFmtId="0" fontId="241" fillId="59" borderId="42" applyNumberFormat="0" applyProtection="0">
      <alignment horizontal="left" vertical="top" indent="1"/>
    </xf>
    <xf numFmtId="0" fontId="12" fillId="66" borderId="37" applyNumberFormat="0" applyProtection="0">
      <alignment horizontal="left" vertical="center" indent="1"/>
    </xf>
    <xf numFmtId="4" fontId="153" fillId="67" borderId="41" applyNumberFormat="0" applyProtection="0">
      <alignment vertical="center"/>
    </xf>
    <xf numFmtId="4" fontId="62" fillId="37" borderId="42" applyNumberFormat="0" applyProtection="0">
      <alignment horizontal="right" vertical="center"/>
    </xf>
    <xf numFmtId="4" fontId="62" fillId="43" borderId="42" applyNumberFormat="0" applyProtection="0">
      <alignment horizontal="right" vertical="center"/>
    </xf>
    <xf numFmtId="4" fontId="62" fillId="51" borderId="42" applyNumberFormat="0" applyProtection="0">
      <alignment horizontal="right" vertical="center"/>
    </xf>
    <xf numFmtId="4" fontId="75" fillId="68" borderId="41" applyNumberFormat="0" applyProtection="0">
      <alignment vertical="center"/>
    </xf>
    <xf numFmtId="4" fontId="62" fillId="45" borderId="42" applyNumberFormat="0" applyProtection="0">
      <alignment horizontal="right" vertical="center"/>
    </xf>
    <xf numFmtId="4" fontId="62" fillId="49" borderId="42" applyNumberFormat="0" applyProtection="0">
      <alignment horizontal="right" vertical="center"/>
    </xf>
    <xf numFmtId="4" fontId="62" fillId="53" borderId="42" applyNumberFormat="0" applyProtection="0">
      <alignment horizontal="right" vertical="center"/>
    </xf>
    <xf numFmtId="4" fontId="153" fillId="69" borderId="41" applyNumberFormat="0" applyProtection="0">
      <alignment vertical="center"/>
    </xf>
    <xf numFmtId="4" fontId="62" fillId="52" borderId="42" applyNumberFormat="0" applyProtection="0">
      <alignment horizontal="right" vertical="center"/>
    </xf>
    <xf numFmtId="4" fontId="62" fillId="70" borderId="42" applyNumberFormat="0" applyProtection="0">
      <alignment horizontal="right" vertical="center"/>
    </xf>
    <xf numFmtId="4" fontId="62" fillId="44" borderId="42" applyNumberFormat="0" applyProtection="0">
      <alignment horizontal="right" vertical="center"/>
    </xf>
    <xf numFmtId="4" fontId="154" fillId="67" borderId="41" applyNumberFormat="0" applyProtection="0">
      <alignment vertical="center"/>
    </xf>
    <xf numFmtId="4" fontId="155" fillId="71" borderId="41" applyNumberFormat="0" applyProtection="0">
      <alignment horizontal="left" vertical="center" indent="1"/>
    </xf>
    <xf numFmtId="4" fontId="155" fillId="72" borderId="41" applyNumberFormat="0" applyProtection="0">
      <alignment horizontal="left" vertical="center" indent="1"/>
    </xf>
    <xf numFmtId="4" fontId="156" fillId="73" borderId="41" applyNumberFormat="0" applyProtection="0">
      <alignment horizontal="left" vertical="center" indent="1"/>
    </xf>
    <xf numFmtId="4" fontId="157" fillId="74" borderId="41" applyNumberFormat="0" applyProtection="0">
      <alignment vertical="center"/>
    </xf>
    <xf numFmtId="4" fontId="158" fillId="65" borderId="41" applyNumberFormat="0" applyProtection="0">
      <alignment horizontal="left" vertical="center" indent="1"/>
    </xf>
    <xf numFmtId="4" fontId="159" fillId="72" borderId="41" applyNumberFormat="0" applyProtection="0">
      <alignment horizontal="left" vertical="center" indent="1"/>
    </xf>
    <xf numFmtId="4" fontId="160" fillId="73" borderId="41" applyNumberFormat="0" applyProtection="0">
      <alignment horizontal="left" vertical="center" indent="1"/>
    </xf>
    <xf numFmtId="0" fontId="12" fillId="73" borderId="42" applyNumberFormat="0" applyProtection="0">
      <alignment horizontal="left" vertical="center" indent="1"/>
    </xf>
    <xf numFmtId="0" fontId="12" fillId="75" borderId="37" applyNumberFormat="0" applyProtection="0">
      <alignment horizontal="left" vertical="center" indent="1"/>
    </xf>
    <xf numFmtId="0" fontId="12" fillId="76" borderId="42" applyNumberFormat="0" applyProtection="0">
      <alignment horizontal="left" vertical="center" indent="1"/>
    </xf>
    <xf numFmtId="0" fontId="12" fillId="76" borderId="42" applyNumberFormat="0" applyProtection="0">
      <alignment horizontal="left" vertical="top" indent="1"/>
    </xf>
    <xf numFmtId="0" fontId="12" fillId="74" borderId="42" applyNumberFormat="0" applyProtection="0">
      <alignment horizontal="left" vertical="center" indent="1"/>
    </xf>
    <xf numFmtId="0" fontId="12" fillId="74" borderId="42" applyNumberFormat="0" applyProtection="0">
      <alignment horizontal="left" vertical="top" indent="1"/>
    </xf>
    <xf numFmtId="0" fontId="12" fillId="72" borderId="42" applyNumberFormat="0" applyProtection="0">
      <alignment horizontal="left" vertical="center" indent="1"/>
    </xf>
    <xf numFmtId="0" fontId="12" fillId="72" borderId="42" applyNumberFormat="0" applyProtection="0">
      <alignment horizontal="left" vertical="top" indent="1"/>
    </xf>
    <xf numFmtId="4" fontId="161" fillId="65" borderId="41" applyNumberFormat="0" applyProtection="0">
      <alignment vertical="center"/>
    </xf>
    <xf numFmtId="4" fontId="162" fillId="65" borderId="41" applyNumberFormat="0" applyProtection="0">
      <alignment vertical="center"/>
    </xf>
    <xf numFmtId="4" fontId="155" fillId="72" borderId="41" applyNumberFormat="0" applyProtection="0">
      <alignment horizontal="left" vertical="center" indent="1"/>
    </xf>
    <xf numFmtId="0" fontId="62" fillId="61" borderId="42" applyNumberFormat="0" applyProtection="0">
      <alignment horizontal="left" vertical="top" indent="1"/>
    </xf>
    <xf numFmtId="4" fontId="62" fillId="77" borderId="37" applyNumberFormat="0" applyProtection="0">
      <alignment horizontal="right" vertical="center"/>
    </xf>
    <xf numFmtId="4" fontId="163" fillId="65" borderId="41" applyNumberFormat="0" applyProtection="0">
      <alignment vertical="center"/>
    </xf>
    <xf numFmtId="0" fontId="12" fillId="66" borderId="37" applyNumberFormat="0" applyProtection="0">
      <alignment horizontal="left" vertical="center" indent="1"/>
    </xf>
    <xf numFmtId="0" fontId="62" fillId="76" borderId="42" applyNumberFormat="0" applyProtection="0">
      <alignment horizontal="left" vertical="top" indent="1"/>
    </xf>
    <xf numFmtId="4" fontId="164" fillId="65" borderId="41" applyNumberFormat="0" applyProtection="0">
      <alignment vertical="center"/>
    </xf>
    <xf numFmtId="4" fontId="165" fillId="65" borderId="41" applyNumberFormat="0" applyProtection="0">
      <alignment vertical="center"/>
    </xf>
    <xf numFmtId="4" fontId="155" fillId="61" borderId="41" applyNumberFormat="0" applyProtection="0">
      <alignment horizontal="left" vertical="center" indent="1"/>
    </xf>
    <xf numFmtId="4" fontId="166" fillId="74" borderId="41" applyNumberFormat="0" applyProtection="0">
      <alignment horizontal="left" indent="1"/>
    </xf>
    <xf numFmtId="4" fontId="167" fillId="65" borderId="41" applyNumberFormat="0" applyProtection="0">
      <alignment vertical="center"/>
    </xf>
    <xf numFmtId="0" fontId="168" fillId="0" borderId="0">
      <alignment horizontal="left"/>
    </xf>
    <xf numFmtId="221" fontId="10" fillId="0" borderId="0" applyFont="0" applyFill="0" applyBorder="0" applyAlignment="0" applyProtection="0"/>
    <xf numFmtId="222" fontId="10" fillId="0" borderId="0" applyFont="0" applyFill="0" applyBorder="0" applyAlignment="0" applyProtection="0"/>
    <xf numFmtId="0" fontId="169" fillId="78" borderId="1">
      <alignment horizontal="right"/>
    </xf>
    <xf numFmtId="0" fontId="170" fillId="0" borderId="0">
      <alignment horizontal="left"/>
    </xf>
    <xf numFmtId="49" fontId="171" fillId="0" borderId="0">
      <alignment horizontal="left" vertical="center"/>
    </xf>
    <xf numFmtId="1" fontId="172" fillId="0" borderId="43">
      <alignment horizontal="centerContinuous" vertical="center"/>
      <protection locked="0"/>
    </xf>
    <xf numFmtId="0" fontId="169" fillId="0" borderId="0">
      <alignment horizontal="right"/>
    </xf>
    <xf numFmtId="49" fontId="169" fillId="0" borderId="0">
      <alignment horizontal="center"/>
    </xf>
    <xf numFmtId="0" fontId="235" fillId="0" borderId="0">
      <alignment horizontal="right"/>
    </xf>
    <xf numFmtId="0" fontId="169" fillId="0" borderId="0">
      <alignment horizontal="left"/>
    </xf>
    <xf numFmtId="0" fontId="55" fillId="0" borderId="0">
      <alignment vertical="center"/>
    </xf>
    <xf numFmtId="49" fontId="234" fillId="0" borderId="0">
      <alignment horizontal="left" vertical="center"/>
    </xf>
    <xf numFmtId="0" fontId="59" fillId="0" borderId="0"/>
    <xf numFmtId="0" fontId="12" fillId="0" borderId="0"/>
    <xf numFmtId="0" fontId="61" fillId="0" borderId="0"/>
    <xf numFmtId="223" fontId="86" fillId="1" borderId="35" applyBorder="0" applyProtection="0">
      <alignment vertical="center"/>
    </xf>
    <xf numFmtId="0" fontId="134" fillId="0" borderId="0"/>
    <xf numFmtId="38" fontId="173" fillId="0" borderId="0" applyFill="0" applyBorder="0" applyAlignment="0" applyProtection="0"/>
    <xf numFmtId="208" fontId="12" fillId="0" borderId="0" applyFill="0" applyBorder="0" applyAlignment="0" applyProtection="0"/>
    <xf numFmtId="38" fontId="173" fillId="0" borderId="0" applyFill="0" applyBorder="0" applyAlignment="0" applyProtection="0"/>
    <xf numFmtId="49" fontId="235" fillId="0" borderId="25">
      <alignment horizontal="left" vertical="center"/>
    </xf>
    <xf numFmtId="49" fontId="232" fillId="0" borderId="25" applyFill="0">
      <alignment horizontal="left" vertical="center"/>
    </xf>
    <xf numFmtId="49" fontId="235" fillId="0" borderId="25">
      <alignment horizontal="left"/>
    </xf>
    <xf numFmtId="0" fontId="12" fillId="0" borderId="0"/>
    <xf numFmtId="0" fontId="12" fillId="0" borderId="0"/>
    <xf numFmtId="0" fontId="12" fillId="0" borderId="0"/>
    <xf numFmtId="0" fontId="12" fillId="0" borderId="0"/>
    <xf numFmtId="226" fontId="234" fillId="0" borderId="0" applyNumberFormat="0">
      <alignment horizontal="right"/>
    </xf>
    <xf numFmtId="0" fontId="237" fillId="79" borderId="0">
      <alignment horizontal="centerContinuous" vertical="center" wrapText="1"/>
    </xf>
    <xf numFmtId="0" fontId="237" fillId="0" borderId="44">
      <alignment horizontal="left" vertical="center"/>
    </xf>
    <xf numFmtId="0" fontId="123" fillId="0" borderId="0">
      <alignment horizontal="left" vertical="top"/>
    </xf>
    <xf numFmtId="49" fontId="12" fillId="0" borderId="0"/>
    <xf numFmtId="0" fontId="78" fillId="0" borderId="0" applyNumberFormat="0" applyFont="0" applyProtection="0"/>
    <xf numFmtId="18" fontId="104" fillId="0" borderId="0" applyFont="0" applyFill="0" applyBorder="0" applyAlignment="0" applyProtection="0">
      <alignment horizontal="left"/>
    </xf>
    <xf numFmtId="40" fontId="174" fillId="0" borderId="0"/>
    <xf numFmtId="0" fontId="175" fillId="0" borderId="0">
      <alignment horizontal="center"/>
    </xf>
    <xf numFmtId="0" fontId="91" fillId="0" borderId="0">
      <alignment horizontal="left"/>
    </xf>
    <xf numFmtId="0" fontId="119" fillId="0" borderId="0">
      <alignment horizontal="left"/>
    </xf>
    <xf numFmtId="0" fontId="59" fillId="0" borderId="0">
      <alignment horizontal="left"/>
    </xf>
    <xf numFmtId="0" fontId="123" fillId="0" borderId="0">
      <alignment horizontal="left" vertical="top"/>
    </xf>
    <xf numFmtId="0" fontId="119" fillId="0" borderId="0">
      <alignment horizontal="left"/>
    </xf>
    <xf numFmtId="0" fontId="59" fillId="0" borderId="0">
      <alignment horizontal="left"/>
    </xf>
    <xf numFmtId="0" fontId="63" fillId="0" borderId="45">
      <alignment vertical="top" wrapText="1"/>
    </xf>
    <xf numFmtId="0" fontId="12" fillId="0" borderId="46" applyNumberFormat="0" applyFont="0" applyFill="0" applyAlignment="0" applyProtection="0"/>
    <xf numFmtId="191" fontId="12" fillId="0" borderId="0" applyFont="0" applyFill="0" applyBorder="0" applyAlignment="0" applyProtection="0"/>
    <xf numFmtId="188" fontId="12" fillId="0" borderId="0" applyFont="0" applyFill="0" applyBorder="0" applyAlignment="0" applyProtection="0"/>
    <xf numFmtId="0" fontId="176" fillId="0" borderId="0" applyNumberFormat="0" applyFill="0" applyBorder="0" applyAlignment="0" applyProtection="0">
      <alignment vertical="top"/>
      <protection locked="0"/>
    </xf>
    <xf numFmtId="41" fontId="49" fillId="0" borderId="0" applyFont="0" applyFill="0" applyBorder="0" applyAlignment="0" applyProtection="0"/>
    <xf numFmtId="43" fontId="49" fillId="0" borderId="0" applyFont="0" applyFill="0" applyBorder="0" applyAlignment="0" applyProtection="0"/>
    <xf numFmtId="10" fontId="177" fillId="0" borderId="18" applyNumberFormat="0" applyFont="0" applyFill="0" applyAlignment="0" applyProtection="0"/>
    <xf numFmtId="0" fontId="110" fillId="0" borderId="47"/>
    <xf numFmtId="181" fontId="12" fillId="0" borderId="0" applyFont="0" applyFill="0" applyBorder="0" applyAlignment="0" applyProtection="0"/>
    <xf numFmtId="182" fontId="12" fillId="0" borderId="0" applyFont="0" applyFill="0" applyBorder="0" applyAlignment="0" applyProtection="0"/>
    <xf numFmtId="0" fontId="178" fillId="0" borderId="0" applyNumberFormat="0" applyFill="0" applyBorder="0" applyAlignment="0" applyProtection="0"/>
    <xf numFmtId="0" fontId="179" fillId="80" borderId="48" applyNumberFormat="0" applyAlignment="0" applyProtection="0"/>
    <xf numFmtId="0" fontId="12" fillId="0" borderId="0" applyNumberFormat="0" applyFont="0" applyBorder="0" applyAlignment="0" applyProtection="0"/>
    <xf numFmtId="0" fontId="180" fillId="0" borderId="0" applyNumberFormat="0" applyFill="0" applyBorder="0" applyProtection="0">
      <alignment horizontal="right"/>
    </xf>
    <xf numFmtId="0" fontId="12" fillId="0" borderId="0" applyFont="0" applyFill="0" applyBorder="0" applyAlignment="0" applyProtection="0"/>
    <xf numFmtId="0" fontId="12" fillId="0" borderId="0" applyFont="0" applyFill="0" applyBorder="0" applyAlignment="0" applyProtection="0"/>
    <xf numFmtId="0" fontId="107" fillId="0" borderId="0"/>
    <xf numFmtId="0" fontId="59" fillId="0" borderId="0" applyFont="0" applyFill="0" applyBorder="0" applyAlignment="0" applyProtection="0"/>
    <xf numFmtId="0" fontId="59" fillId="0" borderId="0" applyFont="0" applyFill="0" applyBorder="0" applyAlignment="0" applyProtection="0"/>
    <xf numFmtId="0" fontId="181" fillId="0" borderId="0" applyNumberFormat="0" applyFill="0" applyBorder="0" applyAlignment="0" applyProtection="0"/>
    <xf numFmtId="49" fontId="234" fillId="0" borderId="25">
      <alignment horizontal="left"/>
    </xf>
    <xf numFmtId="0" fontId="237" fillId="0" borderId="30">
      <alignment horizontal="left"/>
    </xf>
    <xf numFmtId="0" fontId="91" fillId="0" borderId="0">
      <alignment horizontal="left" vertical="center"/>
    </xf>
    <xf numFmtId="49" fontId="169" fillId="0" borderId="25">
      <alignment horizontal="left"/>
    </xf>
    <xf numFmtId="0" fontId="182" fillId="0" borderId="0"/>
    <xf numFmtId="181" fontId="54" fillId="0" borderId="0" applyFont="0" applyFill="0" applyBorder="0" applyAlignment="0" applyProtection="0"/>
    <xf numFmtId="210" fontId="12" fillId="0" borderId="28" applyFont="0" applyFill="0" applyBorder="0" applyAlignment="0" applyProtection="0"/>
    <xf numFmtId="0" fontId="183" fillId="0" borderId="0" applyFont="0" applyFill="0" applyBorder="0" applyAlignment="0" applyProtection="0"/>
    <xf numFmtId="0" fontId="184" fillId="0" borderId="45"/>
    <xf numFmtId="38" fontId="10" fillId="0" borderId="0" applyFont="0" applyFill="0" applyBorder="0" applyAlignment="0" applyProtection="0"/>
    <xf numFmtId="188" fontId="12" fillId="0" borderId="0" applyFont="0" applyFill="0" applyBorder="0" applyAlignment="0" applyProtection="0"/>
    <xf numFmtId="0" fontId="12" fillId="0" borderId="0"/>
    <xf numFmtId="0" fontId="219" fillId="50" borderId="0" applyNumberFormat="0" applyBorder="0" applyAlignment="0" applyProtection="0">
      <alignment vertical="center"/>
    </xf>
    <xf numFmtId="0" fontId="219" fillId="50" borderId="0" applyNumberFormat="0" applyBorder="0" applyAlignment="0" applyProtection="0">
      <alignment vertical="center"/>
    </xf>
    <xf numFmtId="0" fontId="219" fillId="51" borderId="0" applyNumberFormat="0" applyBorder="0" applyAlignment="0" applyProtection="0">
      <alignment vertical="center"/>
    </xf>
    <xf numFmtId="0" fontId="219" fillId="51" borderId="0" applyNumberFormat="0" applyBorder="0" applyAlignment="0" applyProtection="0">
      <alignment vertical="center"/>
    </xf>
    <xf numFmtId="0" fontId="219" fillId="52" borderId="0" applyNumberFormat="0" applyBorder="0" applyAlignment="0" applyProtection="0">
      <alignment vertical="center"/>
    </xf>
    <xf numFmtId="0" fontId="219" fillId="52" borderId="0" applyNumberFormat="0" applyBorder="0" applyAlignment="0" applyProtection="0">
      <alignment vertical="center"/>
    </xf>
    <xf numFmtId="0" fontId="219" fillId="47" borderId="0" applyNumberFormat="0" applyBorder="0" applyAlignment="0" applyProtection="0">
      <alignment vertical="center"/>
    </xf>
    <xf numFmtId="0" fontId="219" fillId="47" borderId="0" applyNumberFormat="0" applyBorder="0" applyAlignment="0" applyProtection="0">
      <alignment vertical="center"/>
    </xf>
    <xf numFmtId="0" fontId="219" fillId="48" borderId="0" applyNumberFormat="0" applyBorder="0" applyAlignment="0" applyProtection="0">
      <alignment vertical="center"/>
    </xf>
    <xf numFmtId="0" fontId="219" fillId="48" borderId="0" applyNumberFormat="0" applyBorder="0" applyAlignment="0" applyProtection="0">
      <alignment vertical="center"/>
    </xf>
    <xf numFmtId="0" fontId="219" fillId="53" borderId="0" applyNumberFormat="0" applyBorder="0" applyAlignment="0" applyProtection="0">
      <alignment vertical="center"/>
    </xf>
    <xf numFmtId="0" fontId="219" fillId="53" borderId="0" applyNumberFormat="0" applyBorder="0" applyAlignment="0" applyProtection="0">
      <alignment vertical="center"/>
    </xf>
    <xf numFmtId="214" fontId="14" fillId="0" borderId="0" applyFont="0" applyFill="0" applyBorder="0" applyAlignment="0" applyProtection="0"/>
    <xf numFmtId="215" fontId="14" fillId="0" borderId="0" applyFont="0" applyFill="0" applyBorder="0" applyAlignment="0" applyProtection="0"/>
    <xf numFmtId="215" fontId="14" fillId="0" borderId="0" applyFont="0" applyFill="0" applyBorder="0" applyAlignment="0" applyProtection="0"/>
    <xf numFmtId="215" fontId="14" fillId="0" borderId="0" applyFont="0" applyFill="0" applyBorder="0" applyAlignment="0" applyProtection="0"/>
    <xf numFmtId="8" fontId="10" fillId="0" borderId="0" applyFont="0" applyFill="0" applyBorder="0" applyAlignment="0" applyProtection="0"/>
    <xf numFmtId="215" fontId="14" fillId="0" borderId="0" applyFont="0" applyFill="0" applyBorder="0" applyAlignment="0" applyProtection="0"/>
    <xf numFmtId="8" fontId="16" fillId="0" borderId="0" applyFont="0" applyFill="0" applyBorder="0" applyAlignment="0" applyProtection="0"/>
    <xf numFmtId="0" fontId="185" fillId="0" borderId="0" applyNumberFormat="0" applyFill="0" applyBorder="0" applyAlignment="0" applyProtection="0">
      <alignment vertical="top"/>
      <protection locked="0"/>
    </xf>
    <xf numFmtId="0" fontId="186" fillId="0" borderId="0" applyNumberFormat="0" applyFill="0" applyBorder="0" applyAlignment="0" applyProtection="0">
      <alignment vertical="top"/>
      <protection locked="0"/>
    </xf>
    <xf numFmtId="9" fontId="80" fillId="0" borderId="0" applyFont="0" applyFill="0" applyBorder="0" applyAlignment="0" applyProtection="0"/>
    <xf numFmtId="0" fontId="187" fillId="0" borderId="0" applyNumberFormat="0" applyFill="0" applyBorder="0" applyAlignment="0" applyProtection="0">
      <alignment vertical="top"/>
      <protection locked="0"/>
    </xf>
    <xf numFmtId="0" fontId="12" fillId="0" borderId="0"/>
    <xf numFmtId="0" fontId="13" fillId="0" borderId="0"/>
    <xf numFmtId="0" fontId="13" fillId="0" borderId="0"/>
    <xf numFmtId="0" fontId="13" fillId="0" borderId="0"/>
    <xf numFmtId="1" fontId="12" fillId="0" borderId="0" applyNumberFormat="0" applyFill="0" applyBorder="0" applyAlignment="0" applyProtection="0"/>
    <xf numFmtId="1" fontId="12" fillId="0" borderId="0" applyNumberFormat="0" applyFill="0" applyBorder="0" applyAlignment="0" applyProtection="0"/>
    <xf numFmtId="0" fontId="186" fillId="0" borderId="0" applyNumberFormat="0" applyFill="0" applyBorder="0" applyAlignment="0" applyProtection="0">
      <alignment vertical="top"/>
      <protection locked="0"/>
    </xf>
    <xf numFmtId="0" fontId="188" fillId="0" borderId="0" applyNumberFormat="0" applyFill="0" applyBorder="0" applyAlignment="0" applyProtection="0">
      <alignment vertical="center"/>
    </xf>
    <xf numFmtId="0" fontId="188" fillId="0" borderId="0" applyNumberFormat="0" applyFill="0" applyBorder="0" applyAlignment="0" applyProtection="0">
      <alignment vertical="center"/>
    </xf>
    <xf numFmtId="0" fontId="220" fillId="57" borderId="23" applyNumberFormat="0" applyAlignment="0" applyProtection="0">
      <alignment vertical="center"/>
    </xf>
    <xf numFmtId="0" fontId="220" fillId="57" borderId="23" applyNumberFormat="0" applyAlignment="0" applyProtection="0">
      <alignment vertical="center"/>
    </xf>
    <xf numFmtId="0" fontId="98" fillId="0" borderId="0"/>
    <xf numFmtId="41" fontId="84" fillId="0" borderId="0" applyFont="0" applyFill="0" applyBorder="0" applyAlignment="0" applyProtection="0"/>
    <xf numFmtId="43" fontId="84" fillId="0" borderId="0" applyFont="0" applyFill="0" applyBorder="0" applyAlignment="0" applyProtection="0"/>
    <xf numFmtId="0" fontId="221" fillId="62" borderId="0" applyNumberFormat="0" applyBorder="0" applyAlignment="0" applyProtection="0">
      <alignment vertical="center"/>
    </xf>
    <xf numFmtId="0" fontId="221" fillId="62" borderId="0" applyNumberFormat="0" applyBorder="0" applyAlignment="0" applyProtection="0">
      <alignment vertical="center"/>
    </xf>
    <xf numFmtId="42" fontId="84" fillId="0" borderId="0" applyFont="0" applyFill="0" applyBorder="0" applyAlignment="0" applyProtection="0"/>
    <xf numFmtId="44" fontId="84" fillId="0" borderId="0" applyFont="0" applyFill="0" applyBorder="0" applyAlignment="0" applyProtection="0"/>
    <xf numFmtId="0" fontId="84" fillId="0" borderId="0"/>
    <xf numFmtId="9" fontId="10" fillId="0" borderId="0" applyFont="0" applyFill="0" applyBorder="0" applyAlignment="0" applyProtection="0"/>
    <xf numFmtId="9" fontId="98" fillId="0" borderId="0" applyFont="0" applyFill="0" applyBorder="0" applyAlignment="0" applyProtection="0">
      <alignment vertical="center"/>
    </xf>
    <xf numFmtId="9" fontId="10" fillId="0" borderId="0" applyFont="0" applyFill="0" applyBorder="0" applyAlignment="0" applyProtection="0"/>
    <xf numFmtId="9" fontId="218" fillId="0" borderId="0" applyFont="0" applyFill="0" applyBorder="0" applyAlignment="0" applyProtection="0">
      <alignment vertical="center"/>
    </xf>
    <xf numFmtId="9" fontId="218" fillId="0" borderId="0" applyFont="0" applyFill="0" applyBorder="0" applyAlignment="0" applyProtection="0">
      <alignment vertical="center"/>
    </xf>
    <xf numFmtId="0" fontId="189" fillId="0" borderId="0" applyNumberFormat="0" applyFill="0" applyBorder="0" applyAlignment="0" applyProtection="0">
      <alignment vertical="top"/>
      <protection locked="0"/>
    </xf>
    <xf numFmtId="0" fontId="190" fillId="0" borderId="0" applyNumberFormat="0" applyFill="0" applyBorder="0" applyAlignment="0" applyProtection="0">
      <alignment vertical="top"/>
      <protection locked="0"/>
    </xf>
    <xf numFmtId="0" fontId="189" fillId="0" borderId="0" applyNumberFormat="0" applyFill="0" applyBorder="0" applyAlignment="0" applyProtection="0">
      <alignment vertical="top"/>
      <protection locked="0"/>
    </xf>
    <xf numFmtId="0" fontId="189" fillId="0" borderId="0" applyNumberFormat="0" applyFill="0" applyBorder="0" applyAlignment="0" applyProtection="0">
      <alignment vertical="top"/>
      <protection locked="0"/>
    </xf>
    <xf numFmtId="0" fontId="191" fillId="0" borderId="0" applyNumberFormat="0" applyFill="0" applyBorder="0" applyAlignment="0" applyProtection="0">
      <alignment vertical="top"/>
      <protection locked="0"/>
    </xf>
    <xf numFmtId="0" fontId="191" fillId="0" borderId="0" applyNumberFormat="0" applyFill="0" applyBorder="0" applyAlignment="0" applyProtection="0">
      <alignment vertical="top"/>
      <protection locked="0"/>
    </xf>
    <xf numFmtId="0" fontId="189" fillId="0" borderId="0" applyNumberFormat="0" applyFill="0" applyBorder="0" applyAlignment="0" applyProtection="0">
      <alignment vertical="top"/>
      <protection locked="0"/>
    </xf>
    <xf numFmtId="0" fontId="190" fillId="0" borderId="0" applyNumberFormat="0" applyFill="0" applyBorder="0" applyAlignment="0" applyProtection="0">
      <alignment vertical="top"/>
      <protection locked="0"/>
    </xf>
    <xf numFmtId="0" fontId="192" fillId="0" borderId="0" applyNumberFormat="0" applyFill="0" applyBorder="0" applyAlignment="0" applyProtection="0">
      <alignment vertical="top"/>
      <protection locked="0"/>
    </xf>
    <xf numFmtId="0" fontId="98" fillId="63" borderId="36" applyNumberFormat="0" applyFont="0" applyAlignment="0" applyProtection="0">
      <alignment vertical="center"/>
    </xf>
    <xf numFmtId="0" fontId="10" fillId="63" borderId="36" applyNumberFormat="0" applyFont="0" applyAlignment="0" applyProtection="0">
      <alignment vertical="center"/>
    </xf>
    <xf numFmtId="0" fontId="10" fillId="63" borderId="36" applyNumberFormat="0" applyFont="0" applyAlignment="0" applyProtection="0">
      <alignment vertical="center"/>
    </xf>
    <xf numFmtId="0" fontId="10" fillId="63" borderId="36" applyNumberFormat="0" applyFont="0" applyAlignment="0" applyProtection="0">
      <alignment vertical="center"/>
    </xf>
    <xf numFmtId="0" fontId="84" fillId="0" borderId="0" applyFont="0" applyFill="0" applyBorder="0" applyAlignment="0" applyProtection="0"/>
    <xf numFmtId="0" fontId="222" fillId="0" borderId="33" applyNumberFormat="0" applyFill="0" applyAlignment="0" applyProtection="0">
      <alignment vertical="center"/>
    </xf>
    <xf numFmtId="0" fontId="222" fillId="0" borderId="33" applyNumberFormat="0" applyFill="0" applyAlignment="0" applyProtection="0">
      <alignment vertical="center"/>
    </xf>
    <xf numFmtId="0" fontId="179" fillId="37" borderId="0" applyNumberFormat="0" applyBorder="0" applyAlignment="0" applyProtection="0">
      <alignment vertical="center"/>
    </xf>
    <xf numFmtId="0" fontId="179" fillId="37" borderId="0" applyNumberFormat="0" applyBorder="0" applyAlignment="0" applyProtection="0">
      <alignment vertical="center"/>
    </xf>
    <xf numFmtId="0" fontId="10" fillId="0" borderId="0"/>
    <xf numFmtId="214" fontId="54" fillId="0" borderId="0" applyFont="0" applyFill="0" applyBorder="0" applyAlignment="0" applyProtection="0"/>
    <xf numFmtId="0" fontId="223" fillId="56" borderId="21" applyNumberFormat="0" applyAlignment="0" applyProtection="0">
      <alignment vertical="center"/>
    </xf>
    <xf numFmtId="0" fontId="223" fillId="56" borderId="21" applyNumberFormat="0" applyAlignment="0" applyProtection="0">
      <alignment vertical="center"/>
    </xf>
    <xf numFmtId="0" fontId="224" fillId="0" borderId="0" applyNumberFormat="0" applyFill="0" applyBorder="0" applyAlignment="0" applyProtection="0">
      <alignment vertical="center"/>
    </xf>
    <xf numFmtId="0" fontId="224" fillId="0" borderId="0" applyNumberFormat="0" applyFill="0" applyBorder="0" applyAlignment="0" applyProtection="0">
      <alignment vertical="center"/>
    </xf>
    <xf numFmtId="38" fontId="10" fillId="0" borderId="0" applyFont="0" applyFill="0" applyBorder="0" applyAlignment="0" applyProtection="0"/>
    <xf numFmtId="186" fontId="12" fillId="0" borderId="0" applyFont="0" applyFill="0" applyBorder="0" applyAlignment="0" applyProtection="0"/>
    <xf numFmtId="185" fontId="12" fillId="0" borderId="0" applyFont="0" applyFill="0" applyBorder="0" applyAlignment="0" applyProtection="0"/>
    <xf numFmtId="38" fontId="10" fillId="0" borderId="0" applyFont="0" applyFill="0" applyBorder="0" applyAlignment="0" applyProtection="0"/>
    <xf numFmtId="38" fontId="98" fillId="0" borderId="0" applyFont="0" applyFill="0" applyBorder="0" applyAlignment="0" applyProtection="0">
      <alignment vertical="center"/>
    </xf>
    <xf numFmtId="38" fontId="10" fillId="0" borderId="0" applyFont="0" applyFill="0" applyBorder="0" applyAlignment="0" applyProtection="0"/>
    <xf numFmtId="38" fontId="98" fillId="0" borderId="0" applyFont="0" applyFill="0" applyBorder="0" applyAlignment="0" applyProtection="0">
      <alignment vertical="center"/>
    </xf>
    <xf numFmtId="38" fontId="10" fillId="0" borderId="0" applyFont="0" applyFill="0" applyBorder="0" applyAlignment="0" applyProtection="0"/>
    <xf numFmtId="38" fontId="218" fillId="0" borderId="0" applyFont="0" applyFill="0" applyBorder="0" applyAlignment="0" applyProtection="0">
      <alignment vertical="center"/>
    </xf>
    <xf numFmtId="38" fontId="218" fillId="0" borderId="0" applyFont="0" applyFill="0" applyBorder="0" applyAlignment="0" applyProtection="0">
      <alignment vertical="center"/>
    </xf>
    <xf numFmtId="0" fontId="225" fillId="0" borderId="49" applyNumberFormat="0" applyFill="0" applyAlignment="0" applyProtection="0">
      <alignment vertical="center"/>
    </xf>
    <xf numFmtId="0" fontId="225" fillId="0" borderId="49" applyNumberFormat="0" applyFill="0" applyAlignment="0" applyProtection="0">
      <alignment vertical="center"/>
    </xf>
    <xf numFmtId="0" fontId="226" fillId="0" borderId="50" applyNumberFormat="0" applyFill="0" applyAlignment="0" applyProtection="0">
      <alignment vertical="center"/>
    </xf>
    <xf numFmtId="0" fontId="226" fillId="0" borderId="50" applyNumberFormat="0" applyFill="0" applyAlignment="0" applyProtection="0">
      <alignment vertical="center"/>
    </xf>
    <xf numFmtId="0" fontId="227" fillId="0" borderId="29" applyNumberFormat="0" applyFill="0" applyAlignment="0" applyProtection="0">
      <alignment vertical="center"/>
    </xf>
    <xf numFmtId="0" fontId="227" fillId="0" borderId="29" applyNumberFormat="0" applyFill="0" applyAlignment="0" applyProtection="0">
      <alignment vertical="center"/>
    </xf>
    <xf numFmtId="0" fontId="227" fillId="0" borderId="0" applyNumberFormat="0" applyFill="0" applyBorder="0" applyAlignment="0" applyProtection="0">
      <alignment vertical="center"/>
    </xf>
    <xf numFmtId="0" fontId="227" fillId="0" borderId="0" applyNumberFormat="0" applyFill="0" applyBorder="0" applyAlignment="0" applyProtection="0">
      <alignment vertical="center"/>
    </xf>
    <xf numFmtId="0" fontId="228" fillId="0" borderId="51" applyNumberFormat="0" applyFill="0" applyAlignment="0" applyProtection="0">
      <alignment vertical="center"/>
    </xf>
    <xf numFmtId="0" fontId="228" fillId="0" borderId="51" applyNumberFormat="0" applyFill="0" applyAlignment="0" applyProtection="0">
      <alignment vertical="center"/>
    </xf>
    <xf numFmtId="0" fontId="229" fillId="56" borderId="37" applyNumberFormat="0" applyAlignment="0" applyProtection="0">
      <alignment vertical="center"/>
    </xf>
    <xf numFmtId="0" fontId="229" fillId="56" borderId="37" applyNumberFormat="0" applyAlignment="0" applyProtection="0">
      <alignment vertical="center"/>
    </xf>
    <xf numFmtId="0" fontId="193" fillId="0" borderId="0"/>
    <xf numFmtId="0" fontId="147" fillId="0" borderId="0" applyNumberFormat="0" applyFill="0" applyBorder="0" applyAlignment="0" applyProtection="0">
      <alignment vertical="center"/>
    </xf>
    <xf numFmtId="0" fontId="147" fillId="0" borderId="0" applyNumberFormat="0" applyFill="0" applyBorder="0" applyAlignment="0" applyProtection="0">
      <alignment vertical="center"/>
    </xf>
    <xf numFmtId="41" fontId="61" fillId="0" borderId="0" applyFont="0" applyFill="0" applyBorder="0" applyAlignment="0" applyProtection="0"/>
    <xf numFmtId="41" fontId="61" fillId="0" borderId="0" applyFont="0" applyFill="0" applyBorder="0" applyAlignment="0" applyProtection="0"/>
    <xf numFmtId="8" fontId="48" fillId="0" borderId="0" applyFont="0" applyFill="0" applyBorder="0" applyAlignment="0" applyProtection="0"/>
    <xf numFmtId="6" fontId="48" fillId="0" borderId="0" applyFont="0" applyFill="0" applyBorder="0" applyAlignment="0" applyProtection="0"/>
    <xf numFmtId="6" fontId="10" fillId="0" borderId="0" applyFont="0" applyFill="0" applyBorder="0" applyAlignment="0" applyProtection="0"/>
    <xf numFmtId="8" fontId="10" fillId="0" borderId="0" applyFont="0" applyFill="0" applyBorder="0" applyAlignment="0" applyProtection="0"/>
    <xf numFmtId="6" fontId="10" fillId="0" borderId="0" applyFont="0" applyFill="0" applyBorder="0" applyAlignment="0" applyProtection="0"/>
    <xf numFmtId="0" fontId="194" fillId="41" borderId="21" applyNumberFormat="0" applyAlignment="0" applyProtection="0">
      <alignment vertical="center"/>
    </xf>
    <xf numFmtId="0" fontId="194" fillId="41" borderId="21" applyNumberFormat="0" applyAlignment="0" applyProtection="0">
      <alignment vertical="center"/>
    </xf>
    <xf numFmtId="0" fontId="195" fillId="0" borderId="1" applyNumberFormat="0" applyBorder="0" applyAlignment="0">
      <alignment horizontal="center"/>
    </xf>
    <xf numFmtId="10" fontId="196" fillId="81" borderId="0" applyFill="0"/>
    <xf numFmtId="0" fontId="10"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98" fillId="0" borderId="0"/>
    <xf numFmtId="0" fontId="10"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10"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230"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10" fillId="0" borderId="0"/>
    <xf numFmtId="0" fontId="218" fillId="0" borderId="0">
      <alignment vertical="center"/>
    </xf>
    <xf numFmtId="0" fontId="10"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218" fillId="0" borderId="0">
      <alignment vertical="center"/>
    </xf>
    <xf numFmtId="0" fontId="218" fillId="0" borderId="0">
      <alignment vertical="center"/>
    </xf>
    <xf numFmtId="0" fontId="218" fillId="0" borderId="0">
      <alignment vertical="center"/>
    </xf>
    <xf numFmtId="0" fontId="98" fillId="0" borderId="0"/>
    <xf numFmtId="0" fontId="98" fillId="0" borderId="0"/>
    <xf numFmtId="0" fontId="98" fillId="0" borderId="0"/>
    <xf numFmtId="0" fontId="98" fillId="0" borderId="0"/>
    <xf numFmtId="0" fontId="230" fillId="0" borderId="0">
      <alignment vertical="center"/>
    </xf>
    <xf numFmtId="0" fontId="197" fillId="0" borderId="0"/>
    <xf numFmtId="0" fontId="198" fillId="0" borderId="0"/>
    <xf numFmtId="0" fontId="239" fillId="0" borderId="3" applyNumberFormat="0" applyFont="0" applyFill="0" applyAlignment="0" applyProtection="0">
      <alignment horizontal="centerContinuous"/>
    </xf>
    <xf numFmtId="0" fontId="199" fillId="0" borderId="0" applyNumberFormat="0" applyFill="0" applyBorder="0" applyAlignment="0" applyProtection="0">
      <alignment vertical="top"/>
      <protection locked="0"/>
    </xf>
    <xf numFmtId="0" fontId="200" fillId="0" borderId="0" applyNumberFormat="0" applyFill="0" applyBorder="0" applyAlignment="0" applyProtection="0">
      <alignment vertical="top"/>
      <protection locked="0"/>
    </xf>
    <xf numFmtId="0" fontId="201" fillId="0" borderId="0" applyNumberFormat="0" applyFill="0" applyBorder="0" applyAlignment="0" applyProtection="0">
      <alignment vertical="top"/>
      <protection locked="0"/>
    </xf>
    <xf numFmtId="0" fontId="186" fillId="0" borderId="0" applyNumberFormat="0" applyFill="0" applyBorder="0" applyAlignment="0" applyProtection="0">
      <alignment vertical="top"/>
      <protection locked="0"/>
    </xf>
    <xf numFmtId="0" fontId="202" fillId="0" borderId="0" applyNumberFormat="0" applyFill="0" applyBorder="0" applyAlignment="0" applyProtection="0">
      <alignment vertical="top"/>
      <protection locked="0"/>
    </xf>
    <xf numFmtId="0" fontId="200" fillId="0" borderId="0" applyNumberFormat="0" applyFill="0" applyBorder="0" applyAlignment="0" applyProtection="0">
      <alignment vertical="top"/>
      <protection locked="0"/>
    </xf>
    <xf numFmtId="0" fontId="200"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0" fontId="204" fillId="0" borderId="0" applyNumberFormat="0" applyFill="0" applyBorder="0" applyAlignment="0" applyProtection="0">
      <alignment vertical="top"/>
      <protection locked="0"/>
    </xf>
    <xf numFmtId="0" fontId="204" fillId="0" borderId="0" applyNumberFormat="0" applyFill="0" applyBorder="0" applyAlignment="0" applyProtection="0">
      <alignment vertical="top"/>
      <protection locked="0"/>
    </xf>
    <xf numFmtId="0" fontId="77" fillId="82" borderId="52">
      <alignment horizontal="center"/>
    </xf>
    <xf numFmtId="40" fontId="205" fillId="0" borderId="0" applyFont="0" applyFill="0" applyBorder="0" applyAlignment="0" applyProtection="0"/>
    <xf numFmtId="38" fontId="205" fillId="0" borderId="0" applyFont="0" applyFill="0" applyBorder="0" applyAlignment="0" applyProtection="0"/>
    <xf numFmtId="0" fontId="206" fillId="0" borderId="0"/>
    <xf numFmtId="0" fontId="11" fillId="0" borderId="0"/>
    <xf numFmtId="0" fontId="231" fillId="38" borderId="0" applyNumberFormat="0" applyBorder="0" applyAlignment="0" applyProtection="0">
      <alignment vertical="center"/>
    </xf>
    <xf numFmtId="0" fontId="231" fillId="38" borderId="0" applyNumberFormat="0" applyBorder="0" applyAlignment="0" applyProtection="0">
      <alignment vertical="center"/>
    </xf>
    <xf numFmtId="9" fontId="207" fillId="0" borderId="0" applyFont="0" applyFill="0" applyBorder="0" applyAlignment="0" applyProtection="0"/>
    <xf numFmtId="41" fontId="50" fillId="0" borderId="0" applyFont="0" applyFill="0" applyBorder="0" applyAlignment="0" applyProtection="0"/>
    <xf numFmtId="43" fontId="50" fillId="0" borderId="0" applyFont="0" applyFill="0" applyBorder="0" applyAlignment="0" applyProtection="0"/>
    <xf numFmtId="0" fontId="205" fillId="0" borderId="0" applyFont="0" applyFill="0" applyBorder="0" applyAlignment="0" applyProtection="0"/>
    <xf numFmtId="0" fontId="205" fillId="0" borderId="0" applyFont="0" applyFill="0" applyBorder="0" applyAlignment="0" applyProtection="0"/>
    <xf numFmtId="10" fontId="12" fillId="0" borderId="0" applyFont="0" applyFill="0" applyBorder="0" applyAlignment="0" applyProtection="0"/>
    <xf numFmtId="0" fontId="208" fillId="0" borderId="0"/>
    <xf numFmtId="191" fontId="12" fillId="0" borderId="0" applyFont="0" applyFill="0" applyBorder="0" applyAlignment="0" applyProtection="0"/>
    <xf numFmtId="193" fontId="12" fillId="0" borderId="0" applyFont="0" applyFill="0" applyBorder="0" applyAlignment="0" applyProtection="0"/>
    <xf numFmtId="194" fontId="12" fillId="0" borderId="0" applyFont="0" applyFill="0" applyBorder="0" applyAlignment="0" applyProtection="0"/>
    <xf numFmtId="8" fontId="209" fillId="0" borderId="0" applyFont="0" applyFill="0" applyBorder="0" applyAlignment="0" applyProtection="0"/>
    <xf numFmtId="6" fontId="209" fillId="0" borderId="0" applyFont="0" applyFill="0" applyBorder="0" applyAlignment="0" applyProtection="0"/>
    <xf numFmtId="0" fontId="210" fillId="0" borderId="0"/>
    <xf numFmtId="0" fontId="211" fillId="0" borderId="0" applyNumberFormat="0" applyFill="0" applyBorder="0" applyAlignment="0" applyProtection="0">
      <alignment vertical="top"/>
      <protection locked="0"/>
    </xf>
    <xf numFmtId="0" fontId="12" fillId="0" borderId="0"/>
    <xf numFmtId="42" fontId="61" fillId="0" borderId="0" applyFont="0" applyFill="0" applyBorder="0" applyAlignment="0" applyProtection="0"/>
    <xf numFmtId="215" fontId="212" fillId="0" borderId="0" applyFont="0" applyFill="0" applyBorder="0" applyAlignment="0" applyProtection="0"/>
    <xf numFmtId="214" fontId="212" fillId="0" borderId="0" applyFont="0" applyFill="0" applyBorder="0" applyAlignment="0" applyProtection="0"/>
    <xf numFmtId="185" fontId="75" fillId="0" borderId="0" applyFont="0" applyFill="0" applyBorder="0" applyAlignment="0" applyProtection="0"/>
    <xf numFmtId="186" fontId="75" fillId="0" borderId="0" applyFont="0" applyFill="0" applyBorder="0" applyAlignment="0" applyProtection="0"/>
    <xf numFmtId="200" fontId="55" fillId="0" borderId="0" applyFont="0" applyFill="0" applyBorder="0" applyAlignment="0" applyProtection="0"/>
    <xf numFmtId="198" fontId="55" fillId="0" borderId="0" applyFont="0" applyFill="0" applyBorder="0" applyAlignment="0" applyProtection="0"/>
    <xf numFmtId="215" fontId="213" fillId="0" borderId="0" applyFont="0" applyFill="0" applyBorder="0" applyAlignment="0" applyProtection="0"/>
    <xf numFmtId="214" fontId="213" fillId="0" borderId="0" applyFont="0" applyFill="0" applyBorder="0" applyAlignment="0" applyProtection="0"/>
    <xf numFmtId="10" fontId="196" fillId="81" borderId="0" applyFill="0"/>
    <xf numFmtId="0" fontId="214" fillId="0" borderId="0"/>
    <xf numFmtId="0" fontId="215" fillId="0" borderId="0" applyNumberFormat="0" applyFill="0" applyBorder="0" applyAlignment="0" applyProtection="0">
      <alignment vertical="top"/>
      <protection locked="0"/>
    </xf>
    <xf numFmtId="185" fontId="75" fillId="0" borderId="0" applyFont="0" applyFill="0" applyBorder="0" applyAlignment="0" applyProtection="0"/>
    <xf numFmtId="186" fontId="75" fillId="0" borderId="0" applyFont="0" applyFill="0" applyBorder="0" applyAlignment="0" applyProtection="0"/>
    <xf numFmtId="0" fontId="216" fillId="0" borderId="0" applyNumberFormat="0" applyFill="0" applyBorder="0" applyAlignment="0" applyProtection="0">
      <alignment vertical="top"/>
      <protection locked="0"/>
    </xf>
    <xf numFmtId="0" fontId="217" fillId="0" borderId="0"/>
    <xf numFmtId="214" fontId="75" fillId="0" borderId="0" applyFont="0" applyFill="0" applyBorder="0" applyAlignment="0" applyProtection="0"/>
    <xf numFmtId="215" fontId="75" fillId="0" borderId="0" applyFont="0" applyFill="0" applyBorder="0" applyAlignment="0" applyProtection="0"/>
    <xf numFmtId="0" fontId="50" fillId="0" borderId="0"/>
    <xf numFmtId="41" fontId="1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alignment vertical="center"/>
    </xf>
    <xf numFmtId="0" fontId="5" fillId="11"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5" fillId="23" borderId="0" applyNumberFormat="0" applyBorder="0" applyAlignment="0" applyProtection="0">
      <alignment vertical="center"/>
    </xf>
    <xf numFmtId="0" fontId="5" fillId="27" borderId="0" applyNumberFormat="0" applyBorder="0" applyAlignment="0" applyProtection="0">
      <alignment vertical="center"/>
    </xf>
    <xf numFmtId="0" fontId="5"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11" borderId="0" applyNumberFormat="0" applyBorder="0" applyAlignment="0" applyProtection="0">
      <alignment vertical="center"/>
    </xf>
    <xf numFmtId="0" fontId="5" fillId="32"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5" fillId="23" borderId="0" applyNumberFormat="0" applyBorder="0" applyAlignment="0" applyProtection="0">
      <alignment vertical="center"/>
    </xf>
    <xf numFmtId="0" fontId="5" fillId="27" borderId="0" applyNumberFormat="0" applyBorder="0" applyAlignment="0" applyProtection="0">
      <alignment vertical="center"/>
    </xf>
    <xf numFmtId="0" fontId="5"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11"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5" fillId="23" borderId="0" applyNumberFormat="0" applyBorder="0" applyAlignment="0" applyProtection="0">
      <alignment vertical="center"/>
    </xf>
    <xf numFmtId="0" fontId="5" fillId="27" borderId="0" applyNumberFormat="0" applyBorder="0" applyAlignment="0" applyProtection="0">
      <alignment vertical="center"/>
    </xf>
    <xf numFmtId="0" fontId="5"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243" fillId="13" borderId="0" applyNumberFormat="0" applyBorder="0" applyAlignment="0" applyProtection="0">
      <alignment vertical="center"/>
    </xf>
    <xf numFmtId="0" fontId="243" fillId="17" borderId="0" applyNumberFormat="0" applyBorder="0" applyAlignment="0" applyProtection="0">
      <alignment vertical="center"/>
    </xf>
    <xf numFmtId="0" fontId="243" fillId="21" borderId="0" applyNumberFormat="0" applyBorder="0" applyAlignment="0" applyProtection="0">
      <alignment vertical="center"/>
    </xf>
    <xf numFmtId="0" fontId="243" fillId="25" borderId="0" applyNumberFormat="0" applyBorder="0" applyAlignment="0" applyProtection="0">
      <alignment vertical="center"/>
    </xf>
    <xf numFmtId="0" fontId="243" fillId="29" borderId="0" applyNumberFormat="0" applyBorder="0" applyAlignment="0" applyProtection="0">
      <alignment vertical="center"/>
    </xf>
    <xf numFmtId="0" fontId="243" fillId="33" borderId="0" applyNumberFormat="0" applyBorder="0" applyAlignment="0" applyProtection="0">
      <alignment vertical="center"/>
    </xf>
    <xf numFmtId="0" fontId="5" fillId="32" borderId="0" applyNumberFormat="0" applyBorder="0" applyAlignment="0" applyProtection="0">
      <alignment vertical="center"/>
    </xf>
    <xf numFmtId="0" fontId="5" fillId="28" borderId="0" applyNumberFormat="0" applyBorder="0" applyAlignment="0" applyProtection="0">
      <alignment vertical="center"/>
    </xf>
    <xf numFmtId="0" fontId="5" fillId="24" borderId="0" applyNumberFormat="0" applyBorder="0" applyAlignment="0" applyProtection="0">
      <alignment vertical="center"/>
    </xf>
    <xf numFmtId="0" fontId="5" fillId="20" borderId="0" applyNumberFormat="0" applyBorder="0" applyAlignment="0" applyProtection="0">
      <alignment vertical="center"/>
    </xf>
    <xf numFmtId="0" fontId="5" fillId="16" borderId="0" applyNumberFormat="0" applyBorder="0" applyAlignment="0" applyProtection="0">
      <alignment vertical="center"/>
    </xf>
    <xf numFmtId="0" fontId="5" fillId="12" borderId="0" applyNumberFormat="0" applyBorder="0" applyAlignment="0" applyProtection="0">
      <alignment vertical="center"/>
    </xf>
    <xf numFmtId="0" fontId="5" fillId="31" borderId="0" applyNumberFormat="0" applyBorder="0" applyAlignment="0" applyProtection="0">
      <alignment vertical="center"/>
    </xf>
    <xf numFmtId="0" fontId="5" fillId="27" borderId="0" applyNumberFormat="0" applyBorder="0" applyAlignment="0" applyProtection="0">
      <alignment vertical="center"/>
    </xf>
    <xf numFmtId="0" fontId="5" fillId="23" borderId="0" applyNumberFormat="0" applyBorder="0" applyAlignment="0" applyProtection="0">
      <alignment vertical="center"/>
    </xf>
    <xf numFmtId="0" fontId="5" fillId="32" borderId="0" applyNumberFormat="0" applyBorder="0" applyAlignment="0" applyProtection="0">
      <alignment vertical="center"/>
    </xf>
    <xf numFmtId="0" fontId="5" fillId="19" borderId="0" applyNumberFormat="0" applyBorder="0" applyAlignment="0" applyProtection="0">
      <alignment vertical="center"/>
    </xf>
    <xf numFmtId="0" fontId="5" fillId="28" borderId="0" applyNumberFormat="0" applyBorder="0" applyAlignment="0" applyProtection="0">
      <alignment vertical="center"/>
    </xf>
    <xf numFmtId="0" fontId="5" fillId="15"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5" fillId="20" borderId="0" applyNumberFormat="0" applyBorder="0" applyAlignment="0" applyProtection="0">
      <alignment vertical="center"/>
    </xf>
    <xf numFmtId="0" fontId="5" fillId="16" borderId="0" applyNumberFormat="0" applyBorder="0" applyAlignment="0" applyProtection="0">
      <alignment vertical="center"/>
    </xf>
    <xf numFmtId="0" fontId="5" fillId="12" borderId="0" applyNumberFormat="0" applyBorder="0" applyAlignment="0" applyProtection="0">
      <alignment vertical="center"/>
    </xf>
    <xf numFmtId="0" fontId="5" fillId="31" borderId="0" applyNumberFormat="0" applyBorder="0" applyAlignment="0" applyProtection="0">
      <alignment vertical="center"/>
    </xf>
    <xf numFmtId="0" fontId="5" fillId="27" borderId="0" applyNumberFormat="0" applyBorder="0" applyAlignment="0" applyProtection="0">
      <alignment vertical="center"/>
    </xf>
    <xf numFmtId="0" fontId="5" fillId="23" borderId="0" applyNumberFormat="0" applyBorder="0" applyAlignment="0" applyProtection="0">
      <alignment vertical="center"/>
    </xf>
    <xf numFmtId="0" fontId="5" fillId="19"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243" fillId="10" borderId="0" applyNumberFormat="0" applyBorder="0" applyAlignment="0" applyProtection="0">
      <alignment vertical="center"/>
    </xf>
    <xf numFmtId="0" fontId="243" fillId="14" borderId="0" applyNumberFormat="0" applyBorder="0" applyAlignment="0" applyProtection="0">
      <alignment vertical="center"/>
    </xf>
    <xf numFmtId="0" fontId="243" fillId="18" borderId="0" applyNumberFormat="0" applyBorder="0" applyAlignment="0" applyProtection="0">
      <alignment vertical="center"/>
    </xf>
    <xf numFmtId="0" fontId="243" fillId="22" borderId="0" applyNumberFormat="0" applyBorder="0" applyAlignment="0" applyProtection="0">
      <alignment vertical="center"/>
    </xf>
    <xf numFmtId="0" fontId="243" fillId="26" borderId="0" applyNumberFormat="0" applyBorder="0" applyAlignment="0" applyProtection="0">
      <alignment vertical="center"/>
    </xf>
    <xf numFmtId="0" fontId="243" fillId="30" borderId="0" applyNumberFormat="0" applyBorder="0" applyAlignment="0" applyProtection="0">
      <alignment vertical="center"/>
    </xf>
    <xf numFmtId="0" fontId="244" fillId="0" borderId="0" applyNumberFormat="0" applyFill="0" applyBorder="0" applyAlignment="0" applyProtection="0">
      <alignment vertical="center"/>
    </xf>
    <xf numFmtId="0" fontId="245" fillId="8" borderId="14" applyNumberFormat="0" applyAlignment="0" applyProtection="0">
      <alignment vertical="center"/>
    </xf>
    <xf numFmtId="0" fontId="246" fillId="5" borderId="0" applyNumberFormat="0" applyBorder="0" applyAlignment="0" applyProtection="0">
      <alignment vertical="center"/>
    </xf>
    <xf numFmtId="9" fontId="218" fillId="0" borderId="0" applyFont="0" applyFill="0" applyBorder="0" applyAlignment="0" applyProtection="0">
      <alignment vertical="center"/>
    </xf>
    <xf numFmtId="9" fontId="218" fillId="0" borderId="0" applyFont="0" applyFill="0" applyBorder="0" applyAlignment="0" applyProtection="0">
      <alignment vertical="center"/>
    </xf>
    <xf numFmtId="9" fontId="218" fillId="0" borderId="0" applyFont="0" applyFill="0" applyBorder="0" applyAlignment="0" applyProtection="0">
      <alignment vertical="center"/>
    </xf>
    <xf numFmtId="0" fontId="218" fillId="9" borderId="15" applyNumberFormat="0" applyFont="0" applyAlignment="0" applyProtection="0">
      <alignment vertical="center"/>
    </xf>
    <xf numFmtId="0" fontId="247" fillId="0" borderId="13" applyNumberFormat="0" applyFill="0" applyAlignment="0" applyProtection="0">
      <alignment vertical="center"/>
    </xf>
    <xf numFmtId="0" fontId="248" fillId="4" borderId="0" applyNumberFormat="0" applyBorder="0" applyAlignment="0" applyProtection="0">
      <alignment vertical="center"/>
    </xf>
    <xf numFmtId="0" fontId="249" fillId="7" borderId="11" applyNumberFormat="0" applyAlignment="0" applyProtection="0">
      <alignment vertical="center"/>
    </xf>
    <xf numFmtId="0" fontId="4" fillId="0" borderId="0" applyNumberFormat="0" applyFill="0" applyBorder="0" applyAlignment="0" applyProtection="0">
      <alignment vertical="center"/>
    </xf>
    <xf numFmtId="38" fontId="218" fillId="0" borderId="0" applyFont="0" applyFill="0" applyBorder="0" applyAlignment="0" applyProtection="0">
      <alignment vertical="center"/>
    </xf>
    <xf numFmtId="38" fontId="218" fillId="0" borderId="0" applyFont="0" applyFill="0" applyBorder="0" applyAlignment="0" applyProtection="0">
      <alignment vertical="center"/>
    </xf>
    <xf numFmtId="38" fontId="218" fillId="0" borderId="0" applyFont="0" applyFill="0" applyBorder="0" applyAlignment="0" applyProtection="0">
      <alignment vertical="center"/>
    </xf>
    <xf numFmtId="38" fontId="218" fillId="0" borderId="0" applyFont="0" applyFill="0" applyBorder="0" applyAlignment="0" applyProtection="0">
      <alignment vertical="center"/>
    </xf>
    <xf numFmtId="0" fontId="250" fillId="0" borderId="8" applyNumberFormat="0" applyFill="0" applyAlignment="0" applyProtection="0">
      <alignment vertical="center"/>
    </xf>
    <xf numFmtId="0" fontId="251" fillId="0" borderId="9" applyNumberFormat="0" applyFill="0" applyAlignment="0" applyProtection="0">
      <alignment vertical="center"/>
    </xf>
    <xf numFmtId="0" fontId="252" fillId="0" borderId="10" applyNumberFormat="0" applyFill="0" applyAlignment="0" applyProtection="0">
      <alignment vertical="center"/>
    </xf>
    <xf numFmtId="0" fontId="252" fillId="0" borderId="0" applyNumberFormat="0" applyFill="0" applyBorder="0" applyAlignment="0" applyProtection="0">
      <alignment vertical="center"/>
    </xf>
    <xf numFmtId="0" fontId="6" fillId="0" borderId="16" applyNumberFormat="0" applyFill="0" applyAlignment="0" applyProtection="0">
      <alignment vertical="center"/>
    </xf>
    <xf numFmtId="0" fontId="253" fillId="7" borderId="12" applyNumberFormat="0" applyAlignment="0" applyProtection="0">
      <alignment vertical="center"/>
    </xf>
    <xf numFmtId="0" fontId="254" fillId="0" borderId="0" applyNumberFormat="0" applyFill="0" applyBorder="0" applyAlignment="0" applyProtection="0">
      <alignment vertical="center"/>
    </xf>
    <xf numFmtId="0" fontId="255" fillId="6" borderId="11" applyNumberFormat="0" applyAlignment="0" applyProtection="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4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4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18" fillId="0" borderId="0">
      <alignment vertical="center"/>
    </xf>
    <xf numFmtId="0" fontId="256" fillId="0" borderId="0">
      <alignment vertical="center"/>
    </xf>
    <xf numFmtId="0" fontId="256" fillId="0" borderId="0">
      <alignment vertical="center"/>
    </xf>
    <xf numFmtId="0" fontId="5" fillId="0" borderId="0">
      <alignment vertical="center"/>
    </xf>
    <xf numFmtId="0" fontId="5" fillId="0" borderId="0">
      <alignment vertical="center"/>
    </xf>
    <xf numFmtId="0" fontId="5" fillId="0" borderId="0">
      <alignment vertical="center"/>
    </xf>
    <xf numFmtId="0" fontId="98" fillId="0" borderId="0"/>
    <xf numFmtId="0" fontId="5" fillId="0" borderId="0">
      <alignment vertical="center"/>
    </xf>
    <xf numFmtId="0" fontId="5" fillId="0" borderId="0"/>
    <xf numFmtId="0" fontId="5" fillId="0" borderId="0">
      <alignment vertical="center"/>
    </xf>
    <xf numFmtId="0" fontId="5" fillId="0" borderId="0">
      <alignment vertical="center"/>
    </xf>
    <xf numFmtId="0" fontId="25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257" fillId="3" borderId="0" applyNumberFormat="0" applyBorder="0" applyAlignment="0" applyProtection="0">
      <alignment vertical="center"/>
    </xf>
    <xf numFmtId="0" fontId="10" fillId="0" borderId="0">
      <alignment vertical="center"/>
    </xf>
    <xf numFmtId="0" fontId="10" fillId="0" borderId="0">
      <alignment vertical="center"/>
    </xf>
    <xf numFmtId="0" fontId="262" fillId="0" borderId="0"/>
    <xf numFmtId="0" fontId="262" fillId="0" borderId="0"/>
    <xf numFmtId="0" fontId="5" fillId="11"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5" fillId="23" borderId="0" applyNumberFormat="0" applyBorder="0" applyAlignment="0" applyProtection="0">
      <alignment vertical="center"/>
    </xf>
    <xf numFmtId="0" fontId="5" fillId="27" borderId="0" applyNumberFormat="0" applyBorder="0" applyAlignment="0" applyProtection="0">
      <alignment vertical="center"/>
    </xf>
    <xf numFmtId="0" fontId="5"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175" fillId="85" borderId="0" applyBorder="0" applyAlignment="0"/>
    <xf numFmtId="4" fontId="175" fillId="85" borderId="0" applyBorder="0" applyAlignment="0"/>
    <xf numFmtId="0" fontId="108" fillId="85" borderId="0" applyBorder="0">
      <alignment horizontal="right" vertical="center"/>
    </xf>
    <xf numFmtId="4" fontId="108" fillId="85" borderId="0" applyBorder="0">
      <alignment horizontal="right" vertical="center"/>
    </xf>
    <xf numFmtId="0" fontId="108" fillId="85" borderId="1">
      <alignment horizontal="right" vertical="center"/>
    </xf>
    <xf numFmtId="4" fontId="108" fillId="86" borderId="0" applyBorder="0">
      <alignment horizontal="right" vertical="center"/>
    </xf>
    <xf numFmtId="4" fontId="108" fillId="86" borderId="0" applyBorder="0">
      <alignment horizontal="right" vertical="center"/>
    </xf>
    <xf numFmtId="0" fontId="264" fillId="86" borderId="1">
      <alignment horizontal="right" vertical="center"/>
    </xf>
    <xf numFmtId="4" fontId="264" fillId="86" borderId="1">
      <alignment horizontal="right" vertical="center"/>
    </xf>
    <xf numFmtId="0" fontId="264" fillId="86" borderId="1">
      <alignment horizontal="right" vertical="center"/>
    </xf>
    <xf numFmtId="0" fontId="265" fillId="86" borderId="1">
      <alignment horizontal="right" vertical="center"/>
    </xf>
    <xf numFmtId="4" fontId="265" fillId="86" borderId="1">
      <alignment horizontal="right" vertical="center"/>
    </xf>
    <xf numFmtId="0" fontId="265" fillId="86" borderId="1">
      <alignment horizontal="right" vertical="center"/>
    </xf>
    <xf numFmtId="0" fontId="264" fillId="68" borderId="1">
      <alignment horizontal="right" vertical="center"/>
    </xf>
    <xf numFmtId="4" fontId="264" fillId="68" borderId="1">
      <alignment horizontal="right" vertical="center"/>
    </xf>
    <xf numFmtId="0" fontId="264" fillId="68" borderId="92">
      <alignment horizontal="right" vertical="center"/>
    </xf>
    <xf numFmtId="0" fontId="264" fillId="68" borderId="1">
      <alignment horizontal="right" vertical="center"/>
    </xf>
    <xf numFmtId="4" fontId="264" fillId="68" borderId="1">
      <alignment horizontal="right" vertical="center"/>
    </xf>
    <xf numFmtId="0" fontId="264" fillId="68" borderId="1">
      <alignment horizontal="right" vertical="center"/>
    </xf>
    <xf numFmtId="0" fontId="264" fillId="68" borderId="93">
      <alignment horizontal="right" vertical="center"/>
    </xf>
    <xf numFmtId="0" fontId="264" fillId="68" borderId="20">
      <alignment horizontal="right" vertical="center"/>
    </xf>
    <xf numFmtId="4" fontId="264" fillId="68" borderId="20">
      <alignment horizontal="right" vertical="center"/>
    </xf>
    <xf numFmtId="0" fontId="264" fillId="68" borderId="20">
      <alignment horizontal="right" vertical="center"/>
    </xf>
    <xf numFmtId="0" fontId="264" fillId="68" borderId="64">
      <alignment horizontal="right" vertical="center"/>
    </xf>
    <xf numFmtId="4" fontId="264" fillId="68" borderId="64">
      <alignment horizontal="right" vertical="center"/>
    </xf>
    <xf numFmtId="0" fontId="264" fillId="68" borderId="64">
      <alignment horizontal="right" vertical="center"/>
    </xf>
    <xf numFmtId="0" fontId="264" fillId="0" borderId="0" applyNumberFormat="0">
      <alignment horizontal="right"/>
    </xf>
    <xf numFmtId="0" fontId="108" fillId="68" borderId="88">
      <alignment horizontal="left" vertical="center" wrapText="1" indent="2"/>
    </xf>
    <xf numFmtId="0" fontId="108" fillId="0" borderId="88">
      <alignment horizontal="left" vertical="center" wrapText="1" indent="2"/>
    </xf>
    <xf numFmtId="0" fontId="108" fillId="86" borderId="20">
      <alignment horizontal="left" vertical="center"/>
    </xf>
    <xf numFmtId="0" fontId="264" fillId="0" borderId="94">
      <alignment horizontal="left" vertical="top" wrapText="1"/>
    </xf>
    <xf numFmtId="0" fontId="12" fillId="0" borderId="34"/>
    <xf numFmtId="4" fontId="108" fillId="0" borderId="0" applyBorder="0">
      <alignment horizontal="right" vertical="center"/>
    </xf>
    <xf numFmtId="0" fontId="108" fillId="0" borderId="1">
      <alignment horizontal="right" vertical="center"/>
    </xf>
    <xf numFmtId="4" fontId="108" fillId="0" borderId="1">
      <alignment horizontal="right" vertical="center"/>
    </xf>
    <xf numFmtId="0" fontId="108" fillId="0" borderId="1">
      <alignment horizontal="right" vertical="center"/>
    </xf>
    <xf numFmtId="1" fontId="266" fillId="86" borderId="0" applyBorder="0">
      <alignment horizontal="right" vertical="center"/>
    </xf>
    <xf numFmtId="0" fontId="5" fillId="0" borderId="0"/>
    <xf numFmtId="0" fontId="5" fillId="0" borderId="0"/>
    <xf numFmtId="0" fontId="12" fillId="0" borderId="0"/>
    <xf numFmtId="0" fontId="262" fillId="0" borderId="0"/>
    <xf numFmtId="4" fontId="12" fillId="58" borderId="0" applyNumberFormat="0" applyFont="0" applyBorder="0" applyAlignment="0" applyProtection="0"/>
    <xf numFmtId="0" fontId="267" fillId="34" borderId="0" applyNumberFormat="0" applyFont="0" applyBorder="0" applyAlignment="0" applyProtection="0"/>
    <xf numFmtId="0" fontId="12" fillId="58" borderId="0" applyNumberFormat="0" applyFont="0" applyBorder="0" applyAlignment="0" applyProtection="0"/>
    <xf numFmtId="0" fontId="108" fillId="58" borderId="1"/>
    <xf numFmtId="0" fontId="268" fillId="0" borderId="0" applyNumberFormat="0" applyFill="0" applyBorder="0" applyAlignment="0" applyProtection="0"/>
    <xf numFmtId="0" fontId="108" fillId="0" borderId="0"/>
    <xf numFmtId="9" fontId="10" fillId="0" borderId="0" applyFont="0" applyFill="0" applyBorder="0" applyAlignment="0" applyProtection="0"/>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98" fillId="0" borderId="0" applyFont="0" applyFill="0" applyBorder="0" applyAlignment="0" applyProtection="0">
      <alignment vertical="center"/>
    </xf>
    <xf numFmtId="9" fontId="218" fillId="0" borderId="0" applyFont="0" applyFill="0" applyBorder="0" applyAlignment="0" applyProtection="0">
      <alignment vertical="center"/>
    </xf>
    <xf numFmtId="9" fontId="10" fillId="0" borderId="0" applyFont="0" applyFill="0" applyBorder="0" applyAlignment="0" applyProtection="0"/>
    <xf numFmtId="9" fontId="218"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218"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69" fillId="0" borderId="0" applyNumberFormat="0" applyFill="0" applyBorder="0" applyAlignment="0" applyProtection="0">
      <alignment vertical="center"/>
    </xf>
    <xf numFmtId="0" fontId="25" fillId="0" borderId="0" applyNumberFormat="0" applyFill="0" applyBorder="0" applyAlignment="0" applyProtection="0">
      <alignment vertical="top"/>
      <protection locked="0"/>
    </xf>
    <xf numFmtId="0" fontId="270" fillId="0" borderId="0" applyNumberFormat="0" applyFill="0" applyAlignment="0" applyProtection="0">
      <alignment horizontal="left" vertical="center" wrapText="1"/>
    </xf>
    <xf numFmtId="0" fontId="269" fillId="0" borderId="0" applyNumberFormat="0" applyFill="0" applyBorder="0" applyAlignment="0" applyProtection="0">
      <alignment vertical="center"/>
    </xf>
    <xf numFmtId="38" fontId="10" fillId="0" borderId="0" applyFont="0" applyFill="0" applyBorder="0" applyAlignment="0" applyProtection="0"/>
    <xf numFmtId="38" fontId="10" fillId="0" borderId="0" applyFont="0" applyFill="0" applyBorder="0" applyAlignment="0" applyProtection="0">
      <alignment vertical="center"/>
    </xf>
    <xf numFmtId="38" fontId="98" fillId="0" borderId="0" applyFont="0" applyFill="0" applyBorder="0" applyAlignment="0" applyProtection="0">
      <alignment vertical="center"/>
    </xf>
    <xf numFmtId="38" fontId="218" fillId="0" borderId="0" applyFont="0" applyFill="0" applyBorder="0" applyAlignment="0" applyProtection="0">
      <alignment vertical="center"/>
    </xf>
    <xf numFmtId="38" fontId="10" fillId="0" borderId="0" applyFont="0" applyFill="0" applyBorder="0" applyAlignment="0" applyProtection="0"/>
    <xf numFmtId="38" fontId="218" fillId="0" borderId="0" applyFont="0" applyFill="0" applyBorder="0" applyAlignment="0" applyProtection="0">
      <alignment vertical="center"/>
    </xf>
    <xf numFmtId="38" fontId="10" fillId="0" borderId="0" applyFont="0" applyFill="0" applyBorder="0" applyAlignment="0" applyProtection="0"/>
    <xf numFmtId="38" fontId="10" fillId="0" borderId="0" applyFont="0" applyFill="0" applyBorder="0" applyAlignment="0" applyProtection="0"/>
    <xf numFmtId="38" fontId="218" fillId="0" borderId="0" applyFont="0" applyFill="0" applyBorder="0" applyAlignment="0" applyProtection="0">
      <alignment vertical="center"/>
    </xf>
    <xf numFmtId="38" fontId="10" fillId="0" borderId="0" applyFont="0" applyFill="0" applyBorder="0" applyAlignment="0" applyProtection="0"/>
    <xf numFmtId="38" fontId="10" fillId="0" borderId="0" applyFont="0" applyFill="0" applyBorder="0" applyAlignment="0" applyProtection="0"/>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5" fillId="0" borderId="0">
      <alignment vertical="center"/>
    </xf>
    <xf numFmtId="0" fontId="242" fillId="0" borderId="0"/>
    <xf numFmtId="0" fontId="218" fillId="0" borderId="0">
      <alignment vertical="center"/>
    </xf>
    <xf numFmtId="0" fontId="5"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5" fillId="0" borderId="0">
      <alignment vertical="center"/>
    </xf>
    <xf numFmtId="0" fontId="5" fillId="0" borderId="0"/>
    <xf numFmtId="0" fontId="242" fillId="0" borderId="0"/>
    <xf numFmtId="0" fontId="10" fillId="0" borderId="0"/>
    <xf numFmtId="0" fontId="5"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18" fillId="0" borderId="0">
      <alignment vertical="center"/>
    </xf>
    <xf numFmtId="0" fontId="271" fillId="0" borderId="0"/>
    <xf numFmtId="0" fontId="256" fillId="0" borderId="0">
      <alignment vertical="center"/>
    </xf>
    <xf numFmtId="0" fontId="10" fillId="0" borderId="0"/>
    <xf numFmtId="0" fontId="256" fillId="0" borderId="0">
      <alignment vertical="center"/>
    </xf>
    <xf numFmtId="0" fontId="12" fillId="0" borderId="0"/>
    <xf numFmtId="0" fontId="218" fillId="0" borderId="0">
      <alignment vertical="center"/>
    </xf>
    <xf numFmtId="0" fontId="218" fillId="0" borderId="0">
      <alignment vertical="center"/>
    </xf>
    <xf numFmtId="0" fontId="218"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10" fillId="0" borderId="0">
      <alignment vertical="center"/>
    </xf>
    <xf numFmtId="0" fontId="5" fillId="0" borderId="0">
      <alignment vertical="center"/>
    </xf>
    <xf numFmtId="0" fontId="5" fillId="0" borderId="0">
      <alignment vertical="center"/>
    </xf>
    <xf numFmtId="1" fontId="11"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256" fillId="0" borderId="0">
      <alignment vertical="center"/>
    </xf>
    <xf numFmtId="0" fontId="256" fillId="0" borderId="0">
      <alignment vertical="center"/>
    </xf>
  </cellStyleXfs>
  <cellXfs count="530">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38" fontId="0" fillId="0" borderId="0" xfId="1" applyFont="1">
      <alignment vertical="center"/>
    </xf>
    <xf numFmtId="176" fontId="0" fillId="0" borderId="0" xfId="1" applyNumberFormat="1" applyFont="1">
      <alignment vertical="center"/>
    </xf>
    <xf numFmtId="0" fontId="0" fillId="0" borderId="1" xfId="0" applyBorder="1">
      <alignment vertical="center"/>
    </xf>
    <xf numFmtId="38" fontId="0" fillId="0" borderId="2" xfId="0" applyNumberFormat="1" applyBorder="1">
      <alignment vertical="center"/>
    </xf>
    <xf numFmtId="38" fontId="0" fillId="0" borderId="4" xfId="0" applyNumberFormat="1" applyBorder="1">
      <alignment vertical="center"/>
    </xf>
    <xf numFmtId="38" fontId="0" fillId="0" borderId="1" xfId="0" applyNumberFormat="1" applyBorder="1">
      <alignment vertical="center"/>
    </xf>
    <xf numFmtId="9" fontId="0" fillId="0" borderId="4" xfId="2" applyFont="1" applyBorder="1">
      <alignment vertical="center"/>
    </xf>
    <xf numFmtId="0" fontId="0" fillId="0" borderId="4" xfId="0" applyBorder="1" applyAlignment="1">
      <alignment vertical="center" wrapText="1"/>
    </xf>
    <xf numFmtId="0" fontId="0" fillId="0" borderId="2" xfId="0" applyBorder="1" applyAlignment="1">
      <alignment vertical="center" wrapText="1"/>
    </xf>
    <xf numFmtId="0" fontId="7" fillId="0" borderId="1" xfId="0" applyFont="1" applyFill="1" applyBorder="1">
      <alignment vertical="center"/>
    </xf>
    <xf numFmtId="0" fontId="9" fillId="0" borderId="0" xfId="0" applyFont="1" applyFill="1">
      <alignment vertical="center"/>
    </xf>
    <xf numFmtId="0" fontId="0" fillId="0" borderId="0" xfId="0" applyFill="1">
      <alignment vertical="center"/>
    </xf>
    <xf numFmtId="38" fontId="9" fillId="0" borderId="1" xfId="0" applyNumberFormat="1" applyFont="1" applyFill="1" applyBorder="1" applyAlignment="1">
      <alignment vertical="center" wrapText="1"/>
    </xf>
    <xf numFmtId="0" fontId="0" fillId="0" borderId="1" xfId="0" applyFill="1" applyBorder="1">
      <alignment vertical="center"/>
    </xf>
    <xf numFmtId="0" fontId="5" fillId="0" borderId="1" xfId="0" applyFont="1" applyFill="1" applyBorder="1">
      <alignment vertical="center"/>
    </xf>
    <xf numFmtId="0" fontId="5" fillId="0" borderId="0" xfId="0" applyFont="1" applyFill="1">
      <alignment vertical="center"/>
    </xf>
    <xf numFmtId="0" fontId="0" fillId="0" borderId="1" xfId="0" applyFont="1" applyFill="1" applyBorder="1">
      <alignment vertical="center"/>
    </xf>
    <xf numFmtId="0" fontId="4" fillId="0" borderId="0" xfId="0" applyFont="1" applyFill="1">
      <alignment vertical="center"/>
    </xf>
    <xf numFmtId="0" fontId="0" fillId="0" borderId="1" xfId="0" quotePrefix="1" applyFill="1" applyBorder="1" applyAlignment="1">
      <alignment vertical="center" wrapText="1"/>
    </xf>
    <xf numFmtId="0" fontId="0" fillId="0" borderId="1" xfId="0" quotePrefix="1" applyFill="1" applyBorder="1" applyAlignment="1">
      <alignment vertical="center"/>
    </xf>
    <xf numFmtId="0" fontId="0" fillId="0" borderId="2" xfId="0" applyBorder="1" applyAlignment="1">
      <alignment horizontal="center" vertical="center"/>
    </xf>
    <xf numFmtId="0" fontId="0" fillId="2" borderId="4" xfId="0" applyFill="1" applyBorder="1" applyAlignment="1">
      <alignment vertical="center" wrapText="1"/>
    </xf>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38" fontId="9" fillId="2" borderId="1" xfId="0" applyNumberFormat="1" applyFont="1" applyFill="1" applyBorder="1" applyAlignment="1">
      <alignment vertical="center" wrapText="1"/>
    </xf>
    <xf numFmtId="38" fontId="0" fillId="0" borderId="1" xfId="0" applyNumberFormat="1" applyBorder="1" applyAlignment="1">
      <alignment horizontal="right" vertical="center"/>
    </xf>
    <xf numFmtId="0" fontId="0" fillId="0" borderId="0" xfId="0">
      <alignment vertical="center"/>
    </xf>
    <xf numFmtId="0" fontId="10" fillId="0" borderId="1" xfId="3" applyFill="1" applyBorder="1" applyAlignment="1">
      <alignment vertical="center" shrinkToFit="1"/>
    </xf>
    <xf numFmtId="0" fontId="0" fillId="0" borderId="1" xfId="0" applyFill="1" applyBorder="1" applyAlignment="1">
      <alignment vertical="center"/>
    </xf>
    <xf numFmtId="0" fontId="9" fillId="0" borderId="1" xfId="0" applyFont="1" applyFill="1" applyBorder="1" applyAlignment="1">
      <alignment vertical="center" wrapText="1"/>
    </xf>
    <xf numFmtId="0" fontId="9" fillId="0" borderId="1" xfId="0" applyFont="1" applyFill="1" applyBorder="1" applyAlignment="1">
      <alignment vertical="center"/>
    </xf>
    <xf numFmtId="229" fontId="0" fillId="0" borderId="1" xfId="0" applyNumberFormat="1" applyFill="1" applyBorder="1" applyAlignment="1">
      <alignment vertical="center" wrapText="1"/>
    </xf>
    <xf numFmtId="0" fontId="0" fillId="2" borderId="4" xfId="0" applyFill="1" applyBorder="1" applyAlignment="1">
      <alignment vertical="center"/>
    </xf>
    <xf numFmtId="9" fontId="0" fillId="2" borderId="4" xfId="2" applyFont="1" applyFill="1" applyBorder="1" applyAlignment="1">
      <alignment vertical="center"/>
    </xf>
    <xf numFmtId="38" fontId="0" fillId="0" borderId="1" xfId="1" applyFont="1" applyFill="1" applyBorder="1" applyAlignment="1">
      <alignment vertical="center"/>
    </xf>
    <xf numFmtId="176" fontId="0" fillId="0" borderId="1" xfId="1" applyNumberFormat="1" applyFont="1" applyFill="1" applyBorder="1" applyAlignment="1">
      <alignment vertical="center"/>
    </xf>
    <xf numFmtId="0" fontId="10" fillId="0" borderId="1" xfId="3" applyFill="1" applyBorder="1" applyAlignment="1">
      <alignment vertical="center"/>
    </xf>
    <xf numFmtId="0" fontId="10" fillId="0" borderId="1" xfId="3" applyNumberFormat="1" applyFill="1" applyBorder="1" applyAlignment="1">
      <alignment vertical="center"/>
    </xf>
    <xf numFmtId="0" fontId="0" fillId="2" borderId="1" xfId="0" applyFill="1" applyBorder="1" applyAlignment="1">
      <alignment vertical="center"/>
    </xf>
    <xf numFmtId="9" fontId="0" fillId="2" borderId="1" xfId="2" applyFont="1" applyFill="1" applyBorder="1" applyAlignment="1">
      <alignment vertical="center"/>
    </xf>
    <xf numFmtId="9" fontId="9" fillId="2" borderId="1" xfId="2" applyFont="1" applyFill="1" applyBorder="1" applyAlignment="1">
      <alignment vertical="center"/>
    </xf>
    <xf numFmtId="0" fontId="9" fillId="2" borderId="1" xfId="0" applyFont="1" applyFill="1" applyBorder="1" applyAlignment="1">
      <alignment vertical="center"/>
    </xf>
    <xf numFmtId="38" fontId="5" fillId="0" borderId="1" xfId="1" applyFont="1" applyFill="1" applyBorder="1" applyAlignment="1">
      <alignment vertical="center"/>
    </xf>
    <xf numFmtId="0" fontId="5" fillId="2" borderId="1" xfId="0" applyFont="1" applyFill="1" applyBorder="1" applyAlignment="1">
      <alignment vertical="center"/>
    </xf>
    <xf numFmtId="0" fontId="5" fillId="0" borderId="1" xfId="0" applyFont="1" applyFill="1" applyBorder="1" applyAlignment="1">
      <alignment vertical="center"/>
    </xf>
    <xf numFmtId="9" fontId="5" fillId="2" borderId="1" xfId="2" applyFont="1" applyFill="1" applyBorder="1" applyAlignment="1">
      <alignment vertical="center"/>
    </xf>
    <xf numFmtId="176" fontId="0" fillId="0" borderId="4" xfId="1" applyNumberFormat="1" applyFont="1" applyBorder="1" applyAlignment="1">
      <alignment vertical="center"/>
    </xf>
    <xf numFmtId="176" fontId="0" fillId="0" borderId="2" xfId="1" applyNumberFormat="1" applyFont="1" applyBorder="1" applyAlignment="1">
      <alignment vertical="center"/>
    </xf>
    <xf numFmtId="9" fontId="0" fillId="0" borderId="0" xfId="0" applyNumberFormat="1">
      <alignment vertical="center"/>
    </xf>
    <xf numFmtId="0" fontId="0" fillId="83" borderId="6" xfId="0" applyFill="1" applyBorder="1" applyAlignment="1">
      <alignment vertical="center"/>
    </xf>
    <xf numFmtId="0" fontId="0" fillId="83" borderId="7" xfId="0" applyFill="1" applyBorder="1" applyAlignment="1">
      <alignment vertical="center"/>
    </xf>
    <xf numFmtId="0" fontId="0" fillId="83" borderId="58" xfId="0" applyFill="1" applyBorder="1" applyAlignment="1">
      <alignment vertical="center"/>
    </xf>
    <xf numFmtId="0" fontId="0" fillId="83" borderId="59" xfId="0" applyFill="1" applyBorder="1" applyAlignment="1">
      <alignment vertical="center"/>
    </xf>
    <xf numFmtId="0" fontId="0" fillId="2" borderId="60" xfId="0" applyFill="1" applyBorder="1" applyAlignment="1">
      <alignment vertical="center" wrapText="1"/>
    </xf>
    <xf numFmtId="0" fontId="4" fillId="2" borderId="64" xfId="0" applyFont="1" applyFill="1" applyBorder="1" applyAlignment="1">
      <alignment vertical="center" wrapText="1"/>
    </xf>
    <xf numFmtId="0" fontId="2" fillId="0" borderId="64" xfId="0" applyFont="1" applyFill="1" applyBorder="1" applyAlignment="1">
      <alignment vertical="center" wrapText="1"/>
    </xf>
    <xf numFmtId="0" fontId="5" fillId="2" borderId="64" xfId="0" applyFont="1" applyFill="1" applyBorder="1" applyAlignment="1">
      <alignment vertical="center" wrapText="1"/>
    </xf>
    <xf numFmtId="0" fontId="0" fillId="2" borderId="20" xfId="0" applyFill="1" applyBorder="1" applyAlignment="1">
      <alignment vertical="center"/>
    </xf>
    <xf numFmtId="0" fontId="9" fillId="2" borderId="64" xfId="0" applyFont="1" applyFill="1" applyBorder="1" applyAlignment="1">
      <alignment vertical="center" wrapText="1"/>
    </xf>
    <xf numFmtId="0" fontId="0" fillId="0" borderId="60" xfId="0" applyBorder="1" applyAlignment="1">
      <alignment vertical="center" wrapText="1"/>
    </xf>
    <xf numFmtId="0" fontId="0" fillId="0" borderId="66" xfId="0" applyBorder="1" applyAlignment="1">
      <alignment vertical="center" wrapText="1"/>
    </xf>
    <xf numFmtId="0" fontId="4" fillId="2" borderId="69" xfId="0" applyFont="1" applyFill="1" applyBorder="1" applyAlignment="1">
      <alignment vertical="center" wrapText="1"/>
    </xf>
    <xf numFmtId="38" fontId="6" fillId="2" borderId="38" xfId="1" applyFont="1" applyFill="1" applyBorder="1" applyAlignment="1">
      <alignment vertical="center"/>
    </xf>
    <xf numFmtId="38" fontId="8" fillId="2" borderId="59" xfId="1" applyFont="1" applyFill="1" applyBorder="1" applyAlignment="1">
      <alignment vertical="center"/>
    </xf>
    <xf numFmtId="38" fontId="6" fillId="2" borderId="59" xfId="1" applyFont="1" applyFill="1" applyBorder="1" applyAlignment="1">
      <alignment vertical="center"/>
    </xf>
    <xf numFmtId="0" fontId="0" fillId="2" borderId="60" xfId="0" applyFill="1" applyBorder="1" applyAlignment="1">
      <alignment vertical="center"/>
    </xf>
    <xf numFmtId="0" fontId="0" fillId="2" borderId="64" xfId="0" applyFill="1" applyBorder="1" applyAlignment="1">
      <alignment vertical="center"/>
    </xf>
    <xf numFmtId="0" fontId="7" fillId="2" borderId="64" xfId="0" applyFont="1" applyFill="1" applyBorder="1" applyAlignment="1">
      <alignment vertical="center"/>
    </xf>
    <xf numFmtId="0" fontId="5" fillId="2" borderId="64" xfId="0" applyFont="1" applyFill="1" applyBorder="1" applyAlignment="1">
      <alignment vertical="center"/>
    </xf>
    <xf numFmtId="0" fontId="0" fillId="0" borderId="70"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73" xfId="0" applyBorder="1" applyAlignment="1">
      <alignment vertical="center" wrapText="1"/>
    </xf>
    <xf numFmtId="0" fontId="0" fillId="0" borderId="73" xfId="0" applyBorder="1" applyAlignment="1">
      <alignment vertical="center"/>
    </xf>
    <xf numFmtId="0" fontId="0" fillId="0" borderId="74" xfId="0" applyBorder="1" applyAlignment="1">
      <alignment vertical="center" wrapText="1"/>
    </xf>
    <xf numFmtId="0" fontId="259" fillId="0" borderId="1" xfId="0" applyFont="1" applyFill="1" applyBorder="1" applyAlignment="1">
      <alignment vertical="center" wrapText="1"/>
    </xf>
    <xf numFmtId="0" fontId="0" fillId="0" borderId="4" xfId="0" applyBorder="1" applyAlignment="1">
      <alignment vertical="center"/>
    </xf>
    <xf numFmtId="0" fontId="0" fillId="0" borderId="5" xfId="0" applyFill="1" applyBorder="1">
      <alignment vertical="center"/>
    </xf>
    <xf numFmtId="9" fontId="0" fillId="0" borderId="2" xfId="2" applyFont="1" applyBorder="1">
      <alignment vertical="center"/>
    </xf>
    <xf numFmtId="0" fontId="260" fillId="0" borderId="64" xfId="0" applyFont="1" applyFill="1" applyBorder="1" applyAlignment="1">
      <alignment vertical="center" wrapText="1"/>
    </xf>
    <xf numFmtId="38" fontId="0" fillId="0" borderId="38" xfId="1" applyFont="1" applyBorder="1" applyAlignment="1">
      <alignment vertical="center"/>
    </xf>
    <xf numFmtId="38" fontId="0" fillId="0" borderId="78" xfId="1" applyFont="1" applyBorder="1" applyAlignment="1">
      <alignment vertical="center"/>
    </xf>
    <xf numFmtId="0" fontId="7" fillId="2" borderId="20" xfId="0" applyFont="1" applyFill="1" applyBorder="1" applyAlignment="1">
      <alignment vertical="center"/>
    </xf>
    <xf numFmtId="0" fontId="5" fillId="2" borderId="20" xfId="0" applyFont="1" applyFill="1" applyBorder="1" applyAlignment="1">
      <alignment vertical="center"/>
    </xf>
    <xf numFmtId="0" fontId="7" fillId="2" borderId="64" xfId="0" applyFont="1" applyFill="1" applyBorder="1" applyAlignment="1">
      <alignment vertical="center" wrapText="1"/>
    </xf>
    <xf numFmtId="0" fontId="0" fillId="2" borderId="64" xfId="0" applyFont="1" applyFill="1" applyBorder="1" applyAlignment="1">
      <alignment vertical="center"/>
    </xf>
    <xf numFmtId="0" fontId="0" fillId="2" borderId="63" xfId="0" applyFill="1" applyBorder="1" applyAlignment="1">
      <alignment vertical="center"/>
    </xf>
    <xf numFmtId="176" fontId="0" fillId="0" borderId="53" xfId="1" applyNumberFormat="1" applyFont="1" applyFill="1" applyBorder="1" applyAlignment="1">
      <alignment vertical="center"/>
    </xf>
    <xf numFmtId="38" fontId="0" fillId="0" borderId="53" xfId="1" applyFont="1" applyFill="1" applyBorder="1" applyAlignment="1">
      <alignment vertical="center"/>
    </xf>
    <xf numFmtId="0" fontId="0" fillId="0" borderId="53" xfId="0" applyFill="1" applyBorder="1" applyAlignment="1">
      <alignment vertical="center"/>
    </xf>
    <xf numFmtId="38" fontId="6" fillId="2" borderId="59" xfId="1" quotePrefix="1" applyFont="1" applyFill="1" applyBorder="1" applyAlignment="1">
      <alignment vertical="center"/>
    </xf>
    <xf numFmtId="0" fontId="0" fillId="2" borderId="1" xfId="0" quotePrefix="1" applyFill="1" applyBorder="1" applyAlignment="1">
      <alignment vertical="center" wrapText="1"/>
    </xf>
    <xf numFmtId="0" fontId="0" fillId="2" borderId="1" xfId="0" quotePrefix="1" applyFill="1" applyBorder="1" applyAlignment="1">
      <alignment vertical="center"/>
    </xf>
    <xf numFmtId="38" fontId="9" fillId="0" borderId="1" xfId="1" applyFont="1" applyFill="1" applyBorder="1" applyAlignment="1">
      <alignment vertical="center"/>
    </xf>
    <xf numFmtId="38" fontId="9" fillId="0" borderId="1" xfId="0" applyNumberFormat="1" applyFont="1" applyFill="1" applyBorder="1" applyAlignment="1">
      <alignment vertical="center"/>
    </xf>
    <xf numFmtId="38" fontId="0" fillId="0" borderId="1" xfId="1" applyFont="1" applyFill="1" applyBorder="1" applyAlignment="1">
      <alignment vertical="center" wrapText="1"/>
    </xf>
    <xf numFmtId="0" fontId="258" fillId="0" borderId="1" xfId="0" applyFont="1" applyFill="1" applyBorder="1" applyAlignment="1">
      <alignment vertical="center" wrapText="1"/>
    </xf>
    <xf numFmtId="38" fontId="0" fillId="0" borderId="1" xfId="1" quotePrefix="1" applyFont="1" applyFill="1" applyBorder="1" applyAlignment="1">
      <alignment vertical="center"/>
    </xf>
    <xf numFmtId="10" fontId="0" fillId="0" borderId="1" xfId="2" quotePrefix="1" applyNumberFormat="1" applyFont="1" applyFill="1" applyBorder="1" applyAlignment="1">
      <alignment vertical="center"/>
    </xf>
    <xf numFmtId="0" fontId="0" fillId="2" borderId="1" xfId="0" quotePrefix="1"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0" fillId="0" borderId="64" xfId="0" applyFill="1" applyBorder="1" applyAlignment="1">
      <alignment vertical="center" wrapText="1"/>
    </xf>
    <xf numFmtId="0" fontId="5" fillId="0" borderId="64" xfId="0" applyFont="1" applyFill="1" applyBorder="1" applyAlignment="1">
      <alignment vertical="center" wrapText="1"/>
    </xf>
    <xf numFmtId="0" fontId="0" fillId="0" borderId="2" xfId="0" applyBorder="1" applyAlignment="1">
      <alignment vertical="center"/>
    </xf>
    <xf numFmtId="0" fontId="0" fillId="2" borderId="1" xfId="0" applyFill="1" applyBorder="1" applyAlignment="1">
      <alignment vertical="center" wrapText="1"/>
    </xf>
    <xf numFmtId="0" fontId="0" fillId="2" borderId="64" xfId="0" applyFill="1" applyBorder="1" applyAlignment="1">
      <alignment vertical="center" wrapText="1"/>
    </xf>
    <xf numFmtId="0" fontId="0" fillId="0" borderId="53" xfId="0" applyFill="1" applyBorder="1" applyAlignment="1">
      <alignment vertical="center" wrapText="1"/>
    </xf>
    <xf numFmtId="0" fontId="10" fillId="0" borderId="1" xfId="1660" applyFont="1" applyFill="1" applyBorder="1" applyAlignment="1">
      <alignment horizontal="left"/>
    </xf>
    <xf numFmtId="176" fontId="0" fillId="0" borderId="1" xfId="1" applyNumberFormat="1" applyFont="1" applyFill="1" applyBorder="1" applyAlignment="1">
      <alignment horizontal="left" vertical="center"/>
    </xf>
    <xf numFmtId="0" fontId="10" fillId="0" borderId="1" xfId="3" applyNumberFormat="1" applyFill="1" applyBorder="1" applyAlignment="1">
      <alignment horizontal="left" vertical="center"/>
    </xf>
    <xf numFmtId="0" fontId="9" fillId="0" borderId="1" xfId="0" applyFont="1" applyFill="1" applyBorder="1" applyAlignment="1">
      <alignment horizontal="left" vertical="center" wrapText="1"/>
    </xf>
    <xf numFmtId="0" fontId="5" fillId="0" borderId="58" xfId="1550" applyBorder="1" applyAlignment="1">
      <alignment vertical="center" wrapText="1"/>
    </xf>
    <xf numFmtId="40" fontId="10" fillId="0" borderId="1" xfId="1" applyNumberFormat="1" applyFont="1" applyFill="1" applyBorder="1">
      <alignment vertical="center"/>
    </xf>
    <xf numFmtId="9" fontId="9" fillId="84" borderId="1" xfId="2" applyFont="1" applyFill="1" applyBorder="1" applyAlignment="1">
      <alignment vertical="center"/>
    </xf>
    <xf numFmtId="38" fontId="9" fillId="84" borderId="59" xfId="1" applyFont="1" applyFill="1" applyBorder="1" applyAlignment="1">
      <alignment vertical="center"/>
    </xf>
    <xf numFmtId="9" fontId="0" fillId="84" borderId="1" xfId="2" applyFont="1" applyFill="1" applyBorder="1" applyAlignment="1">
      <alignment vertical="center"/>
    </xf>
    <xf numFmtId="38" fontId="0" fillId="84" borderId="77" xfId="1" applyFont="1" applyFill="1" applyBorder="1" applyAlignment="1">
      <alignment vertical="center"/>
    </xf>
    <xf numFmtId="9" fontId="5" fillId="84" borderId="1" xfId="2" applyFont="1" applyFill="1" applyBorder="1" applyAlignment="1">
      <alignment vertical="center"/>
    </xf>
    <xf numFmtId="38" fontId="6" fillId="84" borderId="59" xfId="1" applyFont="1" applyFill="1" applyBorder="1" applyAlignment="1">
      <alignment vertical="center"/>
    </xf>
    <xf numFmtId="38" fontId="5" fillId="84" borderId="59" xfId="1" applyFont="1" applyFill="1" applyBorder="1" applyAlignment="1">
      <alignment vertical="center"/>
    </xf>
    <xf numFmtId="38" fontId="0" fillId="84" borderId="59" xfId="1" quotePrefix="1" applyFont="1" applyFill="1" applyBorder="1" applyAlignment="1">
      <alignment vertical="center"/>
    </xf>
    <xf numFmtId="9" fontId="0" fillId="84" borderId="4" xfId="2" applyFont="1" applyFill="1" applyBorder="1" applyAlignment="1">
      <alignment vertical="center"/>
    </xf>
    <xf numFmtId="38" fontId="0" fillId="84" borderId="59" xfId="1" applyFont="1" applyFill="1" applyBorder="1" applyAlignment="1">
      <alignment vertical="center"/>
    </xf>
    <xf numFmtId="0" fontId="10" fillId="0" borderId="1" xfId="1660" applyFont="1" applyFill="1" applyBorder="1" applyAlignment="1"/>
    <xf numFmtId="0" fontId="10" fillId="0" borderId="1" xfId="1660" applyNumberFormat="1" applyFont="1" applyFill="1" applyBorder="1">
      <alignment vertical="center"/>
    </xf>
    <xf numFmtId="229" fontId="0" fillId="0" borderId="1" xfId="0" applyNumberFormat="1" applyFill="1" applyBorder="1" applyAlignment="1">
      <alignment vertical="center"/>
    </xf>
    <xf numFmtId="9" fontId="0" fillId="84" borderId="70" xfId="2" applyFont="1" applyFill="1" applyBorder="1" applyAlignment="1">
      <alignment vertical="center"/>
    </xf>
    <xf numFmtId="0" fontId="0" fillId="0" borderId="0" xfId="0">
      <alignment vertical="center"/>
    </xf>
    <xf numFmtId="0" fontId="10" fillId="0" borderId="1" xfId="1660" applyFont="1" applyFill="1" applyBorder="1" applyAlignment="1">
      <alignment horizontal="left" vertical="center"/>
    </xf>
    <xf numFmtId="38" fontId="0" fillId="0" borderId="1" xfId="1" applyFont="1" applyFill="1" applyBorder="1">
      <alignment vertical="center"/>
    </xf>
    <xf numFmtId="38" fontId="7" fillId="0" borderId="1" xfId="1" applyFont="1" applyFill="1" applyBorder="1" applyAlignment="1">
      <alignment vertical="center" wrapText="1"/>
    </xf>
    <xf numFmtId="0" fontId="10" fillId="0" borderId="1" xfId="1660" applyFont="1" applyFill="1" applyBorder="1">
      <alignment vertical="center"/>
    </xf>
    <xf numFmtId="0" fontId="0" fillId="0" borderId="1" xfId="0" quotePrefix="1" applyFill="1" applyBorder="1" applyAlignment="1">
      <alignment horizontal="center" vertical="center"/>
    </xf>
    <xf numFmtId="0" fontId="0" fillId="0" borderId="1" xfId="0" applyFill="1" applyBorder="1" applyAlignment="1">
      <alignment vertical="center" wrapText="1"/>
    </xf>
    <xf numFmtId="0" fontId="4" fillId="0" borderId="0" xfId="0" applyFont="1" applyFill="1">
      <alignment vertical="center"/>
    </xf>
    <xf numFmtId="0" fontId="9" fillId="0" borderId="1" xfId="0" applyFont="1" applyFill="1" applyBorder="1">
      <alignment vertical="center"/>
    </xf>
    <xf numFmtId="0" fontId="0" fillId="0" borderId="1" xfId="0" quotePrefix="1" applyFill="1" applyBorder="1" applyAlignment="1">
      <alignment horizontal="left" vertical="center"/>
    </xf>
    <xf numFmtId="0" fontId="10" fillId="0" borderId="1" xfId="3" applyFont="1" applyFill="1" applyBorder="1">
      <alignment vertical="center"/>
    </xf>
    <xf numFmtId="0" fontId="10" fillId="0" borderId="58" xfId="1661" applyFont="1" applyFill="1" applyBorder="1" applyAlignment="1">
      <alignment vertical="center"/>
    </xf>
    <xf numFmtId="0" fontId="10" fillId="0" borderId="1" xfId="1661" applyNumberFormat="1" applyFont="1" applyFill="1" applyBorder="1">
      <alignment vertical="center"/>
    </xf>
    <xf numFmtId="0" fontId="0" fillId="0" borderId="0" xfId="0" applyFill="1">
      <alignment vertical="center"/>
    </xf>
    <xf numFmtId="0" fontId="10" fillId="0" borderId="4" xfId="3" applyFont="1" applyFill="1" applyBorder="1">
      <alignment vertical="center"/>
    </xf>
    <xf numFmtId="0" fontId="10" fillId="0" borderId="5" xfId="3" applyFill="1" applyBorder="1">
      <alignment vertical="center"/>
    </xf>
    <xf numFmtId="0" fontId="0" fillId="0" borderId="0" xfId="0" applyFill="1">
      <alignment vertical="center"/>
    </xf>
    <xf numFmtId="0" fontId="10" fillId="0" borderId="1" xfId="3" applyFill="1" applyBorder="1">
      <alignment vertical="center"/>
    </xf>
    <xf numFmtId="0" fontId="10" fillId="0" borderId="4" xfId="3" applyFill="1" applyBorder="1">
      <alignment vertical="center"/>
    </xf>
    <xf numFmtId="229" fontId="10" fillId="0" borderId="1" xfId="3" applyNumberFormat="1" applyFill="1" applyBorder="1">
      <alignment vertical="center"/>
    </xf>
    <xf numFmtId="0" fontId="0" fillId="0" borderId="1" xfId="0" applyFill="1" applyBorder="1" applyAlignment="1">
      <alignment horizontal="left" vertical="center" wrapText="1"/>
    </xf>
    <xf numFmtId="0" fontId="5" fillId="0" borderId="1" xfId="1550" applyBorder="1" applyAlignment="1">
      <alignment vertical="center"/>
    </xf>
    <xf numFmtId="0" fontId="5" fillId="0" borderId="58" xfId="1550" applyBorder="1" applyAlignment="1">
      <alignment vertical="center"/>
    </xf>
    <xf numFmtId="0" fontId="5" fillId="0" borderId="1" xfId="0" applyFont="1" applyFill="1" applyBorder="1" applyAlignment="1">
      <alignment vertical="center" wrapText="1"/>
    </xf>
    <xf numFmtId="0" fontId="5" fillId="0" borderId="1" xfId="0" applyFont="1" applyFill="1" applyBorder="1">
      <alignment vertical="center"/>
    </xf>
    <xf numFmtId="38" fontId="5" fillId="0" borderId="1" xfId="1" applyFont="1" applyFill="1" applyBorder="1">
      <alignment vertical="center"/>
    </xf>
    <xf numFmtId="0" fontId="10" fillId="0" borderId="1" xfId="1661" applyFont="1" applyFill="1" applyBorder="1" applyAlignment="1">
      <alignment vertical="center"/>
    </xf>
    <xf numFmtId="0" fontId="10" fillId="0" borderId="1" xfId="3" applyFont="1" applyFill="1" applyBorder="1" applyAlignment="1">
      <alignment vertical="center"/>
    </xf>
    <xf numFmtId="0" fontId="10" fillId="0" borderId="1" xfId="1660" applyFont="1" applyFill="1" applyBorder="1" applyAlignment="1">
      <alignment vertical="center"/>
    </xf>
    <xf numFmtId="0" fontId="98" fillId="0" borderId="81" xfId="1661" applyFont="1" applyFill="1" applyBorder="1" applyAlignment="1">
      <alignment vertical="center"/>
    </xf>
    <xf numFmtId="0" fontId="10" fillId="0" borderId="81" xfId="1661" applyFont="1" applyFill="1" applyBorder="1" applyAlignment="1">
      <alignment vertical="center"/>
    </xf>
    <xf numFmtId="0" fontId="98" fillId="0" borderId="1" xfId="1661" applyFont="1" applyFill="1" applyBorder="1" applyAlignment="1">
      <alignment vertical="center" shrinkToFit="1"/>
    </xf>
    <xf numFmtId="0" fontId="0" fillId="0" borderId="64" xfId="0" applyFill="1" applyBorder="1" applyAlignment="1">
      <alignment vertical="top" wrapText="1"/>
    </xf>
    <xf numFmtId="38" fontId="0" fillId="84" borderId="79" xfId="1" applyFont="1" applyFill="1" applyBorder="1" applyAlignment="1">
      <alignment vertical="center"/>
    </xf>
    <xf numFmtId="9" fontId="0" fillId="84" borderId="73" xfId="2" applyFont="1" applyFill="1" applyBorder="1" applyAlignment="1">
      <alignment vertical="center"/>
    </xf>
    <xf numFmtId="9" fontId="0" fillId="84" borderId="2" xfId="2" applyFont="1" applyFill="1" applyBorder="1" applyAlignment="1">
      <alignment vertical="center"/>
    </xf>
    <xf numFmtId="176" fontId="0" fillId="0" borderId="73" xfId="1" applyNumberFormat="1" applyFont="1" applyFill="1" applyBorder="1" applyAlignment="1">
      <alignment vertical="center"/>
    </xf>
    <xf numFmtId="0" fontId="5" fillId="0" borderId="61" xfId="0" applyFont="1" applyFill="1" applyBorder="1" applyAlignment="1">
      <alignment vertical="center" wrapText="1"/>
    </xf>
    <xf numFmtId="0" fontId="5" fillId="0" borderId="60" xfId="0" applyFont="1" applyFill="1" applyBorder="1" applyAlignment="1">
      <alignment vertical="center" wrapText="1"/>
    </xf>
    <xf numFmtId="0" fontId="0" fillId="0" borderId="53" xfId="0" applyFill="1" applyBorder="1" applyAlignment="1">
      <alignment vertical="center" wrapText="1"/>
    </xf>
    <xf numFmtId="0" fontId="0" fillId="0" borderId="61" xfId="0" applyFill="1" applyBorder="1" applyAlignment="1">
      <alignment vertical="center" wrapText="1"/>
    </xf>
    <xf numFmtId="0" fontId="9" fillId="0" borderId="64" xfId="0" applyFont="1"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vertical="center"/>
    </xf>
    <xf numFmtId="0" fontId="0" fillId="2" borderId="1" xfId="0" applyFill="1" applyBorder="1" applyAlignment="1">
      <alignment vertical="center" wrapText="1"/>
    </xf>
    <xf numFmtId="0" fontId="0" fillId="2" borderId="64" xfId="0" applyFill="1" applyBorder="1" applyAlignment="1">
      <alignment vertical="center" wrapText="1"/>
    </xf>
    <xf numFmtId="0" fontId="5" fillId="0" borderId="64" xfId="0" applyFont="1" applyFill="1" applyBorder="1" applyAlignment="1">
      <alignment vertical="center" wrapText="1"/>
    </xf>
    <xf numFmtId="0" fontId="0" fillId="0" borderId="64" xfId="0" applyFill="1" applyBorder="1" applyAlignment="1">
      <alignment vertical="center" wrapText="1"/>
    </xf>
    <xf numFmtId="0" fontId="10" fillId="0" borderId="1" xfId="1660" applyNumberFormat="1" applyFont="1" applyFill="1" applyBorder="1" applyAlignment="1">
      <alignment vertical="center"/>
    </xf>
    <xf numFmtId="0" fontId="10" fillId="0" borderId="1" xfId="3" applyFill="1" applyBorder="1" applyAlignment="1">
      <alignment vertical="center" wrapText="1"/>
    </xf>
    <xf numFmtId="40" fontId="10" fillId="0" borderId="1" xfId="1" applyNumberFormat="1" applyFont="1" applyFill="1" applyBorder="1" applyAlignment="1">
      <alignment vertical="center"/>
    </xf>
    <xf numFmtId="0" fontId="10" fillId="0" borderId="1" xfId="1661" applyNumberFormat="1" applyFont="1" applyFill="1" applyBorder="1" applyAlignment="1">
      <alignment vertical="center"/>
    </xf>
    <xf numFmtId="0" fontId="10" fillId="0" borderId="4" xfId="3" applyFont="1" applyFill="1" applyBorder="1" applyAlignment="1">
      <alignment vertical="center"/>
    </xf>
    <xf numFmtId="0" fontId="10" fillId="0" borderId="4" xfId="3" applyFill="1" applyBorder="1" applyAlignment="1">
      <alignment vertical="center"/>
    </xf>
    <xf numFmtId="229" fontId="10" fillId="0" borderId="1" xfId="3" applyNumberFormat="1" applyFill="1" applyBorder="1" applyAlignment="1">
      <alignment vertical="center"/>
    </xf>
    <xf numFmtId="0" fontId="10" fillId="0" borderId="5" xfId="3" applyFill="1" applyBorder="1" applyAlignment="1">
      <alignment vertical="center"/>
    </xf>
    <xf numFmtId="38" fontId="5" fillId="0" borderId="1" xfId="1" quotePrefix="1" applyFont="1" applyFill="1" applyBorder="1" applyAlignment="1">
      <alignment vertical="center"/>
    </xf>
    <xf numFmtId="0" fontId="5" fillId="0" borderId="1" xfId="1" quotePrefix="1" applyNumberFormat="1" applyFont="1" applyFill="1" applyBorder="1" applyAlignment="1">
      <alignment vertical="center"/>
    </xf>
    <xf numFmtId="38" fontId="5" fillId="0" borderId="1" xfId="1" quotePrefix="1" applyFont="1" applyFill="1" applyBorder="1" applyAlignment="1">
      <alignment vertical="center" wrapText="1"/>
    </xf>
    <xf numFmtId="0" fontId="98" fillId="0" borderId="1" xfId="1660" applyNumberFormat="1" applyFont="1" applyFill="1" applyBorder="1" applyAlignment="1">
      <alignment vertical="center"/>
    </xf>
    <xf numFmtId="0" fontId="10" fillId="0" borderId="4" xfId="1660" applyNumberFormat="1" applyFont="1" applyFill="1" applyBorder="1" applyAlignment="1">
      <alignment horizontal="right" vertical="center"/>
    </xf>
    <xf numFmtId="0" fontId="10" fillId="0" borderId="4" xfId="1660" applyFont="1" applyFill="1" applyBorder="1" applyAlignment="1">
      <alignment vertical="center"/>
    </xf>
    <xf numFmtId="0" fontId="10" fillId="0" borderId="4" xfId="1660" applyNumberFormat="1" applyFont="1" applyFill="1" applyBorder="1" applyAlignment="1">
      <alignment vertical="center"/>
    </xf>
    <xf numFmtId="40" fontId="10" fillId="0" borderId="4" xfId="1" applyNumberFormat="1" applyFont="1" applyFill="1" applyBorder="1" applyAlignment="1">
      <alignment vertical="center"/>
    </xf>
    <xf numFmtId="0" fontId="10" fillId="0" borderId="5" xfId="1660" applyFont="1" applyFill="1" applyBorder="1" applyAlignment="1">
      <alignment horizontal="left" vertical="center"/>
    </xf>
    <xf numFmtId="0" fontId="5" fillId="0" borderId="1" xfId="0" quotePrefix="1" applyFont="1" applyFill="1" applyBorder="1" applyAlignment="1">
      <alignment vertical="center"/>
    </xf>
    <xf numFmtId="0" fontId="98" fillId="0" borderId="1" xfId="3" applyFont="1" applyFill="1" applyBorder="1" applyAlignment="1">
      <alignment vertical="center"/>
    </xf>
    <xf numFmtId="0" fontId="10" fillId="0" borderId="90" xfId="1661" applyFont="1" applyFill="1" applyBorder="1" applyAlignment="1">
      <alignment vertical="center"/>
    </xf>
    <xf numFmtId="0" fontId="10" fillId="0" borderId="90" xfId="1661" applyFont="1" applyFill="1" applyBorder="1" applyAlignment="1">
      <alignment vertical="center" wrapText="1"/>
    </xf>
    <xf numFmtId="229" fontId="0" fillId="0" borderId="1" xfId="1" applyNumberFormat="1" applyFont="1" applyFill="1" applyBorder="1" applyAlignment="1">
      <alignment vertical="center" wrapText="1"/>
    </xf>
    <xf numFmtId="229" fontId="0" fillId="0" borderId="1" xfId="0" applyNumberFormat="1" applyFill="1" applyBorder="1" applyAlignment="1">
      <alignment vertical="top" wrapText="1"/>
    </xf>
    <xf numFmtId="38" fontId="0" fillId="0" borderId="1" xfId="1" applyFont="1" applyFill="1" applyBorder="1" applyAlignment="1">
      <alignment vertical="top"/>
    </xf>
    <xf numFmtId="0" fontId="0" fillId="0" borderId="1" xfId="0" applyFont="1" applyFill="1" applyBorder="1" applyAlignment="1">
      <alignment vertical="center" wrapText="1"/>
    </xf>
    <xf numFmtId="38" fontId="5" fillId="0" borderId="1" xfId="1" applyFont="1" applyFill="1" applyBorder="1" applyAlignment="1">
      <alignment vertical="center" wrapText="1"/>
    </xf>
    <xf numFmtId="38" fontId="0" fillId="2" borderId="1" xfId="1" quotePrefix="1" applyFont="1" applyFill="1" applyBorder="1" applyAlignment="1">
      <alignment vertical="center"/>
    </xf>
    <xf numFmtId="229" fontId="0" fillId="0" borderId="1" xfId="0" quotePrefix="1" applyNumberFormat="1" applyFill="1" applyBorder="1" applyAlignment="1">
      <alignment vertical="center"/>
    </xf>
    <xf numFmtId="38" fontId="9" fillId="0" borderId="1" xfId="1" applyFont="1" applyFill="1" applyBorder="1" applyAlignment="1">
      <alignment vertical="center" wrapText="1"/>
    </xf>
    <xf numFmtId="2" fontId="9" fillId="0" borderId="1" xfId="0" applyNumberFormat="1" applyFont="1" applyFill="1" applyBorder="1" applyAlignment="1">
      <alignment vertical="center" wrapText="1"/>
    </xf>
    <xf numFmtId="2" fontId="9" fillId="0" borderId="1" xfId="1" applyNumberFormat="1" applyFont="1" applyFill="1" applyBorder="1" applyAlignment="1">
      <alignment vertical="center" wrapText="1"/>
    </xf>
    <xf numFmtId="40" fontId="9" fillId="0" borderId="1" xfId="1" applyNumberFormat="1" applyFont="1" applyFill="1" applyBorder="1" applyAlignment="1">
      <alignment vertical="center" wrapText="1"/>
    </xf>
    <xf numFmtId="176" fontId="0" fillId="0" borderId="73" xfId="1" applyNumberFormat="1" applyFont="1" applyBorder="1" applyAlignment="1">
      <alignment vertical="center"/>
    </xf>
    <xf numFmtId="0" fontId="5" fillId="0" borderId="1" xfId="1550" applyBorder="1" applyAlignment="1">
      <alignment vertical="center" wrapText="1"/>
    </xf>
    <xf numFmtId="0" fontId="10" fillId="0" borderId="1" xfId="1661" applyFont="1" applyFill="1" applyBorder="1" applyAlignment="1">
      <alignment vertical="center" shrinkToFit="1"/>
    </xf>
    <xf numFmtId="38" fontId="5" fillId="0" borderId="64" xfId="1" quotePrefix="1" applyFont="1" applyFill="1" applyBorder="1" applyAlignment="1">
      <alignment vertical="center"/>
    </xf>
    <xf numFmtId="230" fontId="10" fillId="0" borderId="1" xfId="1661" applyNumberFormat="1" applyFont="1" applyFill="1" applyBorder="1">
      <alignment vertical="center"/>
    </xf>
    <xf numFmtId="0" fontId="10" fillId="0" borderId="58" xfId="1661" applyFont="1" applyFill="1" applyBorder="1" applyAlignment="1">
      <alignment vertical="center" wrapText="1"/>
    </xf>
    <xf numFmtId="0" fontId="0" fillId="0" borderId="1" xfId="0" applyNumberFormat="1" applyFill="1" applyBorder="1" applyAlignment="1">
      <alignment vertical="center"/>
    </xf>
    <xf numFmtId="38" fontId="0" fillId="84" borderId="1" xfId="1" quotePrefix="1" applyFont="1" applyFill="1" applyBorder="1" applyAlignment="1">
      <alignment vertical="center"/>
    </xf>
    <xf numFmtId="229" fontId="0" fillId="0" borderId="1" xfId="1" applyNumberFormat="1" applyFont="1" applyFill="1" applyBorder="1" applyAlignment="1">
      <alignment vertical="center"/>
    </xf>
    <xf numFmtId="0" fontId="98" fillId="0" borderId="58" xfId="1661" applyFont="1" applyFill="1" applyBorder="1" applyAlignment="1">
      <alignment vertical="center" wrapText="1"/>
    </xf>
    <xf numFmtId="0" fontId="98" fillId="0" borderId="4" xfId="3" applyFont="1" applyFill="1" applyBorder="1" applyAlignment="1">
      <alignment vertical="center"/>
    </xf>
    <xf numFmtId="0" fontId="0" fillId="0" borderId="5" xfId="0" quotePrefix="1" applyFill="1" applyBorder="1" applyAlignment="1">
      <alignment horizontal="center" vertical="center"/>
    </xf>
    <xf numFmtId="0" fontId="98" fillId="0" borderId="5" xfId="1660" applyFont="1" applyFill="1" applyBorder="1">
      <alignment vertical="center"/>
    </xf>
    <xf numFmtId="0" fontId="0" fillId="0" borderId="5" xfId="0" quotePrefix="1" applyFill="1" applyBorder="1" applyAlignment="1">
      <alignment horizontal="left" vertical="center"/>
    </xf>
    <xf numFmtId="0" fontId="10" fillId="0" borderId="5" xfId="1660" applyFont="1" applyFill="1" applyBorder="1">
      <alignment vertical="center"/>
    </xf>
    <xf numFmtId="0" fontId="263" fillId="0" borderId="1" xfId="0" quotePrefix="1" applyFont="1" applyFill="1" applyBorder="1" applyAlignment="1">
      <alignment vertical="center"/>
    </xf>
    <xf numFmtId="0" fontId="0" fillId="0" borderId="5" xfId="0" quotePrefix="1" applyFill="1" applyBorder="1" applyAlignment="1">
      <alignment vertical="center"/>
    </xf>
    <xf numFmtId="38" fontId="0" fillId="0" borderId="5" xfId="1" quotePrefix="1" applyFont="1" applyFill="1" applyBorder="1" applyAlignment="1">
      <alignment vertical="center"/>
    </xf>
    <xf numFmtId="0" fontId="263" fillId="0" borderId="5" xfId="0" quotePrefix="1" applyFont="1" applyFill="1" applyBorder="1" applyAlignment="1">
      <alignment vertical="center"/>
    </xf>
    <xf numFmtId="0" fontId="98" fillId="0" borderId="1" xfId="1660" applyFont="1" applyFill="1" applyBorder="1" applyAlignment="1">
      <alignment vertical="center"/>
    </xf>
    <xf numFmtId="4" fontId="10" fillId="0" borderId="1" xfId="0" applyNumberFormat="1" applyFont="1" applyFill="1" applyBorder="1" applyAlignment="1">
      <alignment vertical="center"/>
    </xf>
    <xf numFmtId="0" fontId="0" fillId="0" borderId="95" xfId="0" applyBorder="1" applyAlignment="1">
      <alignment vertical="center" wrapText="1"/>
    </xf>
    <xf numFmtId="0" fontId="0" fillId="0" borderId="96" xfId="0" applyBorder="1" applyAlignment="1">
      <alignment vertical="center"/>
    </xf>
    <xf numFmtId="0" fontId="0" fillId="0" borderId="96" xfId="0" applyBorder="1" applyAlignment="1">
      <alignment vertical="center" wrapText="1"/>
    </xf>
    <xf numFmtId="9" fontId="0" fillId="84" borderId="96" xfId="2" applyFont="1" applyFill="1" applyBorder="1" applyAlignment="1">
      <alignment vertical="center"/>
    </xf>
    <xf numFmtId="38" fontId="0" fillId="84" borderId="97" xfId="1" applyFont="1" applyFill="1" applyBorder="1" applyAlignment="1">
      <alignment vertical="center"/>
    </xf>
    <xf numFmtId="0" fontId="0" fillId="0" borderId="69" xfId="0" applyFill="1" applyBorder="1" applyAlignment="1">
      <alignment vertical="center" wrapText="1"/>
    </xf>
    <xf numFmtId="0" fontId="0" fillId="0" borderId="92" xfId="0" quotePrefix="1" applyFill="1" applyBorder="1" applyAlignment="1">
      <alignment vertical="center" wrapText="1"/>
    </xf>
    <xf numFmtId="0" fontId="0" fillId="0" borderId="92" xfId="0" quotePrefix="1" applyFill="1" applyBorder="1" applyAlignment="1">
      <alignment vertical="center"/>
    </xf>
    <xf numFmtId="38" fontId="0" fillId="0" borderId="92" xfId="1" quotePrefix="1" applyFont="1" applyFill="1" applyBorder="1" applyAlignment="1">
      <alignment vertical="center"/>
    </xf>
    <xf numFmtId="9" fontId="0" fillId="84" borderId="92" xfId="2" applyFont="1" applyFill="1" applyBorder="1" applyAlignment="1">
      <alignment vertical="center"/>
    </xf>
    <xf numFmtId="38" fontId="0" fillId="84" borderId="68" xfId="1" quotePrefix="1" applyFont="1" applyFill="1" applyBorder="1" applyAlignment="1">
      <alignment vertical="center"/>
    </xf>
    <xf numFmtId="38" fontId="5" fillId="2" borderId="1" xfId="1" quotePrefix="1" applyFont="1" applyFill="1" applyBorder="1" applyAlignment="1">
      <alignment vertical="center"/>
    </xf>
    <xf numFmtId="0" fontId="0" fillId="2" borderId="1" xfId="0" applyFont="1" applyFill="1" applyBorder="1" applyAlignment="1">
      <alignment vertical="center"/>
    </xf>
    <xf numFmtId="0" fontId="0" fillId="2" borderId="1" xfId="0" applyNumberFormat="1" applyFill="1" applyBorder="1" applyAlignment="1">
      <alignment vertical="center"/>
    </xf>
    <xf numFmtId="38" fontId="10" fillId="0" borderId="1" xfId="4" applyFill="1" applyBorder="1">
      <alignment vertical="center"/>
    </xf>
    <xf numFmtId="38" fontId="10" fillId="0" borderId="4" xfId="3" applyNumberFormat="1" applyFill="1" applyBorder="1">
      <alignment vertical="center"/>
    </xf>
    <xf numFmtId="0" fontId="0" fillId="0" borderId="1" xfId="0" applyNumberFormat="1" applyFill="1" applyBorder="1" applyAlignment="1">
      <alignment vertical="center" wrapText="1"/>
    </xf>
    <xf numFmtId="0" fontId="0" fillId="0" borderId="1" xfId="0" applyFill="1" applyBorder="1" applyAlignment="1">
      <alignment vertical="top"/>
    </xf>
    <xf numFmtId="38" fontId="0" fillId="0" borderId="1" xfId="1" applyFont="1" applyFill="1" applyBorder="1" applyAlignment="1">
      <alignment vertical="top" wrapText="1"/>
    </xf>
    <xf numFmtId="0" fontId="0" fillId="0" borderId="1" xfId="0" applyFill="1" applyBorder="1" applyAlignment="1">
      <alignment vertical="top" wrapText="1"/>
    </xf>
    <xf numFmtId="38" fontId="9" fillId="0" borderId="1" xfId="1" applyFont="1" applyFill="1" applyBorder="1">
      <alignment vertical="center"/>
    </xf>
    <xf numFmtId="2" fontId="10" fillId="0" borderId="1" xfId="3" applyNumberFormat="1" applyFill="1" applyBorder="1">
      <alignment vertical="center"/>
    </xf>
    <xf numFmtId="38" fontId="10" fillId="0" borderId="1" xfId="1" applyFont="1" applyFill="1" applyBorder="1">
      <alignment vertical="center"/>
    </xf>
    <xf numFmtId="0" fontId="0" fillId="2" borderId="100" xfId="0" applyFill="1" applyBorder="1" applyAlignment="1">
      <alignment vertical="center" wrapText="1"/>
    </xf>
    <xf numFmtId="0" fontId="0" fillId="2" borderId="101" xfId="0" applyFill="1" applyBorder="1" applyAlignment="1">
      <alignment vertical="center"/>
    </xf>
    <xf numFmtId="0" fontId="0" fillId="2" borderId="101" xfId="0" applyFill="1" applyBorder="1" applyAlignment="1">
      <alignment vertical="center" wrapText="1"/>
    </xf>
    <xf numFmtId="9" fontId="0" fillId="2" borderId="101" xfId="2" applyFont="1" applyFill="1" applyBorder="1" applyAlignment="1">
      <alignment vertical="center"/>
    </xf>
    <xf numFmtId="38" fontId="6" fillId="2" borderId="102" xfId="1" applyFont="1" applyFill="1" applyBorder="1" applyAlignment="1">
      <alignment vertical="center"/>
    </xf>
    <xf numFmtId="0" fontId="0" fillId="2" borderId="100" xfId="0" applyFill="1" applyBorder="1" applyAlignment="1">
      <alignment vertical="center"/>
    </xf>
    <xf numFmtId="0" fontId="0" fillId="2" borderId="103" xfId="0" applyFill="1" applyBorder="1" applyAlignment="1">
      <alignment vertical="center"/>
    </xf>
    <xf numFmtId="231" fontId="0" fillId="0" borderId="0" xfId="1" applyNumberFormat="1" applyFont="1">
      <alignment vertical="center"/>
    </xf>
    <xf numFmtId="229" fontId="0" fillId="0" borderId="1" xfId="1" quotePrefix="1" applyNumberFormat="1" applyFont="1" applyFill="1" applyBorder="1" applyAlignment="1">
      <alignment vertical="center"/>
    </xf>
    <xf numFmtId="38" fontId="0" fillId="0" borderId="1" xfId="0" quotePrefix="1" applyNumberFormat="1" applyFill="1" applyBorder="1" applyAlignment="1">
      <alignment vertical="center"/>
    </xf>
    <xf numFmtId="0" fontId="258" fillId="0" borderId="64" xfId="0" applyFont="1" applyFill="1" applyBorder="1" applyAlignment="1">
      <alignment vertical="center" wrapText="1"/>
    </xf>
    <xf numFmtId="0" fontId="0" fillId="2" borderId="69" xfId="0" applyFont="1" applyFill="1" applyBorder="1" applyAlignment="1">
      <alignment vertical="center"/>
    </xf>
    <xf numFmtId="0" fontId="7" fillId="2" borderId="93" xfId="0" applyFont="1" applyFill="1" applyBorder="1" applyAlignment="1">
      <alignment vertical="center"/>
    </xf>
    <xf numFmtId="0" fontId="98" fillId="0" borderId="81" xfId="1661" applyFont="1" applyFill="1" applyBorder="1" applyAlignment="1">
      <alignment vertical="center" wrapText="1"/>
    </xf>
    <xf numFmtId="0" fontId="98" fillId="0" borderId="1" xfId="1661" applyFont="1" applyFill="1" applyBorder="1" applyAlignment="1">
      <alignment horizontal="center" vertical="center" shrinkToFit="1"/>
    </xf>
    <xf numFmtId="0" fontId="98" fillId="0" borderId="81" xfId="1661" applyFont="1" applyFill="1" applyBorder="1" applyAlignment="1">
      <alignment horizontal="center" vertical="center"/>
    </xf>
    <xf numFmtId="38" fontId="0" fillId="0" borderId="1" xfId="1" quotePrefix="1" applyFont="1" applyFill="1" applyBorder="1" applyAlignment="1">
      <alignment horizontal="left" vertical="top"/>
    </xf>
    <xf numFmtId="0" fontId="5" fillId="0" borderId="1" xfId="0" quotePrefix="1" applyFont="1" applyFill="1" applyBorder="1" applyAlignment="1">
      <alignment horizontal="center" vertical="center"/>
    </xf>
    <xf numFmtId="0" fontId="5" fillId="0" borderId="1" xfId="0" quotePrefix="1" applyFont="1" applyFill="1" applyBorder="1" applyAlignment="1">
      <alignment horizontal="left" vertical="center"/>
    </xf>
    <xf numFmtId="0" fontId="10" fillId="0" borderId="1" xfId="3" applyFont="1" applyFill="1" applyBorder="1" applyAlignment="1">
      <alignment vertical="center" shrinkToFit="1"/>
    </xf>
    <xf numFmtId="0" fontId="10" fillId="0" borderId="1" xfId="1660" applyFont="1" applyFill="1" applyBorder="1" applyAlignment="1">
      <alignment horizontal="center" vertical="center"/>
    </xf>
    <xf numFmtId="2" fontId="10" fillId="0" borderId="1" xfId="1660" applyNumberFormat="1" applyFont="1" applyFill="1" applyBorder="1">
      <alignment vertical="center"/>
    </xf>
    <xf numFmtId="2" fontId="0" fillId="0" borderId="1" xfId="0" applyNumberFormat="1" applyFill="1" applyBorder="1" applyAlignment="1">
      <alignment vertical="center" wrapText="1"/>
    </xf>
    <xf numFmtId="38" fontId="5" fillId="0" borderId="4" xfId="1" quotePrefix="1" applyFont="1" applyFill="1" applyBorder="1" applyAlignment="1">
      <alignment vertical="center" wrapText="1"/>
    </xf>
    <xf numFmtId="0" fontId="258" fillId="0" borderId="1" xfId="0" quotePrefix="1" applyFont="1" applyFill="1" applyBorder="1" applyAlignment="1">
      <alignment vertical="center" wrapText="1"/>
    </xf>
    <xf numFmtId="0" fontId="258" fillId="0" borderId="1" xfId="0" quotePrefix="1" applyFont="1" applyFill="1" applyBorder="1" applyAlignment="1">
      <alignment vertical="center"/>
    </xf>
    <xf numFmtId="0" fontId="0" fillId="0" borderId="1" xfId="0" quotePrefix="1" applyFill="1" applyBorder="1" applyAlignment="1">
      <alignment horizontal="right" vertical="center"/>
    </xf>
    <xf numFmtId="38" fontId="10" fillId="0" borderId="1" xfId="4" applyFont="1" applyFill="1" applyBorder="1">
      <alignment vertical="center"/>
    </xf>
    <xf numFmtId="38" fontId="5" fillId="0" borderId="28" xfId="1" applyFont="1" applyFill="1" applyBorder="1" applyAlignment="1">
      <alignment vertical="center"/>
    </xf>
    <xf numFmtId="0" fontId="10" fillId="0" borderId="1" xfId="3" applyNumberFormat="1" applyFill="1" applyBorder="1">
      <alignment vertical="center"/>
    </xf>
    <xf numFmtId="0" fontId="10" fillId="0" borderId="1" xfId="3" quotePrefix="1" applyFill="1" applyBorder="1">
      <alignment vertical="center"/>
    </xf>
    <xf numFmtId="0" fontId="5" fillId="0" borderId="74" xfId="0" applyFont="1" applyBorder="1" applyAlignment="1">
      <alignment vertical="center" wrapText="1"/>
    </xf>
    <xf numFmtId="0" fontId="5" fillId="0" borderId="73" xfId="0" applyFont="1" applyBorder="1" applyAlignment="1">
      <alignment vertical="center"/>
    </xf>
    <xf numFmtId="0" fontId="5" fillId="0" borderId="73" xfId="0" applyFont="1" applyBorder="1" applyAlignment="1">
      <alignment vertical="center" wrapText="1"/>
    </xf>
    <xf numFmtId="9" fontId="5" fillId="84" borderId="73" xfId="2" applyFont="1" applyFill="1" applyBorder="1" applyAlignment="1">
      <alignment vertical="center"/>
    </xf>
    <xf numFmtId="176" fontId="5" fillId="0" borderId="73" xfId="1" applyNumberFormat="1" applyFont="1" applyFill="1" applyBorder="1" applyAlignment="1">
      <alignment vertical="center"/>
    </xf>
    <xf numFmtId="38" fontId="5" fillId="84" borderId="79" xfId="1" applyFont="1" applyFill="1" applyBorder="1" applyAlignment="1">
      <alignment vertical="center"/>
    </xf>
    <xf numFmtId="0" fontId="5" fillId="0" borderId="66" xfId="0" applyFont="1" applyBorder="1" applyAlignment="1">
      <alignment vertical="center" wrapText="1"/>
    </xf>
    <xf numFmtId="0" fontId="5" fillId="0" borderId="2" xfId="0" applyFont="1" applyBorder="1" applyAlignment="1">
      <alignment vertical="center"/>
    </xf>
    <xf numFmtId="0" fontId="5" fillId="0" borderId="2" xfId="0" applyFont="1" applyBorder="1" applyAlignment="1">
      <alignment vertical="center" wrapText="1"/>
    </xf>
    <xf numFmtId="9" fontId="5" fillId="84" borderId="2" xfId="2" applyFont="1" applyFill="1" applyBorder="1" applyAlignment="1">
      <alignment vertical="center"/>
    </xf>
    <xf numFmtId="176" fontId="5" fillId="0" borderId="2" xfId="1" applyNumberFormat="1" applyFont="1" applyBorder="1" applyAlignment="1">
      <alignment vertical="center"/>
    </xf>
    <xf numFmtId="38" fontId="5" fillId="0" borderId="78" xfId="1" applyFont="1" applyBorder="1" applyAlignment="1">
      <alignment vertical="center"/>
    </xf>
    <xf numFmtId="0" fontId="5" fillId="0" borderId="60" xfId="0" applyFont="1" applyBorder="1" applyAlignment="1">
      <alignment vertical="center" wrapText="1"/>
    </xf>
    <xf numFmtId="0" fontId="5" fillId="0" borderId="4" xfId="0" applyFont="1" applyBorder="1" applyAlignment="1">
      <alignment vertical="center"/>
    </xf>
    <xf numFmtId="0" fontId="5" fillId="0" borderId="4" xfId="0" applyFont="1" applyBorder="1" applyAlignment="1">
      <alignment vertical="center" wrapText="1"/>
    </xf>
    <xf numFmtId="9" fontId="5" fillId="84" borderId="4" xfId="2" applyFont="1" applyFill="1" applyBorder="1" applyAlignment="1">
      <alignment vertical="center"/>
    </xf>
    <xf numFmtId="176" fontId="5" fillId="0" borderId="4" xfId="1" applyNumberFormat="1" applyFont="1" applyBorder="1" applyAlignment="1">
      <alignment vertical="center"/>
    </xf>
    <xf numFmtId="38" fontId="5" fillId="0" borderId="38" xfId="1" applyFont="1" applyBorder="1" applyAlignment="1">
      <alignment vertical="center"/>
    </xf>
    <xf numFmtId="0" fontId="5" fillId="0" borderId="95" xfId="0" applyFont="1" applyBorder="1" applyAlignment="1">
      <alignment vertical="center" wrapText="1"/>
    </xf>
    <xf numFmtId="0" fontId="5" fillId="0" borderId="96" xfId="0" applyFont="1" applyBorder="1" applyAlignment="1">
      <alignment vertical="center"/>
    </xf>
    <xf numFmtId="0" fontId="5" fillId="0" borderId="96" xfId="0" applyFont="1" applyBorder="1" applyAlignment="1">
      <alignment vertical="center" wrapText="1"/>
    </xf>
    <xf numFmtId="9" fontId="5" fillId="84" borderId="96" xfId="2" applyFont="1" applyFill="1" applyBorder="1" applyAlignment="1">
      <alignment vertical="center"/>
    </xf>
    <xf numFmtId="38" fontId="5" fillId="84" borderId="97" xfId="1" applyFont="1" applyFill="1" applyBorder="1" applyAlignment="1">
      <alignment vertical="center"/>
    </xf>
    <xf numFmtId="0" fontId="5" fillId="2" borderId="69" xfId="0" applyFont="1" applyFill="1" applyBorder="1" applyAlignment="1">
      <alignment vertical="center"/>
    </xf>
    <xf numFmtId="0" fontId="9" fillId="2" borderId="93" xfId="0" applyFont="1" applyFill="1" applyBorder="1" applyAlignment="1">
      <alignment vertical="center"/>
    </xf>
    <xf numFmtId="10" fontId="5" fillId="0" borderId="1" xfId="2" quotePrefix="1" applyNumberFormat="1" applyFont="1" applyFill="1" applyBorder="1" applyAlignment="1">
      <alignment vertical="center"/>
    </xf>
    <xf numFmtId="0" fontId="5" fillId="0" borderId="1" xfId="0" quotePrefix="1" applyFont="1" applyFill="1" applyBorder="1" applyAlignment="1">
      <alignment vertical="center" wrapText="1"/>
    </xf>
    <xf numFmtId="38" fontId="5" fillId="84" borderId="59" xfId="1" quotePrefix="1" applyFont="1" applyFill="1" applyBorder="1" applyAlignment="1">
      <alignment vertical="center"/>
    </xf>
    <xf numFmtId="0" fontId="5" fillId="2" borderId="1" xfId="0" quotePrefix="1" applyFont="1" applyFill="1" applyBorder="1" applyAlignment="1">
      <alignment vertical="center"/>
    </xf>
    <xf numFmtId="0" fontId="5" fillId="2" borderId="1" xfId="0" quotePrefix="1" applyFont="1" applyFill="1" applyBorder="1" applyAlignment="1">
      <alignment vertical="center" wrapText="1"/>
    </xf>
    <xf numFmtId="0" fontId="5" fillId="0" borderId="1" xfId="1550" applyFont="1" applyBorder="1" applyAlignment="1">
      <alignment vertical="center" wrapText="1"/>
    </xf>
    <xf numFmtId="0" fontId="9" fillId="0" borderId="1" xfId="1661" applyFont="1" applyFill="1" applyBorder="1" applyAlignment="1">
      <alignment vertical="center" shrinkToFit="1"/>
    </xf>
    <xf numFmtId="229" fontId="5" fillId="0" borderId="1" xfId="0" applyNumberFormat="1" applyFont="1" applyFill="1" applyBorder="1" applyAlignment="1">
      <alignment vertical="center"/>
    </xf>
    <xf numFmtId="0" fontId="9" fillId="0" borderId="58" xfId="1661" applyFont="1" applyFill="1" applyBorder="1" applyAlignment="1">
      <alignment vertical="center"/>
    </xf>
    <xf numFmtId="0" fontId="5" fillId="0" borderId="1" xfId="0" applyFont="1" applyFill="1" applyBorder="1" applyAlignment="1">
      <alignment horizontal="left" vertical="center" wrapText="1"/>
    </xf>
    <xf numFmtId="0" fontId="9" fillId="0" borderId="81" xfId="1661" applyFont="1" applyFill="1" applyBorder="1" applyAlignment="1">
      <alignment vertical="center"/>
    </xf>
    <xf numFmtId="0" fontId="9" fillId="2" borderId="20" xfId="0" applyFont="1" applyFill="1" applyBorder="1" applyAlignment="1">
      <alignment vertical="center"/>
    </xf>
    <xf numFmtId="0" fontId="5" fillId="0" borderId="1" xfId="0" applyNumberFormat="1" applyFont="1" applyFill="1" applyBorder="1" applyAlignment="1">
      <alignment vertical="center"/>
    </xf>
    <xf numFmtId="0" fontId="9" fillId="2" borderId="64" xfId="0" applyFont="1" applyFill="1" applyBorder="1" applyAlignment="1">
      <alignment vertical="center"/>
    </xf>
    <xf numFmtId="229" fontId="5" fillId="0" borderId="1" xfId="0" applyNumberFormat="1" applyFont="1" applyFill="1" applyBorder="1" applyAlignment="1">
      <alignment vertical="center" wrapText="1"/>
    </xf>
    <xf numFmtId="229" fontId="5" fillId="0" borderId="1" xfId="1" quotePrefix="1" applyNumberFormat="1" applyFont="1" applyFill="1" applyBorder="1" applyAlignment="1">
      <alignment vertical="center"/>
    </xf>
    <xf numFmtId="38" fontId="5" fillId="84" borderId="1" xfId="1" quotePrefix="1" applyFont="1" applyFill="1" applyBorder="1" applyAlignment="1">
      <alignment vertical="center"/>
    </xf>
    <xf numFmtId="0" fontId="5" fillId="0" borderId="58" xfId="1550" applyFont="1" applyBorder="1" applyAlignment="1">
      <alignment vertical="center" wrapText="1"/>
    </xf>
    <xf numFmtId="176" fontId="5" fillId="0" borderId="1" xfId="1" applyNumberFormat="1" applyFont="1" applyFill="1" applyBorder="1" applyAlignment="1">
      <alignment vertical="center"/>
    </xf>
    <xf numFmtId="0" fontId="5" fillId="0" borderId="58" xfId="1550" applyFont="1" applyBorder="1" applyAlignment="1">
      <alignment vertical="center"/>
    </xf>
    <xf numFmtId="0" fontId="5" fillId="0" borderId="1" xfId="1550" applyFont="1" applyBorder="1" applyAlignment="1">
      <alignment vertical="center"/>
    </xf>
    <xf numFmtId="0" fontId="5" fillId="2" borderId="1" xfId="0" applyNumberFormat="1" applyFont="1" applyFill="1" applyBorder="1" applyAlignment="1">
      <alignment vertical="center"/>
    </xf>
    <xf numFmtId="0" fontId="9" fillId="0" borderId="1" xfId="3" applyNumberFormat="1" applyFont="1" applyFill="1" applyBorder="1" applyAlignment="1">
      <alignment vertical="center"/>
    </xf>
    <xf numFmtId="0" fontId="9" fillId="0" borderId="5" xfId="3" applyFont="1" applyFill="1" applyBorder="1" applyAlignment="1">
      <alignment vertical="center"/>
    </xf>
    <xf numFmtId="0" fontId="9" fillId="0" borderId="1" xfId="3" applyFont="1" applyFill="1" applyBorder="1" applyAlignment="1">
      <alignment vertical="center"/>
    </xf>
    <xf numFmtId="0" fontId="9" fillId="0" borderId="4" xfId="3" applyFont="1" applyFill="1" applyBorder="1" applyAlignment="1">
      <alignment vertical="center"/>
    </xf>
    <xf numFmtId="0" fontId="9" fillId="0" borderId="1" xfId="3" applyFont="1" applyFill="1" applyBorder="1">
      <alignment vertical="center"/>
    </xf>
    <xf numFmtId="0" fontId="5" fillId="0" borderId="1" xfId="0" applyFont="1" applyFill="1" applyBorder="1" applyAlignment="1">
      <alignment vertical="top"/>
    </xf>
    <xf numFmtId="229" fontId="5" fillId="0" borderId="1" xfId="0" applyNumberFormat="1" applyFont="1" applyFill="1" applyBorder="1" applyAlignment="1">
      <alignment vertical="top" wrapText="1"/>
    </xf>
    <xf numFmtId="0" fontId="5" fillId="0" borderId="1" xfId="0" applyFont="1" applyFill="1" applyBorder="1" applyAlignment="1">
      <alignment vertical="top" wrapText="1"/>
    </xf>
    <xf numFmtId="0" fontId="4" fillId="0" borderId="64" xfId="0" applyFont="1" applyFill="1" applyBorder="1" applyAlignment="1">
      <alignment vertical="center" wrapText="1"/>
    </xf>
    <xf numFmtId="0" fontId="9" fillId="0" borderId="90" xfId="1661" applyFont="1" applyFill="1" applyBorder="1" applyAlignment="1">
      <alignment vertical="center" wrapText="1"/>
    </xf>
    <xf numFmtId="0" fontId="9" fillId="0" borderId="1" xfId="1661" applyNumberFormat="1" applyFont="1" applyFill="1" applyBorder="1" applyAlignment="1">
      <alignment vertical="center"/>
    </xf>
    <xf numFmtId="0" fontId="9" fillId="0" borderId="1" xfId="1661" applyFont="1" applyFill="1" applyBorder="1" applyAlignment="1">
      <alignment vertical="center"/>
    </xf>
    <xf numFmtId="0" fontId="9" fillId="0" borderId="90" xfId="1661" applyFont="1" applyFill="1" applyBorder="1" applyAlignment="1">
      <alignment vertical="center"/>
    </xf>
    <xf numFmtId="0" fontId="9" fillId="0" borderId="5" xfId="1660" applyFont="1" applyFill="1" applyBorder="1">
      <alignment vertical="center"/>
    </xf>
    <xf numFmtId="0" fontId="5" fillId="0" borderId="5" xfId="0" quotePrefix="1" applyFont="1" applyFill="1" applyBorder="1" applyAlignment="1">
      <alignment vertical="center"/>
    </xf>
    <xf numFmtId="38" fontId="5" fillId="0" borderId="5" xfId="1" quotePrefix="1" applyFont="1" applyFill="1" applyBorder="1" applyAlignment="1">
      <alignment vertical="center"/>
    </xf>
    <xf numFmtId="0" fontId="5" fillId="0" borderId="1" xfId="0" quotePrefix="1" applyFont="1" applyFill="1" applyBorder="1" applyAlignment="1">
      <alignment horizontal="right" vertical="center"/>
    </xf>
    <xf numFmtId="0" fontId="9" fillId="0" borderId="1" xfId="1660" applyFont="1" applyFill="1" applyBorder="1">
      <alignment vertical="center"/>
    </xf>
    <xf numFmtId="0" fontId="9" fillId="0" borderId="1" xfId="1660" applyFont="1" applyFill="1" applyBorder="1" applyAlignment="1">
      <alignment vertical="center"/>
    </xf>
    <xf numFmtId="4" fontId="9" fillId="0" borderId="1" xfId="0" applyNumberFormat="1" applyFont="1" applyFill="1" applyBorder="1" applyAlignment="1">
      <alignment vertical="center"/>
    </xf>
    <xf numFmtId="176" fontId="5" fillId="0" borderId="1" xfId="1" applyNumberFormat="1" applyFont="1" applyFill="1" applyBorder="1" applyAlignment="1">
      <alignment horizontal="left" vertical="center"/>
    </xf>
    <xf numFmtId="0" fontId="9" fillId="0" borderId="4" xfId="1660" applyNumberFormat="1" applyFont="1" applyFill="1" applyBorder="1" applyAlignment="1">
      <alignment vertical="center"/>
    </xf>
    <xf numFmtId="0" fontId="9" fillId="0" borderId="1" xfId="1660" applyFont="1" applyFill="1" applyBorder="1" applyAlignment="1">
      <alignment horizontal="left" vertical="center"/>
    </xf>
    <xf numFmtId="0" fontId="9" fillId="0" borderId="5" xfId="3" applyFont="1" applyFill="1" applyBorder="1">
      <alignment vertical="center"/>
    </xf>
    <xf numFmtId="0" fontId="9" fillId="0" borderId="1" xfId="1660" applyNumberFormat="1" applyFont="1" applyFill="1" applyBorder="1" applyAlignment="1">
      <alignment vertical="center"/>
    </xf>
    <xf numFmtId="0" fontId="273" fillId="0" borderId="1" xfId="3" applyFont="1" applyFill="1" applyBorder="1">
      <alignment vertical="center"/>
    </xf>
    <xf numFmtId="0" fontId="9" fillId="0" borderId="1" xfId="3" applyFont="1" applyFill="1" applyBorder="1" applyAlignment="1">
      <alignment vertical="center" shrinkToFit="1"/>
    </xf>
    <xf numFmtId="2" fontId="9" fillId="0" borderId="1" xfId="1551" applyNumberFormat="1" applyFont="1" applyFill="1" applyBorder="1" applyAlignment="1">
      <alignment vertical="center" wrapText="1"/>
    </xf>
    <xf numFmtId="0" fontId="9" fillId="0" borderId="1" xfId="1553" applyFont="1" applyFill="1" applyBorder="1" applyAlignment="1">
      <alignment horizontal="left" vertical="center" wrapText="1"/>
    </xf>
    <xf numFmtId="0" fontId="9" fillId="0" borderId="1" xfId="1551" applyFont="1" applyFill="1" applyBorder="1" applyAlignment="1">
      <alignment horizontal="left" vertical="center" wrapText="1"/>
    </xf>
    <xf numFmtId="0" fontId="9" fillId="0" borderId="1" xfId="3" applyFont="1" applyFill="1" applyBorder="1" applyAlignment="1">
      <alignment vertical="center" wrapText="1"/>
    </xf>
    <xf numFmtId="0" fontId="5" fillId="2" borderId="100" xfId="0" applyFont="1" applyFill="1" applyBorder="1" applyAlignment="1">
      <alignment vertical="center" wrapText="1"/>
    </xf>
    <xf numFmtId="0" fontId="5" fillId="2" borderId="101" xfId="0" applyFont="1" applyFill="1" applyBorder="1" applyAlignment="1">
      <alignment vertical="center"/>
    </xf>
    <xf numFmtId="0" fontId="5" fillId="2" borderId="101" xfId="0" applyFont="1" applyFill="1" applyBorder="1" applyAlignment="1">
      <alignment vertical="center" wrapText="1"/>
    </xf>
    <xf numFmtId="9" fontId="5" fillId="2" borderId="101" xfId="2" applyFont="1" applyFill="1" applyBorder="1" applyAlignment="1">
      <alignment vertical="center"/>
    </xf>
    <xf numFmtId="0" fontId="5" fillId="2" borderId="100" xfId="0" applyFont="1" applyFill="1" applyBorder="1" applyAlignment="1">
      <alignment vertical="center"/>
    </xf>
    <xf numFmtId="0" fontId="5" fillId="2" borderId="103" xfId="0" applyFont="1" applyFill="1" applyBorder="1" applyAlignment="1">
      <alignment vertical="center"/>
    </xf>
    <xf numFmtId="0" fontId="5" fillId="0" borderId="53" xfId="0" applyFont="1" applyFill="1" applyBorder="1" applyAlignment="1">
      <alignment vertical="center" wrapText="1"/>
    </xf>
    <xf numFmtId="0" fontId="5" fillId="0" borderId="53" xfId="0" applyFont="1" applyFill="1" applyBorder="1" applyAlignment="1">
      <alignment vertical="center"/>
    </xf>
    <xf numFmtId="38" fontId="5" fillId="0" borderId="53" xfId="1" applyFont="1" applyFill="1" applyBorder="1" applyAlignment="1">
      <alignment vertical="center"/>
    </xf>
    <xf numFmtId="176" fontId="5" fillId="0" borderId="53" xfId="1" applyNumberFormat="1" applyFont="1" applyFill="1" applyBorder="1" applyAlignment="1">
      <alignment vertical="center"/>
    </xf>
    <xf numFmtId="0" fontId="0" fillId="0" borderId="2" xfId="0" applyBorder="1" applyAlignment="1">
      <alignment horizontal="center" vertical="center"/>
    </xf>
    <xf numFmtId="0" fontId="0" fillId="0" borderId="2" xfId="0" applyBorder="1" applyAlignment="1">
      <alignment vertical="center"/>
    </xf>
    <xf numFmtId="0" fontId="0" fillId="0" borderId="75" xfId="0" applyBorder="1" applyAlignment="1">
      <alignment horizontal="center" vertical="center"/>
    </xf>
    <xf numFmtId="0" fontId="0" fillId="0" borderId="75" xfId="0" applyBorder="1" applyAlignment="1">
      <alignment vertical="center"/>
    </xf>
    <xf numFmtId="38" fontId="5" fillId="2" borderId="67" xfId="1" quotePrefix="1" applyFont="1" applyFill="1" applyBorder="1" applyAlignment="1">
      <alignment vertical="center"/>
    </xf>
    <xf numFmtId="38" fontId="5" fillId="2" borderId="68" xfId="1" quotePrefix="1" applyFont="1" applyFill="1" applyBorder="1" applyAlignment="1">
      <alignment vertical="center"/>
    </xf>
    <xf numFmtId="0" fontId="0" fillId="2" borderId="59" xfId="0" applyFill="1" applyBorder="1" applyAlignment="1">
      <alignment vertical="center" wrapText="1"/>
    </xf>
    <xf numFmtId="0" fontId="0" fillId="2" borderId="1" xfId="0" applyFill="1" applyBorder="1" applyAlignment="1">
      <alignment vertical="center" wrapText="1"/>
    </xf>
    <xf numFmtId="0" fontId="0" fillId="2" borderId="64" xfId="0" applyFill="1" applyBorder="1" applyAlignment="1">
      <alignment vertical="center" wrapText="1"/>
    </xf>
    <xf numFmtId="0" fontId="5" fillId="0" borderId="20" xfId="0" applyFont="1" applyFill="1" applyBorder="1" applyAlignment="1">
      <alignment vertical="center" wrapText="1"/>
    </xf>
    <xf numFmtId="0" fontId="5" fillId="0" borderId="64" xfId="0" applyFont="1" applyFill="1" applyBorder="1" applyAlignment="1">
      <alignment vertical="center" wrapText="1"/>
    </xf>
    <xf numFmtId="0" fontId="0" fillId="0" borderId="20" xfId="0" applyFill="1" applyBorder="1" applyAlignment="1">
      <alignment vertical="center" wrapText="1"/>
    </xf>
    <xf numFmtId="0" fontId="0" fillId="0" borderId="64" xfId="0" applyFill="1" applyBorder="1" applyAlignment="1">
      <alignment vertical="center" wrapText="1"/>
    </xf>
    <xf numFmtId="0" fontId="0" fillId="0" borderId="82" xfId="0" applyFill="1" applyBorder="1" applyAlignment="1">
      <alignment vertical="center" wrapText="1"/>
    </xf>
    <xf numFmtId="0" fontId="0" fillId="0" borderId="83" xfId="0" applyFill="1" applyBorder="1" applyAlignment="1">
      <alignment vertical="center" wrapText="1"/>
    </xf>
    <xf numFmtId="0" fontId="0" fillId="0" borderId="84" xfId="0" applyFill="1" applyBorder="1" applyAlignment="1">
      <alignment vertical="center" wrapText="1"/>
    </xf>
    <xf numFmtId="0" fontId="0" fillId="0" borderId="85" xfId="0" applyFill="1" applyBorder="1" applyAlignment="1">
      <alignment vertical="center" wrapText="1"/>
    </xf>
    <xf numFmtId="0" fontId="0" fillId="0" borderId="86" xfId="0" applyFill="1" applyBorder="1" applyAlignment="1">
      <alignment vertical="center" wrapText="1"/>
    </xf>
    <xf numFmtId="0" fontId="0" fillId="0" borderId="87" xfId="0" applyFill="1" applyBorder="1" applyAlignment="1">
      <alignment vertical="center" wrapText="1"/>
    </xf>
    <xf numFmtId="0" fontId="0" fillId="0" borderId="63" xfId="0" applyBorder="1" applyAlignment="1">
      <alignment vertical="center"/>
    </xf>
    <xf numFmtId="0" fontId="0" fillId="0" borderId="60" xfId="0" applyBorder="1" applyAlignment="1">
      <alignment vertical="center"/>
    </xf>
    <xf numFmtId="0" fontId="0" fillId="0" borderId="65" xfId="0" applyBorder="1" applyAlignment="1">
      <alignment vertical="center"/>
    </xf>
    <xf numFmtId="0" fontId="0" fillId="0" borderId="61" xfId="0" applyBorder="1" applyAlignment="1">
      <alignment vertical="center"/>
    </xf>
    <xf numFmtId="0" fontId="0" fillId="0" borderId="76" xfId="0" applyBorder="1" applyAlignment="1">
      <alignment vertical="center"/>
    </xf>
    <xf numFmtId="0" fontId="0" fillId="0" borderId="80" xfId="0" applyBorder="1" applyAlignment="1">
      <alignment vertical="center"/>
    </xf>
    <xf numFmtId="0" fontId="0" fillId="0" borderId="20" xfId="0" applyFont="1" applyFill="1" applyBorder="1" applyAlignment="1">
      <alignment vertical="center" wrapText="1"/>
    </xf>
    <xf numFmtId="0" fontId="0" fillId="0" borderId="64" xfId="0" applyFont="1" applyFill="1" applyBorder="1" applyAlignment="1">
      <alignment vertical="center" wrapText="1"/>
    </xf>
    <xf numFmtId="0" fontId="0" fillId="0" borderId="72" xfId="0" applyBorder="1" applyAlignment="1">
      <alignment vertical="center"/>
    </xf>
    <xf numFmtId="0" fontId="0" fillId="0" borderId="66" xfId="0" applyBorder="1" applyAlignment="1">
      <alignment vertical="center"/>
    </xf>
    <xf numFmtId="0" fontId="0" fillId="83" borderId="88" xfId="0" applyFill="1" applyBorder="1" applyAlignment="1">
      <alignment vertical="center" wrapText="1"/>
    </xf>
    <xf numFmtId="0" fontId="0" fillId="83" borderId="89" xfId="0" applyFill="1" applyBorder="1" applyAlignment="1">
      <alignment vertical="center"/>
    </xf>
    <xf numFmtId="38" fontId="5" fillId="2" borderId="58" xfId="1" quotePrefix="1" applyFont="1" applyFill="1" applyBorder="1" applyAlignment="1">
      <alignment vertical="top"/>
    </xf>
    <xf numFmtId="38" fontId="5" fillId="2" borderId="28" xfId="1" quotePrefix="1" applyFont="1" applyFill="1" applyBorder="1" applyAlignment="1">
      <alignment vertical="top"/>
    </xf>
    <xf numFmtId="38" fontId="5" fillId="2" borderId="89" xfId="1" quotePrefix="1" applyFont="1" applyFill="1" applyBorder="1" applyAlignment="1">
      <alignment vertical="top"/>
    </xf>
    <xf numFmtId="0" fontId="5" fillId="0" borderId="61" xfId="0" applyFont="1" applyFill="1" applyBorder="1" applyAlignment="1">
      <alignment vertical="center" wrapText="1"/>
    </xf>
    <xf numFmtId="0" fontId="5" fillId="0" borderId="62" xfId="0" applyFont="1" applyFill="1" applyBorder="1" applyAlignment="1">
      <alignment vertical="center" wrapText="1"/>
    </xf>
    <xf numFmtId="0" fontId="5" fillId="0" borderId="60" xfId="0" applyFont="1" applyFill="1" applyBorder="1" applyAlignment="1">
      <alignment vertical="center" wrapText="1"/>
    </xf>
    <xf numFmtId="0" fontId="0" fillId="0" borderId="56" xfId="0" applyFill="1" applyBorder="1" applyAlignment="1">
      <alignment vertical="center" wrapText="1"/>
    </xf>
    <xf numFmtId="0" fontId="0" fillId="0" borderId="57" xfId="0" applyFill="1" applyBorder="1" applyAlignment="1">
      <alignment vertical="center" wrapText="1"/>
    </xf>
    <xf numFmtId="0" fontId="0" fillId="0" borderId="53" xfId="0" applyBorder="1" applyAlignment="1">
      <alignment vertical="center"/>
    </xf>
    <xf numFmtId="38" fontId="0" fillId="0" borderId="55" xfId="1" applyFont="1" applyFill="1" applyBorder="1" applyAlignment="1">
      <alignment vertical="center" wrapText="1"/>
    </xf>
    <xf numFmtId="38" fontId="0" fillId="0" borderId="55" xfId="1" applyFont="1" applyFill="1" applyBorder="1" applyAlignment="1">
      <alignment vertical="center"/>
    </xf>
    <xf numFmtId="176" fontId="0" fillId="0" borderId="53" xfId="1" applyNumberFormat="1" applyFont="1" applyBorder="1" applyAlignment="1">
      <alignment vertical="center"/>
    </xf>
    <xf numFmtId="0" fontId="0" fillId="0" borderId="53" xfId="0" applyFill="1" applyBorder="1" applyAlignment="1">
      <alignment vertical="center" wrapText="1"/>
    </xf>
    <xf numFmtId="38" fontId="0" fillId="0" borderId="54" xfId="1" applyFont="1" applyBorder="1" applyAlignment="1">
      <alignment vertical="center"/>
    </xf>
    <xf numFmtId="38" fontId="0" fillId="0" borderId="27" xfId="1" applyFont="1" applyBorder="1" applyAlignment="1">
      <alignment vertical="center"/>
    </xf>
    <xf numFmtId="38" fontId="0" fillId="0" borderId="55" xfId="1" applyFont="1" applyBorder="1" applyAlignment="1">
      <alignment vertical="center"/>
    </xf>
    <xf numFmtId="0" fontId="0" fillId="0" borderId="61" xfId="0" applyFill="1" applyBorder="1" applyAlignment="1">
      <alignment vertical="center" wrapText="1"/>
    </xf>
    <xf numFmtId="0" fontId="0" fillId="0" borderId="62" xfId="0" applyFill="1" applyBorder="1" applyAlignment="1">
      <alignment vertical="center" wrapText="1"/>
    </xf>
    <xf numFmtId="0" fontId="0" fillId="0" borderId="60" xfId="0" applyFill="1" applyBorder="1" applyAlignment="1">
      <alignment vertical="center" wrapText="1"/>
    </xf>
    <xf numFmtId="0" fontId="0" fillId="0" borderId="82" xfId="0" applyFill="1" applyBorder="1" applyAlignment="1">
      <alignment vertical="top" wrapText="1"/>
    </xf>
    <xf numFmtId="0" fontId="0" fillId="0" borderId="83" xfId="0" applyFill="1" applyBorder="1" applyAlignment="1">
      <alignment vertical="top" wrapText="1"/>
    </xf>
    <xf numFmtId="0" fontId="0" fillId="0" borderId="84" xfId="0" applyFill="1" applyBorder="1" applyAlignment="1">
      <alignment vertical="top" wrapText="1"/>
    </xf>
    <xf numFmtId="0" fontId="0" fillId="0" borderId="85" xfId="0" applyFill="1" applyBorder="1" applyAlignment="1">
      <alignment vertical="top" wrapText="1"/>
    </xf>
    <xf numFmtId="0" fontId="0" fillId="0" borderId="86" xfId="0" applyFill="1" applyBorder="1" applyAlignment="1">
      <alignment vertical="top" wrapText="1"/>
    </xf>
    <xf numFmtId="0" fontId="0" fillId="0" borderId="87" xfId="0" applyFill="1" applyBorder="1" applyAlignment="1">
      <alignment vertical="top" wrapText="1"/>
    </xf>
    <xf numFmtId="0" fontId="9" fillId="0" borderId="20" xfId="0" applyFont="1" applyFill="1" applyBorder="1" applyAlignment="1">
      <alignment vertical="center" wrapText="1"/>
    </xf>
    <xf numFmtId="0" fontId="9" fillId="0" borderId="64" xfId="0" applyFont="1" applyFill="1" applyBorder="1" applyAlignment="1">
      <alignment vertical="center" wrapText="1"/>
    </xf>
    <xf numFmtId="0" fontId="9" fillId="0" borderId="82" xfId="0" applyFont="1" applyFill="1" applyBorder="1" applyAlignment="1">
      <alignment vertical="center" wrapText="1"/>
    </xf>
    <xf numFmtId="0" fontId="9" fillId="0" borderId="83" xfId="0" applyFont="1" applyFill="1" applyBorder="1" applyAlignment="1">
      <alignment vertical="center" wrapText="1"/>
    </xf>
    <xf numFmtId="0" fontId="9" fillId="0" borderId="84" xfId="0" applyFont="1" applyFill="1" applyBorder="1" applyAlignment="1">
      <alignment vertical="center" wrapText="1"/>
    </xf>
    <xf numFmtId="0" fontId="9" fillId="0" borderId="85" xfId="0" applyFont="1" applyFill="1" applyBorder="1" applyAlignment="1">
      <alignment vertical="center" wrapText="1"/>
    </xf>
    <xf numFmtId="0" fontId="9" fillId="0" borderId="86" xfId="0" applyFont="1" applyFill="1" applyBorder="1" applyAlignment="1">
      <alignment vertical="center" wrapText="1"/>
    </xf>
    <xf numFmtId="0" fontId="9" fillId="0" borderId="87" xfId="0" applyFont="1" applyFill="1" applyBorder="1" applyAlignment="1">
      <alignment vertical="center" wrapText="1"/>
    </xf>
    <xf numFmtId="38" fontId="5" fillId="2" borderId="58" xfId="1" quotePrefix="1" applyFont="1" applyFill="1" applyBorder="1" applyAlignment="1">
      <alignment vertical="center"/>
    </xf>
    <xf numFmtId="38" fontId="5" fillId="2" borderId="28" xfId="1" quotePrefix="1" applyFont="1" applyFill="1" applyBorder="1" applyAlignment="1">
      <alignment vertical="center"/>
    </xf>
    <xf numFmtId="38" fontId="5" fillId="2" borderId="89" xfId="1" quotePrefix="1" applyFont="1" applyFill="1" applyBorder="1" applyAlignment="1">
      <alignment vertical="center"/>
    </xf>
    <xf numFmtId="0" fontId="0" fillId="0" borderId="83" xfId="0" applyFill="1" applyBorder="1" applyAlignment="1">
      <alignment vertical="center"/>
    </xf>
    <xf numFmtId="0" fontId="0" fillId="0" borderId="86" xfId="0" applyFill="1" applyBorder="1" applyAlignment="1">
      <alignment vertical="center"/>
    </xf>
    <xf numFmtId="0" fontId="0" fillId="0" borderId="87" xfId="0" applyFill="1" applyBorder="1" applyAlignment="1">
      <alignment vertical="center"/>
    </xf>
    <xf numFmtId="38" fontId="5" fillId="2" borderId="88" xfId="1" applyFont="1" applyFill="1" applyBorder="1" applyAlignment="1">
      <alignment vertical="center"/>
    </xf>
    <xf numFmtId="38" fontId="6" fillId="2" borderId="28" xfId="1" applyFont="1" applyFill="1" applyBorder="1" applyAlignment="1">
      <alignment vertical="center"/>
    </xf>
    <xf numFmtId="38" fontId="6" fillId="2" borderId="89" xfId="1" applyFont="1" applyFill="1" applyBorder="1" applyAlignment="1">
      <alignment vertical="center"/>
    </xf>
    <xf numFmtId="0" fontId="10" fillId="0" borderId="5" xfId="1661" applyFont="1" applyFill="1" applyBorder="1" applyAlignment="1">
      <alignment vertical="center" wrapText="1"/>
    </xf>
    <xf numFmtId="0" fontId="10" fillId="0" borderId="3" xfId="1661" applyFont="1" applyFill="1" applyBorder="1" applyAlignment="1">
      <alignment vertical="center"/>
    </xf>
    <xf numFmtId="0" fontId="10" fillId="0" borderId="4" xfId="1661" applyFont="1" applyFill="1" applyBorder="1" applyAlignment="1">
      <alignment vertical="center"/>
    </xf>
    <xf numFmtId="0" fontId="0" fillId="0" borderId="88" xfId="0" applyFill="1" applyBorder="1" applyAlignment="1">
      <alignment vertical="center" wrapText="1"/>
    </xf>
    <xf numFmtId="0" fontId="0" fillId="0" borderId="89" xfId="0" applyFill="1" applyBorder="1" applyAlignment="1">
      <alignment vertical="center"/>
    </xf>
    <xf numFmtId="0" fontId="7" fillId="0" borderId="82" xfId="0" applyFont="1" applyFill="1" applyBorder="1" applyAlignment="1">
      <alignment vertical="center" wrapText="1"/>
    </xf>
    <xf numFmtId="0" fontId="7" fillId="0" borderId="83" xfId="0" applyFont="1" applyFill="1" applyBorder="1" applyAlignment="1">
      <alignment vertical="center" wrapText="1"/>
    </xf>
    <xf numFmtId="0" fontId="7" fillId="0" borderId="84" xfId="0" applyFont="1" applyFill="1" applyBorder="1" applyAlignment="1">
      <alignment vertical="center" wrapText="1"/>
    </xf>
    <xf numFmtId="0" fontId="7" fillId="0" borderId="85" xfId="0" applyFont="1" applyFill="1" applyBorder="1" applyAlignment="1">
      <alignment vertical="center" wrapText="1"/>
    </xf>
    <xf numFmtId="0" fontId="7" fillId="0" borderId="86" xfId="0" applyFont="1" applyFill="1" applyBorder="1" applyAlignment="1">
      <alignment vertical="center" wrapText="1"/>
    </xf>
    <xf numFmtId="0" fontId="7" fillId="0" borderId="87" xfId="0" applyFont="1" applyFill="1" applyBorder="1" applyAlignment="1">
      <alignment vertical="center" wrapText="1"/>
    </xf>
    <xf numFmtId="0" fontId="9" fillId="0" borderId="61" xfId="0" applyFont="1" applyFill="1" applyBorder="1" applyAlignment="1">
      <alignment vertical="center" wrapText="1"/>
    </xf>
    <xf numFmtId="0" fontId="9" fillId="0" borderId="62" xfId="0" applyFont="1" applyFill="1" applyBorder="1" applyAlignment="1">
      <alignment vertical="center" wrapText="1"/>
    </xf>
    <xf numFmtId="0" fontId="9" fillId="0" borderId="60" xfId="0" applyFont="1" applyFill="1" applyBorder="1" applyAlignment="1">
      <alignment vertical="center" wrapText="1"/>
    </xf>
    <xf numFmtId="0" fontId="7" fillId="0" borderId="20" xfId="0" applyFont="1" applyFill="1" applyBorder="1" applyAlignment="1">
      <alignment vertical="center" wrapText="1"/>
    </xf>
    <xf numFmtId="0" fontId="7" fillId="0" borderId="64" xfId="0" applyFont="1" applyFill="1" applyBorder="1" applyAlignment="1">
      <alignment vertical="center"/>
    </xf>
    <xf numFmtId="0" fontId="7" fillId="0" borderId="20" xfId="0" applyFont="1" applyFill="1" applyBorder="1" applyAlignment="1">
      <alignment vertical="center"/>
    </xf>
    <xf numFmtId="0" fontId="9" fillId="0" borderId="61" xfId="0" quotePrefix="1" applyFont="1" applyFill="1" applyBorder="1" applyAlignment="1">
      <alignment vertical="center" wrapText="1"/>
    </xf>
    <xf numFmtId="38" fontId="5" fillId="2" borderId="28" xfId="1" applyFont="1" applyFill="1" applyBorder="1" applyAlignment="1">
      <alignment vertical="center"/>
    </xf>
    <xf numFmtId="38" fontId="5" fillId="2" borderId="89" xfId="1" applyFont="1" applyFill="1" applyBorder="1" applyAlignment="1">
      <alignment vertical="center"/>
    </xf>
    <xf numFmtId="0" fontId="7" fillId="0" borderId="64" xfId="0" applyFont="1" applyFill="1" applyBorder="1" applyAlignment="1">
      <alignment vertical="center" wrapText="1"/>
    </xf>
    <xf numFmtId="0" fontId="9" fillId="2" borderId="1" xfId="0" applyFont="1" applyFill="1" applyBorder="1" applyAlignment="1">
      <alignment vertical="center" wrapText="1"/>
    </xf>
    <xf numFmtId="0" fontId="4" fillId="2" borderId="1" xfId="0" applyFont="1" applyFill="1" applyBorder="1" applyAlignment="1">
      <alignment vertical="center" wrapText="1"/>
    </xf>
    <xf numFmtId="0" fontId="4" fillId="2" borderId="64" xfId="0" applyFont="1" applyFill="1" applyBorder="1" applyAlignment="1">
      <alignment vertical="center" wrapText="1"/>
    </xf>
    <xf numFmtId="0" fontId="0" fillId="0" borderId="98" xfId="0" applyBorder="1" applyAlignment="1">
      <alignment vertical="center"/>
    </xf>
    <xf numFmtId="0" fontId="0" fillId="0" borderId="95" xfId="0" applyBorder="1" applyAlignment="1">
      <alignment vertical="center"/>
    </xf>
    <xf numFmtId="0" fontId="7" fillId="0" borderId="99" xfId="0" applyFont="1" applyFill="1" applyBorder="1" applyAlignment="1">
      <alignment vertical="center" wrapText="1"/>
    </xf>
    <xf numFmtId="0" fontId="7" fillId="0" borderId="68" xfId="0" applyFont="1" applyFill="1" applyBorder="1" applyAlignment="1">
      <alignment vertical="center"/>
    </xf>
    <xf numFmtId="0" fontId="7" fillId="0" borderId="83" xfId="0" applyFont="1" applyFill="1" applyBorder="1" applyAlignment="1">
      <alignment vertical="center"/>
    </xf>
    <xf numFmtId="38" fontId="5" fillId="0" borderId="5" xfId="1" quotePrefix="1" applyFont="1" applyFill="1" applyBorder="1" applyAlignment="1">
      <alignment vertical="center" wrapText="1"/>
    </xf>
    <xf numFmtId="38" fontId="5" fillId="0" borderId="3" xfId="1" quotePrefix="1" applyFont="1" applyFill="1" applyBorder="1" applyAlignment="1">
      <alignment vertical="center" wrapText="1"/>
    </xf>
    <xf numFmtId="38" fontId="5" fillId="0" borderId="4" xfId="1" quotePrefix="1" applyFont="1" applyFill="1" applyBorder="1" applyAlignment="1">
      <alignment vertical="center" wrapText="1"/>
    </xf>
    <xf numFmtId="0" fontId="0" fillId="0" borderId="91" xfId="0" applyFill="1" applyBorder="1" applyAlignment="1">
      <alignment vertical="center" wrapText="1"/>
    </xf>
    <xf numFmtId="0" fontId="0" fillId="0" borderId="0" xfId="0" applyFill="1" applyBorder="1" applyAlignment="1">
      <alignment vertical="center" wrapText="1"/>
    </xf>
    <xf numFmtId="0" fontId="0" fillId="0" borderId="31" xfId="0" applyFill="1" applyBorder="1" applyAlignment="1">
      <alignment vertical="center" wrapText="1"/>
    </xf>
    <xf numFmtId="0" fontId="0" fillId="0" borderId="85" xfId="0" applyFill="1" applyBorder="1" applyAlignment="1">
      <alignment vertical="center"/>
    </xf>
    <xf numFmtId="0" fontId="7" fillId="0" borderId="82"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85" xfId="0" applyFont="1" applyFill="1" applyBorder="1" applyAlignment="1">
      <alignment horizontal="center" vertical="center"/>
    </xf>
    <xf numFmtId="38" fontId="5" fillId="2" borderId="88" xfId="1" applyFont="1" applyFill="1" applyBorder="1" applyAlignment="1">
      <alignment vertical="center" wrapText="1"/>
    </xf>
    <xf numFmtId="38" fontId="5" fillId="2" borderId="88" xfId="1" quotePrefix="1" applyFont="1" applyFill="1" applyBorder="1" applyAlignment="1">
      <alignment vertical="center"/>
    </xf>
    <xf numFmtId="0" fontId="7" fillId="0" borderId="104" xfId="0" applyFont="1" applyFill="1" applyBorder="1" applyAlignment="1">
      <alignment vertical="center"/>
    </xf>
    <xf numFmtId="0" fontId="0" fillId="0" borderId="5" xfId="0" quotePrefix="1" applyFill="1" applyBorder="1" applyAlignment="1">
      <alignment vertical="center" wrapText="1"/>
    </xf>
    <xf numFmtId="0" fontId="0" fillId="0" borderId="3" xfId="0" quotePrefix="1" applyFill="1" applyBorder="1" applyAlignment="1">
      <alignment vertical="center" wrapText="1"/>
    </xf>
    <xf numFmtId="0" fontId="0" fillId="0" borderId="4" xfId="0" quotePrefix="1" applyFill="1" applyBorder="1" applyAlignment="1">
      <alignment vertical="center" wrapText="1"/>
    </xf>
    <xf numFmtId="0" fontId="7" fillId="0" borderId="88" xfId="0" applyFont="1" applyFill="1" applyBorder="1" applyAlignment="1">
      <alignment vertical="center" wrapText="1"/>
    </xf>
    <xf numFmtId="0" fontId="7" fillId="0" borderId="89" xfId="0" applyFont="1" applyFill="1" applyBorder="1" applyAlignment="1">
      <alignment vertical="center"/>
    </xf>
    <xf numFmtId="38" fontId="9" fillId="2" borderId="28" xfId="1" applyFont="1" applyFill="1" applyBorder="1" applyAlignment="1">
      <alignment vertical="center"/>
    </xf>
    <xf numFmtId="38" fontId="9" fillId="2" borderId="89" xfId="1" applyFont="1" applyFill="1" applyBorder="1" applyAlignment="1">
      <alignment vertical="center"/>
    </xf>
    <xf numFmtId="0" fontId="9" fillId="2" borderId="59" xfId="0" applyFont="1" applyFill="1" applyBorder="1" applyAlignment="1">
      <alignment vertical="center" wrapText="1"/>
    </xf>
    <xf numFmtId="0" fontId="5" fillId="0" borderId="56" xfId="0" applyFont="1" applyFill="1" applyBorder="1" applyAlignment="1">
      <alignment vertical="center" wrapText="1"/>
    </xf>
    <xf numFmtId="0" fontId="5" fillId="0" borderId="57" xfId="0" applyFont="1" applyFill="1" applyBorder="1" applyAlignment="1">
      <alignment vertical="center" wrapText="1"/>
    </xf>
    <xf numFmtId="0" fontId="5" fillId="0" borderId="53" xfId="0" applyFont="1" applyBorder="1" applyAlignment="1">
      <alignment vertical="center"/>
    </xf>
    <xf numFmtId="38" fontId="5" fillId="0" borderId="55" xfId="1" applyFont="1" applyFill="1" applyBorder="1" applyAlignment="1">
      <alignment vertical="center" wrapText="1"/>
    </xf>
    <xf numFmtId="38" fontId="5" fillId="0" borderId="55" xfId="1" applyFont="1" applyFill="1" applyBorder="1" applyAlignment="1">
      <alignment vertical="center"/>
    </xf>
    <xf numFmtId="176" fontId="5" fillId="0" borderId="53" xfId="1" applyNumberFormat="1" applyFont="1" applyBorder="1" applyAlignment="1">
      <alignment vertical="center"/>
    </xf>
    <xf numFmtId="0" fontId="5" fillId="0" borderId="53" xfId="0" applyFont="1" applyFill="1" applyBorder="1" applyAlignment="1">
      <alignment vertical="center" wrapText="1"/>
    </xf>
    <xf numFmtId="38" fontId="5" fillId="0" borderId="54" xfId="1" applyFont="1" applyBorder="1" applyAlignment="1">
      <alignment vertical="center"/>
    </xf>
    <xf numFmtId="38" fontId="5" fillId="0" borderId="27" xfId="1" applyFont="1" applyBorder="1" applyAlignment="1">
      <alignment vertical="center"/>
    </xf>
    <xf numFmtId="38" fontId="5" fillId="0" borderId="55" xfId="1" applyFont="1" applyBorder="1" applyAlignment="1">
      <alignment vertical="center"/>
    </xf>
    <xf numFmtId="0" fontId="5" fillId="0" borderId="65" xfId="0" applyFont="1" applyBorder="1" applyAlignment="1">
      <alignment vertical="center"/>
    </xf>
    <xf numFmtId="0" fontId="5" fillId="0" borderId="61" xfId="0" applyFont="1" applyBorder="1" applyAlignment="1">
      <alignment vertical="center"/>
    </xf>
    <xf numFmtId="0" fontId="5" fillId="0" borderId="76" xfId="0" applyFont="1" applyBorder="1" applyAlignment="1">
      <alignment vertical="center"/>
    </xf>
    <xf numFmtId="0" fontId="5" fillId="0" borderId="80" xfId="0" applyFont="1" applyBorder="1" applyAlignment="1">
      <alignment vertical="center"/>
    </xf>
    <xf numFmtId="0" fontId="5" fillId="0" borderId="82" xfId="0" applyFont="1" applyFill="1" applyBorder="1" applyAlignment="1">
      <alignment vertical="center" wrapText="1"/>
    </xf>
    <xf numFmtId="0" fontId="5" fillId="0" borderId="83" xfId="0" applyFont="1" applyFill="1" applyBorder="1" applyAlignment="1">
      <alignment vertical="center" wrapText="1"/>
    </xf>
    <xf numFmtId="0" fontId="5" fillId="0" borderId="84" xfId="0" applyFont="1" applyFill="1" applyBorder="1" applyAlignment="1">
      <alignment vertical="center" wrapText="1"/>
    </xf>
    <xf numFmtId="0" fontId="5" fillId="0" borderId="85" xfId="0" applyFont="1" applyFill="1" applyBorder="1" applyAlignment="1">
      <alignment vertical="center" wrapText="1"/>
    </xf>
    <xf numFmtId="0" fontId="5" fillId="0" borderId="86" xfId="0" applyFont="1" applyFill="1" applyBorder="1" applyAlignment="1">
      <alignment vertical="center" wrapText="1"/>
    </xf>
    <xf numFmtId="0" fontId="5" fillId="0" borderId="87" xfId="0" applyFont="1" applyFill="1" applyBorder="1" applyAlignment="1">
      <alignment vertical="center" wrapText="1"/>
    </xf>
    <xf numFmtId="0" fontId="5" fillId="0" borderId="87" xfId="0" applyFont="1" applyFill="1" applyBorder="1" applyAlignment="1">
      <alignment vertical="center"/>
    </xf>
    <xf numFmtId="0" fontId="5" fillId="0" borderId="91" xfId="0" applyFont="1" applyFill="1" applyBorder="1" applyAlignment="1">
      <alignment vertical="center" wrapText="1"/>
    </xf>
    <xf numFmtId="0" fontId="5" fillId="2" borderId="1" xfId="0" applyFont="1" applyFill="1" applyBorder="1" applyAlignment="1">
      <alignment vertical="center" wrapText="1"/>
    </xf>
    <xf numFmtId="0" fontId="5" fillId="2" borderId="64" xfId="0" applyFont="1" applyFill="1" applyBorder="1" applyAlignment="1">
      <alignment vertical="center" wrapText="1"/>
    </xf>
    <xf numFmtId="0" fontId="5" fillId="0" borderId="82" xfId="0" applyFont="1" applyFill="1" applyBorder="1" applyAlignment="1">
      <alignment vertical="top" wrapText="1"/>
    </xf>
    <xf numFmtId="0" fontId="5" fillId="0" borderId="83" xfId="0" applyFont="1" applyFill="1" applyBorder="1" applyAlignment="1">
      <alignment vertical="top"/>
    </xf>
    <xf numFmtId="0" fontId="5" fillId="0" borderId="86" xfId="0" applyFont="1" applyFill="1" applyBorder="1" applyAlignment="1">
      <alignment vertical="top"/>
    </xf>
    <xf numFmtId="0" fontId="5" fillId="0" borderId="87" xfId="0" applyFont="1" applyFill="1" applyBorder="1" applyAlignment="1">
      <alignment vertical="top"/>
    </xf>
    <xf numFmtId="0" fontId="5" fillId="0" borderId="63" xfId="0" applyFont="1" applyBorder="1" applyAlignment="1">
      <alignment vertical="center"/>
    </xf>
    <xf numFmtId="0" fontId="5" fillId="0" borderId="60" xfId="0" applyFont="1" applyBorder="1" applyAlignment="1">
      <alignment vertical="center"/>
    </xf>
    <xf numFmtId="0" fontId="5" fillId="0" borderId="98" xfId="0" applyFont="1" applyBorder="1" applyAlignment="1">
      <alignment vertical="center"/>
    </xf>
    <xf numFmtId="0" fontId="5" fillId="0" borderId="95" xfId="0" applyFont="1" applyBorder="1" applyAlignment="1">
      <alignment vertical="center"/>
    </xf>
    <xf numFmtId="0" fontId="5" fillId="0" borderId="85" xfId="0" applyFont="1" applyFill="1" applyBorder="1" applyAlignment="1">
      <alignment vertical="center"/>
    </xf>
  </cellXfs>
  <cellStyles count="1873">
    <cellStyle name="_x0001_" xfId="6"/>
    <cellStyle name=" 1" xfId="7"/>
    <cellStyle name=" 2" xfId="8"/>
    <cellStyle name=" 3" xfId="9"/>
    <cellStyle name=" 4" xfId="10"/>
    <cellStyle name=" 5" xfId="11"/>
    <cellStyle name=" 6" xfId="12"/>
    <cellStyle name="_x000a_mouse.drv=lm" xfId="13"/>
    <cellStyle name="､@ｯ・880330" xfId="14"/>
    <cellStyle name="､@ｯ・Book1" xfId="15"/>
    <cellStyle name="､@ｯ・E18639" xfId="16"/>
    <cellStyle name="､@ｯ・P186_001213EUR" xfId="17"/>
    <cellStyle name="､@ｯ・P4TR1_1219carunit" xfId="18"/>
    <cellStyle name="､@ｯ・S2SOPODR" xfId="19"/>
    <cellStyle name="､@ｯ・tZR_39_KV1010219" xfId="20"/>
    <cellStyle name="､d､ﾀｦ・0]_anems_block_list186" xfId="21"/>
    <cellStyle name="､d､ﾀｦ・anems_block_list186" xfId="22"/>
    <cellStyle name="､d､ﾀｦ・Book1" xfId="23"/>
    <cellStyle name="､d､ﾀｦ・E18639" xfId="24"/>
    <cellStyle name="､d､ﾀｦ・P186_001213EUR" xfId="25"/>
    <cellStyle name="､d､ﾀｦ・P4TR1_1219carunit" xfId="26"/>
    <cellStyle name="､d､ﾀｦ・tZR_39_KV1010219" xfId="27"/>
    <cellStyle name=".0." xfId="28"/>
    <cellStyle name="??" xfId="29"/>
    <cellStyle name="?? [0.00]_????(?) " xfId="30"/>
    <cellStyle name="?? [0]_RESULTS" xfId="31"/>
    <cellStyle name="??? [0]_????????aro" xfId="32"/>
    <cellStyle name="???? [0.00]_??4-3 ???????Format?" xfId="33"/>
    <cellStyle name="???? [0]_???" xfId="34"/>
    <cellStyle name="???????" xfId="35"/>
    <cellStyle name="???????_x0003_" xfId="36"/>
    <cellStyle name="???????_x0004_" xfId="37"/>
    <cellStyle name="????????" xfId="38"/>
    <cellStyle name="????????????" xfId="39"/>
    <cellStyle name="???????????? Change1.5.1" xfId="40"/>
    <cellStyle name="????????????_1 (4)" xfId="41"/>
    <cellStyle name="????????????-21-2002 fro" xfId="42"/>
    <cellStyle name="????????????erlinkNNOTEW" xfId="43"/>
    <cellStyle name="????????????esolume 02A3" xfId="44"/>
    <cellStyle name="????????????ge Details1c" xfId="45"/>
    <cellStyle name="????????????le" xfId="46"/>
    <cellStyle name="????????????n_Report for" xfId="47"/>
    <cellStyle name="????????????nalysission " xfId="48"/>
    <cellStyle name="????????????NOTEWINNOTET" xfId="49"/>
    <cellStyle name="????????????NOTEWINNOTEW" xfId="50"/>
    <cellStyle name="????????????VC (2))VC (2" xfId="51"/>
    <cellStyle name="?????????WINNO" xfId="52"/>
    <cellStyle name="????????È" xfId="53"/>
    <cellStyle name="????????ﾀWINNO" xfId="54"/>
    <cellStyle name="???????_~0034010deasisr" xfId="55"/>
    <cellStyle name="???????IT COST" xfId="56"/>
    <cellStyle name="???????nkHyper" xfId="57"/>
    <cellStyle name="???????ructure" xfId="58"/>
    <cellStyle name="???????uscodes" xfId="59"/>
    <cellStyle name="???????usmixes" xfId="60"/>
    <cellStyle name="???????XX vs a" xfId="61"/>
    <cellStyle name="?????_?? " xfId="62"/>
    <cellStyle name="????_???" xfId="63"/>
    <cellStyle name="???[0]_RESULTS" xfId="64"/>
    <cellStyle name="???_???" xfId="65"/>
    <cellStyle name="???F [0.00]_~0034010_ana" xfId="66"/>
    <cellStyle name="???F_~0034010_ana" xfId="67"/>
    <cellStyle name="???ｷｷ???????nalysission " xfId="68"/>
    <cellStyle name="??_ Variance Costel" xfId="69"/>
    <cellStyle name="??a??e [0.00]_?K?,T?I?xlsTE" xfId="70"/>
    <cellStyle name="??a??e_?K?,T?I?xlsytionssTE" xfId="71"/>
    <cellStyle name="?@??Book1" xfId="72"/>
    <cellStyle name="?@??E18639" xfId="73"/>
    <cellStyle name="?@??P186_001213EUR" xfId="74"/>
    <cellStyle name="?@??P4TR1_1219carunit" xfId="75"/>
    <cellStyle name="?@??tZR_39_KV1010219" xfId="76"/>
    <cellStyle name="?]Y [0.00]_Book1liG" xfId="77"/>
    <cellStyle name="?]Y_Book1]_s" xfId="78"/>
    <cellStyle name="?\??・?????n?C?pー???“?N" xfId="79"/>
    <cellStyle name="?・a??e [0.00]_Book1ys" xfId="80"/>
    <cellStyle name="?・a??e_Book1]_" xfId="81"/>
    <cellStyle name="?d????0]_anems_block_list186" xfId="82"/>
    <cellStyle name="?d????anems_block_list186" xfId="83"/>
    <cellStyle name="?d????Book1" xfId="84"/>
    <cellStyle name="?d????E18639" xfId="85"/>
    <cellStyle name="?d????P186_001213EUR" xfId="86"/>
    <cellStyle name="?d????P4TR1_1219carunit" xfId="87"/>
    <cellStyle name="?d????tZR_39_KV1010219" xfId="88"/>
    <cellStyle name="?EûW?" xfId="89"/>
    <cellStyle name="?E茁啗" xfId="90"/>
    <cellStyle name="?f??[0]_anems_block_list186" xfId="91"/>
    <cellStyle name="?f??anems_block_list186" xfId="92"/>
    <cellStyle name="?f??Book1" xfId="93"/>
    <cellStyle name="?f??E18639" xfId="94"/>
    <cellStyle name="?f??P186_001213EUR" xfId="95"/>
    <cellStyle name="?f??P4TR1_1219carunit" xfId="96"/>
    <cellStyle name="?f??tZR_39_KV1010219" xfId="97"/>
    <cellStyle name="?n?C?p????・N" xfId="99"/>
    <cellStyle name="?n?C?pー???“?N" xfId="100"/>
    <cellStyle name="?W?_?\?Z" xfId="101"/>
    <cellStyle name="?W·_??·?????°?" xfId="102"/>
    <cellStyle name="?W・_??”??o”?" xfId="103"/>
    <cellStyle name="?WE_BP01 P&amp;L Forms for NSCs" xfId="104"/>
    <cellStyle name="?Wｷ_??・?o・" xfId="105"/>
    <cellStyle name="?ｷ? [0]_????????aro" xfId="106"/>
    <cellStyle name="?ｷ?_????????aro" xfId="107"/>
    <cellStyle name="?ｷa??e [0.00]_?K?,T?I?xlsTE" xfId="108"/>
    <cellStyle name="?ｷa??e_?K?,T?I?xlsytionssTE" xfId="109"/>
    <cellStyle name="? [0.00]_Attachment 2 (2)" xfId="114"/>
    <cellStyle name="?_Attachment 2 (2)" xfId="115"/>
    <cellStyle name="?浦 [0.00]_Attachment 2 (2)" xfId="110"/>
    <cellStyle name="?浦_Attachment 2 (2)" xfId="111"/>
    <cellStyle name="?癵_#1鷎鸍?BEO?鼜襩???" xfId="112"/>
    <cellStyle name="?籉??????????" xfId="113"/>
    <cellStyle name="___INP DAILY REPORT" xfId="116"/>
    <cellStyle name="___INP DAILY REPORT_51. Volume To MISI" xfId="117"/>
    <cellStyle name="___INP DAILY REPORT_51. Volume To MISI_rev1" xfId="118"/>
    <cellStyle name="___INP DAILY REPORT_Forecast Volume FY08 (Apr'08-Mar'09)-SUPPLIERS X11J-KD &amp; IPO" xfId="119"/>
    <cellStyle name="___INP DAILY REPORT_NCIC FORMAL PARTS LIST(20070822)" xfId="120"/>
    <cellStyle name="___INP DAILY REPORT_NCIC FORMAL PARTS LIST(20070910)" xfId="121"/>
    <cellStyle name="___INP DAILY REPORT_NCIC FORMAL PARTS LIST(200710)" xfId="122"/>
    <cellStyle name="___INP DAILY REPORT_NCIC FORMAL PARTS LIST(200711)" xfId="123"/>
    <cellStyle name="___INP DAILY REPORT_NCIC FORMAL PARTS LIST(200801)" xfId="124"/>
    <cellStyle name="___INP DAILY REPORT_NCIC FORMAL PARTS LIST(200803027)" xfId="125"/>
    <cellStyle name="___INP DAILY REPORT_NCIC FORMAL PARTS LIST-IPO(20080401)" xfId="126"/>
    <cellStyle name="___INP DAILY REPORT_NCIC FORMAL PARTS LIST-IPO(20080505)Master" xfId="127"/>
    <cellStyle name="___INP DAILY REPORT_PARTS LIST7-30" xfId="128"/>
    <cellStyle name="___INP DAILY REPORT_X11C ET Pack Order List to SNA" xfId="129"/>
    <cellStyle name="___INP DAILY REPORT_X11C ET Pack Order List to SNA_Forecast Volume FY08 (Apr'08-Mar'09)-SUPPLIERS X11J-KD &amp; IPO" xfId="130"/>
    <cellStyle name="___INP DAILY REPORT_X11C PPEC050712 (stamp content revised)" xfId="131"/>
    <cellStyle name="___INP DAILY REPORT_X11C PPEC050712 (stamp content revised)_Forecast Volume FY08 (Apr'08-Mar'09)-SUPPLIERS X11J-KD &amp; IPO" xfId="132"/>
    <cellStyle name="___INP DAILY REPORT_X11J PARTS LIST-070822" xfId="133"/>
    <cellStyle name="___INP DAILY REPORT_X12B tekiyo list" xfId="134"/>
    <cellStyle name="_【容積込み091203】PCC Budget BP10#1 rev 07_19Oct09" xfId="135"/>
    <cellStyle name="_0仕様書ｓｐｌｉｎｅ(表紙_仕様変更)" xfId="136"/>
    <cellStyle name="_10  Master List X11J Export SEP'07 (2007-10-01)" xfId="137"/>
    <cellStyle name="_110912受領データ_物流CO2（日産）" xfId="138"/>
    <cellStyle name="_2005MTP投资计划表格表(新2)20050512" xfId="139"/>
    <cellStyle name="_20110128_NGP2015検討用CO2_進捗確認表" xfId="140"/>
    <cellStyle name="_anotace" xfId="141"/>
    <cellStyle name="_anotace_Btaikai_after.xls グラフ 2453" xfId="142"/>
    <cellStyle name="_anotace_JPN システムアップ工事管理表050218" xfId="143"/>
    <cellStyle name="_anotace_JPN システムアップ工事管理表050218_C1" xfId="144"/>
    <cellStyle name="_anotace_JPN システムアップ工事管理表050218_改訂 【ホンダ入力】Scope3算定ファイル20120604(最終版）" xfId="145"/>
    <cellStyle name="_AS06-10人员计划050603" xfId="146"/>
    <cellStyle name="_BGT Dept FY-07-final" xfId="147"/>
    <cellStyle name="_BK draft INN X11J SAF_TWN 22-6-07" xfId="148"/>
    <cellStyle name="_Book2" xfId="149"/>
    <cellStyle name="_Book2_改訂 【ホンダ入力】Scope3算定ファイル20120604(最終版）" xfId="150"/>
    <cellStyle name="_CALCULATION 3M FORECAST WK51" xfId="151"/>
    <cellStyle name="_CKD NCIC Aug 10" xfId="152"/>
    <cellStyle name="_DFL" xfId="153"/>
    <cellStyle name="_ESS#1輸送キョリVERSION2 (2)" xfId="154"/>
    <cellStyle name="_Even Monthly Rack Requirement (22-6-07)REV" xfId="155"/>
    <cellStyle name="_E企報告Bzone" xfId="156"/>
    <cellStyle name="_ＦＲ ＤＯＯＲ 打点ＬＡＹ ＯＵＴ " xfId="157"/>
    <cellStyle name="_FY08 Monthly RR Requirement" xfId="158"/>
    <cellStyle name="_FY10 PCC Volume # 1 (Orgn)_100509 (1)" xfId="159"/>
    <cellStyle name="_FY10～13 主要ＰＣＣ出荷容積 08MTP((09.11.11) PW b1x" xfId="160"/>
    <cellStyle name="_GA1" xfId="161"/>
    <cellStyle name="_GA1_改訂 【ホンダ入力】Scope3算定ファイル20120604(最終版）" xfId="162"/>
    <cellStyle name="_GW mezz" xfId="163"/>
    <cellStyle name="_GW_LINE_SPEC" xfId="164"/>
    <cellStyle name="_HUM NEP GW LINE SPEC." xfId="165"/>
    <cellStyle name="_HUM NEP SP LINE SPEC." xfId="166"/>
    <cellStyle name="_Inbound-Milk Run" xfId="167"/>
    <cellStyle name="_INN PCC Part Cost (160107)" xfId="168"/>
    <cellStyle name="_INN PCC Part Cost (as 160107)" xfId="169"/>
    <cellStyle name="_manufacture cost" xfId="170"/>
    <cellStyle name="_MRD and SOP as (030407)" xfId="171"/>
    <cellStyle name="_MRD and SOP as (030407)_Forecast Volume FY08 (Apr'08-Mar'09)-SUPPLIERS X11J-KD &amp; IPO" xfId="172"/>
    <cellStyle name="_MRD as (110607)" xfId="173"/>
    <cellStyle name="_MRD as (291206)" xfId="174"/>
    <cellStyle name="_MTP 04vs03final" xfId="175"/>
    <cellStyle name="_MTP 04vs03final_改訂 【ホンダ入力】Scope3算定ファイル20120604(最終版）" xfId="176"/>
    <cellStyle name="_MTP Activity List Environmental Impact 101017" xfId="177"/>
    <cellStyle name="_MTP SM Assumption" xfId="178"/>
    <cellStyle name="_New_Vehicle_X11J_PHI" xfId="179"/>
    <cellStyle name="_NSA Buffer Stock-To Supplier (3)" xfId="180"/>
    <cellStyle name="_NSA Buffer Stock-To Supplier (3)_Forecast Volume FY08 (Apr'08-Mar'09)-SUPPLIERS X11J-KD &amp; IPO" xfId="181"/>
    <cellStyle name="_NSA Status PO (Martha)-1" xfId="182"/>
    <cellStyle name="_NSA Status PO (Martha)-1_Forecast Volume FY08 (Apr'08-Mar'09)-SUPPLIERS X11J-KD &amp; IPO" xfId="183"/>
    <cellStyle name="_odrážky" xfId="184"/>
    <cellStyle name="_odrážky_Btaikai_after.xls グラフ 2453" xfId="185"/>
    <cellStyle name="_odrážky_JPN システムアップ工事管理表050218" xfId="186"/>
    <cellStyle name="_odrážky_JPN システムアップ工事管理表050218_C1" xfId="187"/>
    <cellStyle name="_odrážky_JPN システムアップ工事管理表050218_改訂 【ホンダ入力】Scope3算定ファイル20120604(最終版）" xfId="188"/>
    <cellStyle name="_Offline Apr - Sept 2007" xfId="189"/>
    <cellStyle name="_PCC P&amp;L FY09 BP Reply #3_Final" xfId="190"/>
    <cellStyle name="_PCC P&amp;L FY09 BP Reply #3_Final with Break Down" xfId="191"/>
    <cellStyle name="_PL Checking" xfId="192"/>
    <cellStyle name="_plz - Jkt november" xfId="193"/>
    <cellStyle name="_Product Plan 5月8日会议" xfId="194"/>
    <cellStyle name="_Round Use PCC Schedule" xfId="195"/>
    <cellStyle name="_S5S D_ZONE部品表" xfId="196"/>
    <cellStyle name="_S6A D_ZONE部品表" xfId="197"/>
    <cellStyle name="_SCM" xfId="198"/>
    <cellStyle name="_SCM_改訂 【ホンダ入力】Scope3算定ファイル20120604(最終版）" xfId="199"/>
    <cellStyle name="_Sheet1" xfId="200"/>
    <cellStyle name="_Sheet1_Sheet3" xfId="201"/>
    <cellStyle name="_Sheet1_月度分解" xfId="202"/>
    <cellStyle name="_Sheet1_月度分解_改訂 【ホンダ入力】Scope3算定ファイル20120604(最終版）" xfId="203"/>
    <cellStyle name="_Sheet1_实际完成" xfId="204"/>
    <cellStyle name="_Sheet1_实际完成_改訂 【ホンダ入力】Scope3算定ファイル20120604(最終版）" xfId="205"/>
    <cellStyle name="_Sheet10" xfId="206"/>
    <cellStyle name="_Sheet2" xfId="207"/>
    <cellStyle name="_Sheet2_ESS#1輸送キョリVERSION2 (2)" xfId="208"/>
    <cellStyle name="_Sheet2_ESS#1輸送キョリVERSION2 (2)_改訂 【ホンダ入力】Scope3算定ファイル20120604(最終版）" xfId="209"/>
    <cellStyle name="_Sheet3" xfId="210"/>
    <cellStyle name="_Shipping Volumn" xfId="211"/>
    <cellStyle name="_SOP(全部）-PRICE(SOP)" xfId="212"/>
    <cellStyle name="_SP_LINE_SPEC" xfId="213"/>
    <cellStyle name="_Sub Component_230507" xfId="214"/>
    <cellStyle name="_SUMMARY QTY IPO" xfId="215"/>
    <cellStyle name="_TDC trial" xfId="216"/>
    <cellStyle name="_TDC trial_改訂 【ホンダ入力】Scope3算定ファイル20120604(最終版）" xfId="217"/>
    <cellStyle name="_Travel Expenses  Labour Cost Jul-Sept 2007 (Rev#1) (3)" xfId="218"/>
    <cellStyle name="_TWN Min Order Qty (RAN) (2)" xfId="219"/>
    <cellStyle name="_TWN&amp;INN HS 编码及中文" xfId="220"/>
    <cellStyle name="_VA_FY10" xfId="221"/>
    <cellStyle name="_VTT YNM JAN-JUN 2009 (080408)_MARTHA" xfId="222"/>
    <cellStyle name="_VTT(SHGZ-IN)-20061103" xfId="223"/>
    <cellStyle name="_VTT(SHGZ-IN)-20061103_NCIC FORMAL PARTS LIST(20070822)" xfId="224"/>
    <cellStyle name="_VTT(SHGZ-IN)-20061103_NCIC FORMAL PARTS LIST(20070910)" xfId="225"/>
    <cellStyle name="_VTT(SHGZ-IN)-20061103_NCIC FORMAL PARTS LIST(200710)" xfId="226"/>
    <cellStyle name="_VTT(SHGZ-IN)-20061103_NCIC FORMAL PARTS LIST(200711)" xfId="227"/>
    <cellStyle name="_VTT(SHGZ-IN)-20061103_NCIC FORMAL PARTS LIST(200801)" xfId="228"/>
    <cellStyle name="_VTT(SHGZ-IN)-20061103_NCIC FORMAL PARTS LIST(200803027)" xfId="229"/>
    <cellStyle name="_VTT(SHGZ-IN)-20061103_NCIC FORMAL PARTS LIST-IPO(20080401)" xfId="230"/>
    <cellStyle name="_VTT(SHGZ-IN)-20061103_NCIC FORMAL PARTS LIST-IPO(20080505)Master" xfId="231"/>
    <cellStyle name="_VTT(SHGZ-IN)-20061103_PARTS LIST7-30" xfId="232"/>
    <cellStyle name="_VTT(SHGZ-IN)-20061103_X11J PARTS LIST-070822" xfId="233"/>
    <cellStyle name="_VTT(SHGZ-IN)-20061103_X12B tekiyo list" xfId="234"/>
    <cellStyle name="_Weekly FC WK36 1AZ3" xfId="235"/>
    <cellStyle name="_Weekly FC WK36 1AZ4" xfId="236"/>
    <cellStyle name="_X11J GSP OrderingSOP2" xfId="237"/>
    <cellStyle name="_X11J GSP OrderingSOP2_Forecast Volume FY08 (Apr'08-Mar'09)-SUPPLIERS X11J-KD &amp; IPO" xfId="238"/>
    <cellStyle name="_X11J NSA Case Calculation (22-5-07)" xfId="239"/>
    <cellStyle name="_xf05年工厂损益预算表格3-1215" xfId="240"/>
    <cellStyle name="_xf05年工厂损益预算表格3-1215_DFL FY05　Budget" xfId="241"/>
    <cellStyle name="_xf05年工厂损益预算表格3-1215_DFL FY05　Budget_FY11-13 commercial outlook-Global" xfId="242"/>
    <cellStyle name="_xf05年工厂损益预算表格3-1215_DFL FY05　Budget_FY11-13 commercial outlook-Global_改訂 【ホンダ入力】Scope3算定ファイル20120604(最終版）" xfId="243"/>
    <cellStyle name="_xf05年工厂损益预算表格3-1215_DFL FY05　Budget_NMI Commercial Outlook FY11-13" xfId="244"/>
    <cellStyle name="_xf05年工厂损益预算表格3-1215_DFL FY05　Budget_NMI Commercial Outlook FY11-13_改訂 【ホンダ入力】Scope3算定ファイル20120604(最終版）" xfId="245"/>
    <cellStyle name="_xf05年工厂损益预算表格3-1215_DFL FY05　Budget_NMI EVP Letter Guide" xfId="246"/>
    <cellStyle name="_xf05年工厂损益预算表格3-1215_DFL FY05　Budget_NMI EVP Letter Guide_改訂 【ホンダ入力】Scope3算定ファイル20120604(最終版）" xfId="247"/>
    <cellStyle name="_xf05年工厂损益预算表格3-1215_DFL FY05　Budget_NMI FY07 Core cost #1 Reply format" xfId="248"/>
    <cellStyle name="_xf05年工厂损益预算表格3-1215_DFL FY05　Budget_NMI FY07 Core cost #1 Reply format_改訂 【ホンダ入力】Scope3算定ファイル20120604(最終版）" xfId="249"/>
    <cellStyle name="_xf05年工厂损益预算表格3-1215_DFL FY05　Budget_X1 GOM 4 Comp" xfId="250"/>
    <cellStyle name="_xf05年工厂损益预算表格3-1215_DFL FY05　Budget_X1 GOM 4 Comp_NMI EVP Letter Guide" xfId="251"/>
    <cellStyle name="_xf05年工厂损益预算表格3-1215_DFL FY05　Budget_X1 GOM 4 Comp_NMI EVP Letter Guide_改訂 【ホンダ入力】Scope3算定ファイル20120604(最終版）" xfId="252"/>
    <cellStyle name="_xf05年工厂损益预算表格3-1215_DFL FY05　Budget_X1 GOM 4 Comp_改訂 【ホンダ入力】Scope3算定ファイル20120604(最終版）" xfId="253"/>
    <cellStyle name="_xf05年工厂损益预算表格3-1215_DFL FY05　Budget_改訂 【ホンダ入力】Scope3算定ファイル20120604(最終版）" xfId="254"/>
    <cellStyle name="_xf05年工厂损益预算表格3-1215_DFL FY05 MFG Budget Monthly" xfId="255"/>
    <cellStyle name="_xf05年工厂损益预算表格3-1215_DFL FY05 MFG Budget Monthly_FY11-13 commercial outlook-Global" xfId="256"/>
    <cellStyle name="_xf05年工厂损益预算表格3-1215_DFL FY05 MFG Budget Monthly_FY11-13 commercial outlook-Global_改訂 【ホンダ入力】Scope3算定ファイル20120604(最終版）" xfId="257"/>
    <cellStyle name="_xf05年工厂损益预算表格3-1215_DFL FY05 MFG Budget Monthly_NMI Commercial Outlook FY11-13" xfId="258"/>
    <cellStyle name="_xf05年工厂损益预算表格3-1215_DFL FY05 MFG Budget Monthly_NMI Commercial Outlook FY11-13_改訂 【ホンダ入力】Scope3算定ファイル20120604(最終版）" xfId="259"/>
    <cellStyle name="_xf05年工厂损益预算表格3-1215_DFL FY05 MFG Budget Monthly_NMI EVP Letter Guide" xfId="260"/>
    <cellStyle name="_xf05年工厂损益预算表格3-1215_DFL FY05 MFG Budget Monthly_NMI EVP Letter Guide_改訂 【ホンダ入力】Scope3算定ファイル20120604(最終版）" xfId="261"/>
    <cellStyle name="_xf05年工厂损益预算表格3-1215_DFL FY05 MFG Budget Monthly_NMI FY07 Core cost #1 Reply format" xfId="262"/>
    <cellStyle name="_xf05年工厂损益预算表格3-1215_DFL FY05 MFG Budget Monthly_NMI FY07 Core cost #1 Reply format_改訂 【ホンダ入力】Scope3算定ファイル20120604(最終版）" xfId="263"/>
    <cellStyle name="_xf05年工厂损益预算表格3-1215_DFL FY05 MFG Budget Monthly_X1 GOM 4 Comp" xfId="264"/>
    <cellStyle name="_xf05年工厂损益预算表格3-1215_DFL FY05 MFG Budget Monthly_X1 GOM 4 Comp_NMI EVP Letter Guide" xfId="265"/>
    <cellStyle name="_xf05年工厂损益预算表格3-1215_DFL FY05 MFG Budget Monthly_X1 GOM 4 Comp_NMI EVP Letter Guide_改訂 【ホンダ入力】Scope3算定ファイル20120604(最終版）" xfId="266"/>
    <cellStyle name="_xf05年工厂损益预算表格3-1215_DFL FY05 MFG Budget Monthly_X1 GOM 4 Comp_改訂 【ホンダ入力】Scope3算定ファイル20120604(最終版）" xfId="267"/>
    <cellStyle name="_xf05年工厂损益预算表格3-1215_DFL FY05 MFG Budget Monthly_改訂 【ホンダ入力】Scope3算定ファイル20120604(最終版）" xfId="268"/>
    <cellStyle name="_xf05年工厂损益预算表格3-1215_FY11-13 commercial outlook-Global" xfId="269"/>
    <cellStyle name="_xf05年工厂损益预算表格3-1215_FY11-13 commercial outlook-Global_改訂 【ホンダ入力】Scope3算定ファイル20120604(最終版）" xfId="270"/>
    <cellStyle name="_xf05年工厂损益预算表格3-1215_NMI Commercial Outlook FY11-13" xfId="271"/>
    <cellStyle name="_xf05年工厂损益预算表格3-1215_NMI Commercial Outlook FY11-13_改訂 【ホンダ入力】Scope3算定ファイル20120604(最終版）" xfId="272"/>
    <cellStyle name="_xf05年工厂损益预算表格3-1215_NMI EVP Letter Guide" xfId="273"/>
    <cellStyle name="_xf05年工厂损益预算表格3-1215_NMI EVP Letter Guide_改訂 【ホンダ入力】Scope3算定ファイル20120604(最終版）" xfId="274"/>
    <cellStyle name="_xf05年工厂损益预算表格3-1215_NMI FY05 Budget " xfId="275"/>
    <cellStyle name="_xf05年工厂损益预算表格3-1215_NMI FY05 Budget _FY11-13 commercial outlook-Global" xfId="276"/>
    <cellStyle name="_xf05年工厂损益预算表格3-1215_NMI FY05 Budget _FY11-13 commercial outlook-Global_改訂 【ホンダ入力】Scope3算定ファイル20120604(最終版）" xfId="277"/>
    <cellStyle name="_xf05年工厂损益预算表格3-1215_NMI FY05 Budget _NMI Commercial Outlook FY11-13" xfId="278"/>
    <cellStyle name="_xf05年工厂损益预算表格3-1215_NMI FY05 Budget _NMI Commercial Outlook FY11-13_改訂 【ホンダ入力】Scope3算定ファイル20120604(最終版）" xfId="279"/>
    <cellStyle name="_xf05年工厂损益预算表格3-1215_NMI FY05 Budget _NMI EVP Letter Guide" xfId="280"/>
    <cellStyle name="_xf05年工厂损益预算表格3-1215_NMI FY05 Budget _NMI EVP Letter Guide_改訂 【ホンダ入力】Scope3算定ファイル20120604(最終版）" xfId="281"/>
    <cellStyle name="_xf05年工厂损益预算表格3-1215_NMI FY05 Budget _NMI FY07 Core cost #1 Reply format" xfId="282"/>
    <cellStyle name="_xf05年工厂损益预算表格3-1215_NMI FY05 Budget _NMI FY07 Core cost #1 Reply format_改訂 【ホンダ入力】Scope3算定ファイル20120604(最終版）" xfId="283"/>
    <cellStyle name="_xf05年工厂损益预算表格3-1215_NMI FY05 Budget _X1 GOM 4 Comp" xfId="284"/>
    <cellStyle name="_xf05年工厂损益预算表格3-1215_NMI FY05 Budget _X1 GOM 4 Comp_NMI EVP Letter Guide" xfId="285"/>
    <cellStyle name="_xf05年工厂损益预算表格3-1215_NMI FY05 Budget _X1 GOM 4 Comp_NMI EVP Letter Guide_改訂 【ホンダ入力】Scope3算定ファイル20120604(最終版）" xfId="286"/>
    <cellStyle name="_xf05年工厂损益预算表格3-1215_NMI FY05 Budget _X1 GOM 4 Comp_改訂 【ホンダ入力】Scope3算定ファイル20120604(最終版）" xfId="287"/>
    <cellStyle name="_xf05年工厂损益预算表格3-1215_NMI FY05 Budget _改訂 【ホンダ入力】Scope3算定ファイル20120604(最終版）" xfId="288"/>
    <cellStyle name="_xf05年工厂损益预算表格3-1215_NMI FY07 Core cost #1 Reply format" xfId="289"/>
    <cellStyle name="_xf05年工厂损益预算表格3-1215_NMI FY07 Core cost #1 Reply format_改訂 【ホンダ入力】Scope3算定ファイル20120604(最終版）" xfId="290"/>
    <cellStyle name="_xf05年工厂损益预算表格3-1215_X1 GOM 4 Comp" xfId="291"/>
    <cellStyle name="_xf05年工厂损益预算表格3-1215_X1 GOM 4 Comp_NMI EVP Letter Guide" xfId="292"/>
    <cellStyle name="_xf05年工厂损益预算表格3-1215_X1 GOM 4 Comp_NMI EVP Letter Guide_改訂 【ホンダ入力】Scope3算定ファイル20120604(最終版）" xfId="293"/>
    <cellStyle name="_xf05年工厂损益预算表格3-1215_X1 GOM 4 Comp_改訂 【ホンダ入力】Scope3算定ファイル20120604(最終版）" xfId="294"/>
    <cellStyle name="_xf05年工厂损益预算表格3-1215_改訂 【ホンダ入力】Scope3算定ファイル20120604(最終版）" xfId="295"/>
    <cellStyle name="_月度分解" xfId="296"/>
    <cellStyle name="_見積仕様書原紙95" xfId="297"/>
    <cellStyle name="_原料二次データリスト" xfId="298"/>
    <cellStyle name="_工资" xfId="299"/>
    <cellStyle name="_人员计划明细表" xfId="300"/>
    <cellStyle name="_切片経歴" xfId="301"/>
    <cellStyle name="_二次データDB_最新版" xfId="302"/>
    <cellStyle name="_派驻" xfId="303"/>
    <cellStyle name="_標準見積仕様書（原紙）" xfId="304"/>
    <cellStyle name="_服务开发部" xfId="305"/>
    <cellStyle name="_零件表（NISSAN PCC）" xfId="306"/>
    <cellStyle name="_零件表11" xfId="307"/>
    <cellStyle name="_零件表8" xfId="308"/>
    <cellStyle name="_实际完成" xfId="309"/>
    <cellStyle name="_宱旓宯俀" xfId="310"/>
    <cellStyle name="_宱旓宯俀_改訂 【ホンダ入力】Scope3算定ファイル20120604(最終版）" xfId="311"/>
    <cellStyle name="_宱旓宯俁" xfId="312"/>
    <cellStyle name="_宱旓宯俁_改訂 【ホンダ入力】Scope3算定ファイル20120604(最終版）" xfId="313"/>
    <cellStyle name="_总零件表(0)" xfId="314"/>
    <cellStyle name="||" xfId="315"/>
    <cellStyle name="’?‰? [0.00]_”???‘???" xfId="316"/>
    <cellStyle name="’?‰?_”???‘???" xfId="317"/>
    <cellStyle name="’E]Y [0.00]_Book1li" xfId="318"/>
    <cellStyle name="’E]Y_Book1]_" xfId="319"/>
    <cellStyle name="’E‰Y [0.00]_Feuil1 (2)" xfId="320"/>
    <cellStyle name="’E‰Y_Feuil1 (2)" xfId="321"/>
    <cellStyle name="’Ê‰Ý_laroux" xfId="322"/>
    <cellStyle name="=E:\WINNT\SYSTEM32\COMMAND.COM" xfId="323"/>
    <cellStyle name="・・ [0.00]_・??・??" xfId="327"/>
    <cellStyle name="・・_・??・??" xfId="328"/>
    <cellStyle name="•\??®?®?™n™C™p©[™™“™N" xfId="330"/>
    <cellStyle name="•\????nCp[“N" xfId="329"/>
    <cellStyle name="•\|I©E©E™n™C™p©[™™“™N" xfId="331"/>
    <cellStyle name="•\Ž¦Ï‚Ý‚ÌƒnƒCƒp[ƒŠƒ“ƒN" xfId="332"/>
    <cellStyle name="•W€_ Kaku N 0810" xfId="334"/>
    <cellStyle name="•W_02Feb_Quick_NMISA(revised)" xfId="333"/>
    <cellStyle name="¢è`" xfId="324"/>
    <cellStyle name="\|IEEnCp[N" xfId="325"/>
    <cellStyle name="\¦ÏÝÌnCp[N" xfId="326"/>
    <cellStyle name="?J_Yäyå«?" xfId="98"/>
    <cellStyle name="aOe [0.00]_Attachment 2 (2)" xfId="738"/>
    <cellStyle name="aOe_Attachment 2 (2)" xfId="739"/>
    <cellStyle name="æØè [0.00]_(Prod parts)" xfId="736"/>
    <cellStyle name="æØè_(Prod parts)" xfId="737"/>
    <cellStyle name="EEE_NMPI VFOBEi" xfId="817"/>
    <cellStyle name="êÊ_0225Ôso·ñ" xfId="816"/>
    <cellStyle name="ÊÝ [0.00]_(Prod parts)" xfId="823"/>
    <cellStyle name="EY [0.00]_U-4" xfId="825"/>
    <cellStyle name="ÊÝ [0.00]_Sheet1" xfId="824"/>
    <cellStyle name="ÊÝ_(Prod parts)" xfId="826"/>
    <cellStyle name="EY_U-4" xfId="828"/>
    <cellStyle name="ÊÝ_laroux" xfId="827"/>
    <cellStyle name="f?E_P-Master" xfId="829"/>
    <cellStyle name="fEñY [0.00]_öU-4" xfId="831"/>
    <cellStyle name="fEnY [0.00]_DIE-1" xfId="830"/>
    <cellStyle name="fEñY_öU-4" xfId="833"/>
    <cellStyle name="fEnY_DIE-1" xfId="832"/>
    <cellStyle name="nCp[“N" xfId="922"/>
    <cellStyle name="nCp[N" xfId="923"/>
    <cellStyle name="ÙäÜ [0]_W?" xfId="1090"/>
    <cellStyle name="ÙäÜ_W?" xfId="1091"/>
    <cellStyle name="W_" xfId="1102"/>
    <cellStyle name="Ý¼[0]" xfId="1111"/>
    <cellStyle name="0" xfId="335"/>
    <cellStyle name="0,0_x000d__x000a_NA_x000d__x000a_" xfId="336"/>
    <cellStyle name="0.0" xfId="337"/>
    <cellStyle name="0.00" xfId="338"/>
    <cellStyle name="0_!!!GO" xfId="339"/>
    <cellStyle name="0_!!!GO_FY11-13 commercial outlook-Global" xfId="340"/>
    <cellStyle name="0_【C6】" xfId="341"/>
    <cellStyle name="0_110912受領データ_物流CO2（日産）" xfId="342"/>
    <cellStyle name="0_C4_輸送" xfId="343"/>
    <cellStyle name="0_C4_輸送_C3_上流" xfId="344"/>
    <cellStyle name="0_NMI Commercial Outlook FY11-13" xfId="345"/>
    <cellStyle name="0_SGV" xfId="346"/>
    <cellStyle name="0_SGV_FY11-13 commercial outlook-Global" xfId="347"/>
    <cellStyle name="0_改訂 【ホンダ入力】Scope3算定ファイル20120604(最終版）" xfId="348"/>
    <cellStyle name="0_改訂 【ホンダ入力】Scope3算定ファイル20120604(最終版）_C4_輸送" xfId="349"/>
    <cellStyle name="0_改訂 【ホンダ入力】Scope3算定ファイル20120604(最終版）_C4_輸送_C3_上流" xfId="350"/>
    <cellStyle name="00000" xfId="351"/>
    <cellStyle name="0付き数字" xfId="352"/>
    <cellStyle name="1 000 Kč_97_APVNIS_servery_jednotlive" xfId="353"/>
    <cellStyle name="１０" xfId="354"/>
    <cellStyle name="１１" xfId="355"/>
    <cellStyle name="¹éºÐÀ²_°æ¿µÁöÇ¥" xfId="356"/>
    <cellStyle name="20% - Accent1" xfId="357"/>
    <cellStyle name="20% - Accent2" xfId="358"/>
    <cellStyle name="20% - Accent3" xfId="359"/>
    <cellStyle name="20% - Accent4" xfId="360"/>
    <cellStyle name="20% - Accent5" xfId="361"/>
    <cellStyle name="20% - Accent6" xfId="362"/>
    <cellStyle name="20% - アクセント 1 10" xfId="1664"/>
    <cellStyle name="20% - アクセント 1 2" xfId="364"/>
    <cellStyle name="20% - アクセント 1 2 2" xfId="365"/>
    <cellStyle name="20% - アクセント 1 2_【C1】たばこ" xfId="366"/>
    <cellStyle name="20% - アクセント 1 3" xfId="367"/>
    <cellStyle name="20% - アクセント 1 4" xfId="363"/>
    <cellStyle name="20% - アクセント 1 5" xfId="1479"/>
    <cellStyle name="20% - アクセント 1 6" xfId="1520"/>
    <cellStyle name="20% - アクセント 1 7" xfId="1466"/>
    <cellStyle name="20% - アクセント 1 8" xfId="1511"/>
    <cellStyle name="20% - アクセント 1 9" xfId="1455"/>
    <cellStyle name="20% - アクセント 2 10" xfId="1665"/>
    <cellStyle name="20% - アクセント 2 2" xfId="369"/>
    <cellStyle name="20% - アクセント 2 2 2" xfId="370"/>
    <cellStyle name="20% - アクセント 2 2_【C1】たばこ" xfId="371"/>
    <cellStyle name="20% - アクセント 2 3" xfId="372"/>
    <cellStyle name="20% - アクセント 2 4" xfId="368"/>
    <cellStyle name="20% - アクセント 2 5" xfId="1480"/>
    <cellStyle name="20% - アクセント 2 6" xfId="1519"/>
    <cellStyle name="20% - アクセント 2 7" xfId="1468"/>
    <cellStyle name="20% - アクセント 2 8" xfId="1509"/>
    <cellStyle name="20% - アクセント 2 9" xfId="1456"/>
    <cellStyle name="20% - アクセント 3 10" xfId="1666"/>
    <cellStyle name="20% - アクセント 3 2" xfId="374"/>
    <cellStyle name="20% - アクセント 3 2 2" xfId="375"/>
    <cellStyle name="20% - アクセント 3 2_【C1】たばこ" xfId="376"/>
    <cellStyle name="20% - アクセント 3 3" xfId="377"/>
    <cellStyle name="20% - アクセント 3 4" xfId="373"/>
    <cellStyle name="20% - アクセント 3 5" xfId="1481"/>
    <cellStyle name="20% - アクセント 3 6" xfId="1518"/>
    <cellStyle name="20% - アクセント 3 7" xfId="1469"/>
    <cellStyle name="20% - アクセント 3 8" xfId="1507"/>
    <cellStyle name="20% - アクセント 3 9" xfId="1457"/>
    <cellStyle name="20% - アクセント 4 10" xfId="1667"/>
    <cellStyle name="20% - アクセント 4 2" xfId="379"/>
    <cellStyle name="20% - アクセント 4 2 2" xfId="380"/>
    <cellStyle name="20% - アクセント 4 2_【C1】たばこ" xfId="381"/>
    <cellStyle name="20% - アクセント 4 3" xfId="382"/>
    <cellStyle name="20% - アクセント 4 4" xfId="378"/>
    <cellStyle name="20% - アクセント 4 5" xfId="1482"/>
    <cellStyle name="20% - アクセント 4 6" xfId="1517"/>
    <cellStyle name="20% - アクセント 4 7" xfId="1470"/>
    <cellStyle name="20% - アクセント 4 8" xfId="1505"/>
    <cellStyle name="20% - アクセント 4 9" xfId="1458"/>
    <cellStyle name="20% - アクセント 5 10" xfId="1668"/>
    <cellStyle name="20% - アクセント 5 2" xfId="384"/>
    <cellStyle name="20% - アクセント 5 2 2" xfId="385"/>
    <cellStyle name="20% - アクセント 5 2_【C1】たばこ" xfId="386"/>
    <cellStyle name="20% - アクセント 5 3" xfId="387"/>
    <cellStyle name="20% - アクセント 5 4" xfId="383"/>
    <cellStyle name="20% - アクセント 5 5" xfId="1483"/>
    <cellStyle name="20% - アクセント 5 6" xfId="1516"/>
    <cellStyle name="20% - アクセント 5 7" xfId="1471"/>
    <cellStyle name="20% - アクセント 5 8" xfId="1504"/>
    <cellStyle name="20% - アクセント 5 9" xfId="1459"/>
    <cellStyle name="20% - アクセント 6 10" xfId="1669"/>
    <cellStyle name="20% - アクセント 6 2" xfId="389"/>
    <cellStyle name="20% - アクセント 6 2 2" xfId="390"/>
    <cellStyle name="20% - アクセント 6 2_【C1】たばこ" xfId="391"/>
    <cellStyle name="20% - アクセント 6 3" xfId="392"/>
    <cellStyle name="20% - アクセント 6 4" xfId="388"/>
    <cellStyle name="20% - アクセント 6 5" xfId="1484"/>
    <cellStyle name="20% - アクセント 6 6" xfId="1515"/>
    <cellStyle name="20% - アクセント 6 7" xfId="1472"/>
    <cellStyle name="20% - アクセント 6 8" xfId="1503"/>
    <cellStyle name="20% - アクセント 6 9" xfId="1460"/>
    <cellStyle name="2x indented GHG Textfiels" xfId="393"/>
    <cellStyle name="40% - Accent1" xfId="394"/>
    <cellStyle name="40% - Accent2" xfId="395"/>
    <cellStyle name="40% - Accent3" xfId="396"/>
    <cellStyle name="40% - Accent4" xfId="397"/>
    <cellStyle name="40% - Accent5" xfId="398"/>
    <cellStyle name="40% - Accent6" xfId="399"/>
    <cellStyle name="40% - アクセント 1 10" xfId="1670"/>
    <cellStyle name="40% - アクセント 1 2" xfId="401"/>
    <cellStyle name="40% - アクセント 1 2 2" xfId="402"/>
    <cellStyle name="40% - アクセント 1 2_【C1】たばこ" xfId="403"/>
    <cellStyle name="40% - アクセント 1 3" xfId="404"/>
    <cellStyle name="40% - アクセント 1 4" xfId="400"/>
    <cellStyle name="40% - アクセント 1 5" xfId="1485"/>
    <cellStyle name="40% - アクセント 1 6" xfId="1514"/>
    <cellStyle name="40% - アクセント 1 7" xfId="1473"/>
    <cellStyle name="40% - アクセント 1 8" xfId="1502"/>
    <cellStyle name="40% - アクセント 1 9" xfId="1461"/>
    <cellStyle name="40% - アクセント 2 10" xfId="1671"/>
    <cellStyle name="40% - アクセント 2 2" xfId="406"/>
    <cellStyle name="40% - アクセント 2 2 2" xfId="407"/>
    <cellStyle name="40% - アクセント 2 2_【C1】たばこ" xfId="408"/>
    <cellStyle name="40% - アクセント 2 3" xfId="409"/>
    <cellStyle name="40% - アクセント 2 4" xfId="405"/>
    <cellStyle name="40% - アクセント 2 5" xfId="1486"/>
    <cellStyle name="40% - アクセント 2 6" xfId="1513"/>
    <cellStyle name="40% - アクセント 2 7" xfId="1474"/>
    <cellStyle name="40% - アクセント 2 8" xfId="1501"/>
    <cellStyle name="40% - アクセント 2 9" xfId="1462"/>
    <cellStyle name="40% - アクセント 3 10" xfId="1672"/>
    <cellStyle name="40% - アクセント 3 2" xfId="411"/>
    <cellStyle name="40% - アクセント 3 2 2" xfId="412"/>
    <cellStyle name="40% - アクセント 3 2_【C1】たばこ" xfId="413"/>
    <cellStyle name="40% - アクセント 3 3" xfId="414"/>
    <cellStyle name="40% - アクセント 3 4" xfId="410"/>
    <cellStyle name="40% - アクセント 3 5" xfId="1487"/>
    <cellStyle name="40% - アクセント 3 6" xfId="1512"/>
    <cellStyle name="40% - アクセント 3 7" xfId="1475"/>
    <cellStyle name="40% - アクセント 3 8" xfId="1500"/>
    <cellStyle name="40% - アクセント 3 9" xfId="1463"/>
    <cellStyle name="40% - アクセント 4 10" xfId="1673"/>
    <cellStyle name="40% - アクセント 4 2" xfId="416"/>
    <cellStyle name="40% - アクセント 4 2 2" xfId="417"/>
    <cellStyle name="40% - アクセント 4 2_【C1】たばこ" xfId="418"/>
    <cellStyle name="40% - アクセント 4 3" xfId="419"/>
    <cellStyle name="40% - アクセント 4 4" xfId="415"/>
    <cellStyle name="40% - アクセント 4 5" xfId="1488"/>
    <cellStyle name="40% - アクセント 4 6" xfId="1510"/>
    <cellStyle name="40% - アクセント 4 7" xfId="1476"/>
    <cellStyle name="40% - アクセント 4 8" xfId="1499"/>
    <cellStyle name="40% - アクセント 4 9" xfId="1464"/>
    <cellStyle name="40% - アクセント 5 10" xfId="1674"/>
    <cellStyle name="40% - アクセント 5 2" xfId="421"/>
    <cellStyle name="40% - アクセント 5 2 2" xfId="422"/>
    <cellStyle name="40% - アクセント 5 2_【C1】たばこ" xfId="423"/>
    <cellStyle name="40% - アクセント 5 3" xfId="424"/>
    <cellStyle name="40% - アクセント 5 4" xfId="420"/>
    <cellStyle name="40% - アクセント 5 5" xfId="1489"/>
    <cellStyle name="40% - アクセント 5 6" xfId="1508"/>
    <cellStyle name="40% - アクセント 5 7" xfId="1477"/>
    <cellStyle name="40% - アクセント 5 8" xfId="1498"/>
    <cellStyle name="40% - アクセント 5 9" xfId="1465"/>
    <cellStyle name="40% - アクセント 6 10" xfId="1675"/>
    <cellStyle name="40% - アクセント 6 2" xfId="426"/>
    <cellStyle name="40% - アクセント 6 2 2" xfId="427"/>
    <cellStyle name="40% - アクセント 6 2_【C1】たばこ" xfId="428"/>
    <cellStyle name="40% - アクセント 6 3" xfId="429"/>
    <cellStyle name="40% - アクセント 6 4" xfId="425"/>
    <cellStyle name="40% - アクセント 6 5" xfId="1490"/>
    <cellStyle name="40% - アクセント 6 6" xfId="1506"/>
    <cellStyle name="40% - アクセント 6 7" xfId="1478"/>
    <cellStyle name="40% - アクセント 6 8" xfId="1497"/>
    <cellStyle name="40% - アクセント 6 9" xfId="1467"/>
    <cellStyle name="5x indented GHG Textfiels" xfId="430"/>
    <cellStyle name="60% - Accent1" xfId="431"/>
    <cellStyle name="60% - Accent2" xfId="432"/>
    <cellStyle name="60% - Accent3" xfId="433"/>
    <cellStyle name="60% - Accent4" xfId="434"/>
    <cellStyle name="60% - Accent5" xfId="435"/>
    <cellStyle name="60% - Accent6" xfId="436"/>
    <cellStyle name="60% - アクセント 1 2" xfId="438"/>
    <cellStyle name="60% - アクセント 1 3" xfId="437"/>
    <cellStyle name="60% - アクセント 1 4" xfId="1491"/>
    <cellStyle name="60% - アクセント 2 2" xfId="440"/>
    <cellStyle name="60% - アクセント 2 3" xfId="439"/>
    <cellStyle name="60% - アクセント 2 4" xfId="1492"/>
    <cellStyle name="60% - アクセント 3 2" xfId="442"/>
    <cellStyle name="60% - アクセント 3 3" xfId="441"/>
    <cellStyle name="60% - アクセント 3 4" xfId="1493"/>
    <cellStyle name="60% - アクセント 4 2" xfId="444"/>
    <cellStyle name="60% - アクセント 4 3" xfId="443"/>
    <cellStyle name="60% - アクセント 4 4" xfId="1494"/>
    <cellStyle name="60% - アクセント 5 2" xfId="446"/>
    <cellStyle name="60% - アクセント 5 3" xfId="445"/>
    <cellStyle name="60% - アクセント 5 4" xfId="1495"/>
    <cellStyle name="60% - アクセント 6 2" xfId="448"/>
    <cellStyle name="60% - アクセント 6 3" xfId="447"/>
    <cellStyle name="60% - アクセント 6 4" xfId="1496"/>
    <cellStyle name="A" xfId="449"/>
    <cellStyle name="A_~0245981" xfId="450"/>
    <cellStyle name="A_~0245981_C1" xfId="451"/>
    <cellStyle name="A_~0245981_改訂 【ホンダ入力】Scope3算定ファイル20120604(最終版）" xfId="452"/>
    <cellStyle name="A_9. Master List X11J Export AUG'07 (2007-09-05)" xfId="453"/>
    <cellStyle name="A_9. Master List X11J Export AUG'07 (2007-09-05)_FY11-13 commercial outlook-Global" xfId="454"/>
    <cellStyle name="A_9. Master List X11J Export AUG'07 (2007-09-05)_NMI Commercial Outlook FY11-13" xfId="455"/>
    <cellStyle name="A_Backup of X11J GSP OrderingSOP" xfId="456"/>
    <cellStyle name="A_CE製造費用20050126" xfId="457"/>
    <cellStyle name="A_Complete INN Suppliers H61B X11C X11J (09-10-2006)" xfId="458"/>
    <cellStyle name="A_Complete INN Suppliers H61B X11C X11J (09-10-2006)_CALCULATION 3M FORECAST WK51" xfId="459"/>
    <cellStyle name="A_Complete INN Suppliers H61B X11C X11J (09-10-2006)_Forecast Volume FY08 (Apr'08-Mar'09)-SUPPLIERS X11J-KD &amp; IPO" xfId="460"/>
    <cellStyle name="A_Complete INN Suppliers H61B X11C X11J (09-10-2006)_FY08 Monthly RR Requirement" xfId="461"/>
    <cellStyle name="A_Complete INN Suppliers H61B X11C X11J (09-10-2006)_FY11-13 commercial outlook-Global" xfId="462"/>
    <cellStyle name="A_Complete INN Suppliers H61B X11C X11J (09-10-2006)_NMI Commercial Outlook FY11-13" xfId="463"/>
    <cellStyle name="A_Complete INN Suppliers H61B X11C X11J (09-10-2006)_X11J NSA Case Calculation (22-5-07)" xfId="464"/>
    <cellStyle name="A_Complete INN Suppliers H61B X11C X11J (15-12-2006)" xfId="465"/>
    <cellStyle name="A_Complete INN Suppliers H61B X11C X11J (15-12-2006)_CALCULATION 3M FORECAST WK51" xfId="466"/>
    <cellStyle name="A_Complete INN Suppliers H61B X11C X11J (15-12-2006)_Forecast Volume FY08 (Apr'08-Mar'09)-SUPPLIERS X11J-KD &amp; IPO" xfId="467"/>
    <cellStyle name="A_Complete INN Suppliers H61B X11C X11J (15-12-2006)_FY08 Monthly RR Requirement" xfId="468"/>
    <cellStyle name="A_Complete INN Suppliers H61B X11C X11J (15-12-2006)_FY11-13 commercial outlook-Global" xfId="469"/>
    <cellStyle name="A_Complete INN Suppliers H61B X11C X11J (15-12-2006)_NMI Commercial Outlook FY11-13" xfId="470"/>
    <cellStyle name="A_Complete INN Suppliers H61B X11C X11J (15-12-2006)_X11J NSA Case Calculation (22-5-07)" xfId="471"/>
    <cellStyle name="A_INN PCC Part Cost (as 160107)" xfId="472"/>
    <cellStyle name="A_L11C製造計劃-壓造N" xfId="473"/>
    <cellStyle name="A_L11C製造計劃-壓造N_C1" xfId="474"/>
    <cellStyle name="A_L11C製造計劃-壓造N_改訂 【ホンダ入力】Scope3算定ファイル20120604(最終版）" xfId="475"/>
    <cellStyle name="A_Material Cost from USC per 010907" xfId="476"/>
    <cellStyle name="A_MRD and SOP as (030407)" xfId="477"/>
    <cellStyle name="A_MRD and SOP as (030407)_Even Monthly Rack Requirement (22-6-07)REV" xfId="478"/>
    <cellStyle name="A_MRD and SOP as (030407)_Forecast Volume FY08 (Apr'08-Mar'09)-SUPPLIERS X11J-KD &amp; IPO" xfId="479"/>
    <cellStyle name="A_MRD and SOP as (030407)_FY08 Monthly RR Requirement" xfId="480"/>
    <cellStyle name="A_MRD and SOP as (030407)_FY11-13 commercial outlook-Global" xfId="481"/>
    <cellStyle name="A_MRD and SOP as (030407)_MRD as (110607)" xfId="482"/>
    <cellStyle name="A_MRD and SOP as (030407)_MRD as (110607)_FY11-13 commercial outlook-Global" xfId="483"/>
    <cellStyle name="A_MRD and SOP as (030407)_MRD as (110607)_NMI Commercial Outlook FY11-13" xfId="484"/>
    <cellStyle name="A_MRD and SOP as (030407)_NMI Commercial Outlook FY11-13" xfId="485"/>
    <cellStyle name="A_MRD and SOP as (030407)-1" xfId="486"/>
    <cellStyle name="A_MRD and SOP as (030407)-1_Even Monthly Rack Requirement (22-6-07)REV" xfId="487"/>
    <cellStyle name="A_MRD and SOP as (030407)-1_Forecast Volume FY08 (Apr'08-Mar'09)-SUPPLIERS X11J-KD &amp; IPO" xfId="488"/>
    <cellStyle name="A_MRD and SOP as (030407)-1_FY08 Monthly RR Requirement" xfId="489"/>
    <cellStyle name="A_MRD and SOP as (030407)-1_FY11-13 commercial outlook-Global" xfId="490"/>
    <cellStyle name="A_MRD and SOP as (030407)-1_MRD as (110607)" xfId="491"/>
    <cellStyle name="A_MRD and SOP as (030407)-1_MRD as (110607)_FY11-13 commercial outlook-Global" xfId="492"/>
    <cellStyle name="A_MRD and SOP as (030407)-1_MRD as (110607)_NMI Commercial Outlook FY11-13" xfId="493"/>
    <cellStyle name="A_MRD and SOP as (030407)-1_NMI Commercial Outlook FY11-13" xfId="494"/>
    <cellStyle name="A_NSA Status PO (Martha)-1" xfId="495"/>
    <cellStyle name="A_Packing Cost Calculation (KD)" xfId="496"/>
    <cellStyle name="A_Packing Cost Calculation (KD)_FY11-13 commercial outlook-Global" xfId="497"/>
    <cellStyle name="A_Packing Cost Calculation (KD)_NMI Commercial Outlook FY11-13" xfId="498"/>
    <cellStyle name="A_PIC 費用一覽表LIST" xfId="499"/>
    <cellStyle name="A_PIC 費用一覽表LIST(資訊)" xfId="500"/>
    <cellStyle name="A_PIC 費用一覽表LIST(資訊)_C1" xfId="501"/>
    <cellStyle name="A_PIC 費用一覽表LIST(資訊)_改訂 【ホンダ入力】Scope3算定ファイル20120604(最終版）" xfId="502"/>
    <cellStyle name="A_PIC 費用一覽表LIST_C1" xfId="503"/>
    <cellStyle name="A_PIC 費用一覽表LIST_改訂 【ホンダ入力】Scope3算定ファイル20120604(最終版）" xfId="504"/>
    <cellStyle name="A_PL Checking" xfId="505"/>
    <cellStyle name="A_PL Checking_FY11-13 commercial outlook-Global" xfId="506"/>
    <cellStyle name="A_PL Checking_NMI Commercial Outlook FY11-13" xfId="507"/>
    <cellStyle name="A_Sub Component_230507" xfId="508"/>
    <cellStyle name="A_VA_7+5" xfId="509"/>
    <cellStyle name="A_VA_7+5_FY11-13 commercial outlook-Global" xfId="510"/>
    <cellStyle name="A_VA_7+5_NMI Commercial Outlook FY11-13" xfId="511"/>
    <cellStyle name="A_X11C Man. Plan Paint (Summery)YLO0722" xfId="512"/>
    <cellStyle name="A_X11C Man. Plan Paint (Summery)YLO0722_~0245981" xfId="513"/>
    <cellStyle name="A_X11C Man. Plan Paint (Summery)YLO0722_~0245981_C1" xfId="514"/>
    <cellStyle name="A_X11C Man. Plan Paint (Summery)YLO0722_~0245981_改訂 【ホンダ入力】Scope3算定ファイル20120604(最終版）" xfId="515"/>
    <cellStyle name="A_X11C Man. Plan Paint (Summery)YLO0722_9. Master List X11J Export AUG'07 (2007-09-05)" xfId="516"/>
    <cellStyle name="A_X11C Man. Plan Paint (Summery)YLO0722_9. Master List X11J Export AUG'07 (2007-09-05)_C1" xfId="517"/>
    <cellStyle name="A_X11C Man. Plan Paint (Summery)YLO0722_9. Master List X11J Export AUG'07 (2007-09-05)_FY11-13 commercial outlook-Global" xfId="518"/>
    <cellStyle name="A_X11C Man. Plan Paint (Summery)YLO0722_9. Master List X11J Export AUG'07 (2007-09-05)_FY11-13 commercial outlook-Global_C1" xfId="519"/>
    <cellStyle name="A_X11C Man. Plan Paint (Summery)YLO0722_9. Master List X11J Export AUG'07 (2007-09-05)_FY11-13 commercial outlook-Global_改訂 【ホンダ入力】Scope3算定ファイル20120604(最終版）" xfId="520"/>
    <cellStyle name="A_X11C Man. Plan Paint (Summery)YLO0722_9. Master List X11J Export AUG'07 (2007-09-05)_NMI Commercial Outlook FY11-13" xfId="521"/>
    <cellStyle name="A_X11C Man. Plan Paint (Summery)YLO0722_9. Master List X11J Export AUG'07 (2007-09-05)_NMI Commercial Outlook FY11-13_C1" xfId="522"/>
    <cellStyle name="A_X11C Man. Plan Paint (Summery)YLO0722_9. Master List X11J Export AUG'07 (2007-09-05)_NMI Commercial Outlook FY11-13_改訂 【ホンダ入力】Scope3算定ファイル20120604(最終版）" xfId="523"/>
    <cellStyle name="A_X11C Man. Plan Paint (Summery)YLO0722_9. Master List X11J Export AUG'07 (2007-09-05)_改訂 【ホンダ入力】Scope3算定ファイル20120604(最終版）" xfId="524"/>
    <cellStyle name="A_X11C Man. Plan Paint (Summery)YLO0722_C1" xfId="525"/>
    <cellStyle name="A_X11C Man. Plan Paint (Summery)YLO0722_CALCULATION 3M FORECAST WK51" xfId="526"/>
    <cellStyle name="A_X11C Man. Plan Paint (Summery)YLO0722_CALCULATION 3M FORECAST WK51_C1" xfId="527"/>
    <cellStyle name="A_X11C Man. Plan Paint (Summery)YLO0722_CALCULATION 3M FORECAST WK51_Forecast Volume FY08 (Apr'08-Mar'09)-SUPPLIERS X11J-KD &amp; IPO" xfId="528"/>
    <cellStyle name="A_X11C Man. Plan Paint (Summery)YLO0722_CALCULATION 3M FORECAST WK51_Forecast Volume FY08 (Apr'08-Mar'09)-SUPPLIERS X11J-KD &amp; IPO_C1" xfId="529"/>
    <cellStyle name="A_X11C Man. Plan Paint (Summery)YLO0722_CALCULATION 3M FORECAST WK51_Forecast Volume FY08 (Apr'08-Mar'09)-SUPPLIERS X11J-KD &amp; IPO_改訂 【ホンダ入力】Scope3算定ファイル20120604(最終版）" xfId="530"/>
    <cellStyle name="A_X11C Man. Plan Paint (Summery)YLO0722_CALCULATION 3M FORECAST WK51_改訂 【ホンダ入力】Scope3算定ファイル20120604(最終版）" xfId="531"/>
    <cellStyle name="A_X11C Man. Plan Paint (Summery)YLO0722_Complete INN Suppliers H61B X11C X11J (09-10-2006)" xfId="532"/>
    <cellStyle name="A_X11C Man. Plan Paint (Summery)YLO0722_Complete INN Suppliers H61B X11C X11J (09-10-2006)_C1" xfId="533"/>
    <cellStyle name="A_X11C Man. Plan Paint (Summery)YLO0722_Complete INN Suppliers H61B X11C X11J (09-10-2006)_Even Monthly Rack Requirement (22-6-07)REV" xfId="534"/>
    <cellStyle name="A_X11C Man. Plan Paint (Summery)YLO0722_Complete INN Suppliers H61B X11C X11J (09-10-2006)_Even Monthly Rack Requirement (22-6-07)REV_C1" xfId="535"/>
    <cellStyle name="A_X11C Man. Plan Paint (Summery)YLO0722_Complete INN Suppliers H61B X11C X11J (09-10-2006)_Even Monthly Rack Requirement (22-6-07)REV_改訂 【ホンダ入力】Scope3算定ファイル20120604(最終版）" xfId="536"/>
    <cellStyle name="A_X11C Man. Plan Paint (Summery)YLO0722_Complete INN Suppliers H61B X11C X11J (09-10-2006)_Forecast Volume FY08 (Apr'08-Mar'09)-SUPPLIERS X11J-KD &amp; IPO" xfId="537"/>
    <cellStyle name="A_X11C Man. Plan Paint (Summery)YLO0722_Complete INN Suppliers H61B X11C X11J (09-10-2006)_Forecast Volume FY08 (Apr'08-Mar'09)-SUPPLIERS X11J-KD &amp; IPO_C1" xfId="538"/>
    <cellStyle name="A_X11C Man. Plan Paint (Summery)YLO0722_Complete INN Suppliers H61B X11C X11J (09-10-2006)_Forecast Volume FY08 (Apr'08-Mar'09)-SUPPLIERS X11J-KD &amp; IPO_改訂 【ホンダ入力】Scope3算定ファイル20120604(最終版）" xfId="539"/>
    <cellStyle name="A_X11C Man. Plan Paint (Summery)YLO0722_Complete INN Suppliers H61B X11C X11J (09-10-2006)_FY08 Monthly RR Requirement" xfId="540"/>
    <cellStyle name="A_X11C Man. Plan Paint (Summery)YLO0722_Complete INN Suppliers H61B X11C X11J (09-10-2006)_FY08 Monthly RR Requirement_C1" xfId="541"/>
    <cellStyle name="A_X11C Man. Plan Paint (Summery)YLO0722_Complete INN Suppliers H61B X11C X11J (09-10-2006)_FY08 Monthly RR Requirement_改訂 【ホンダ入力】Scope3算定ファイル20120604(最終版）" xfId="542"/>
    <cellStyle name="A_X11C Man. Plan Paint (Summery)YLO0722_Complete INN Suppliers H61B X11C X11J (09-10-2006)_FY11-13 commercial outlook-Global" xfId="543"/>
    <cellStyle name="A_X11C Man. Plan Paint (Summery)YLO0722_Complete INN Suppliers H61B X11C X11J (09-10-2006)_FY11-13 commercial outlook-Global_C1" xfId="544"/>
    <cellStyle name="A_X11C Man. Plan Paint (Summery)YLO0722_Complete INN Suppliers H61B X11C X11J (09-10-2006)_FY11-13 commercial outlook-Global_改訂 【ホンダ入力】Scope3算定ファイル20120604(最終版）" xfId="545"/>
    <cellStyle name="A_X11C Man. Plan Paint (Summery)YLO0722_Complete INN Suppliers H61B X11C X11J (09-10-2006)_MRD as (110607)" xfId="546"/>
    <cellStyle name="A_X11C Man. Plan Paint (Summery)YLO0722_Complete INN Suppliers H61B X11C X11J (09-10-2006)_MRD as (110607)_C1" xfId="547"/>
    <cellStyle name="A_X11C Man. Plan Paint (Summery)YLO0722_Complete INN Suppliers H61B X11C X11J (09-10-2006)_MRD as (110607)_FY11-13 commercial outlook-Global" xfId="548"/>
    <cellStyle name="A_X11C Man. Plan Paint (Summery)YLO0722_Complete INN Suppliers H61B X11C X11J (09-10-2006)_MRD as (110607)_FY11-13 commercial outlook-Global_C1" xfId="549"/>
    <cellStyle name="A_X11C Man. Plan Paint (Summery)YLO0722_Complete INN Suppliers H61B X11C X11J (09-10-2006)_MRD as (110607)_FY11-13 commercial outlook-Global_改訂 【ホンダ入力】Scope3算定ファイル20120604(最終版）" xfId="550"/>
    <cellStyle name="A_X11C Man. Plan Paint (Summery)YLO0722_Complete INN Suppliers H61B X11C X11J (09-10-2006)_MRD as (110607)_NMI Commercial Outlook FY11-13" xfId="551"/>
    <cellStyle name="A_X11C Man. Plan Paint (Summery)YLO0722_Complete INN Suppliers H61B X11C X11J (09-10-2006)_MRD as (110607)_NMI Commercial Outlook FY11-13_C1" xfId="552"/>
    <cellStyle name="A_X11C Man. Plan Paint (Summery)YLO0722_Complete INN Suppliers H61B X11C X11J (09-10-2006)_MRD as (110607)_NMI Commercial Outlook FY11-13_改訂 【ホンダ入力】Scope3算定ファイル20120604(最終版）" xfId="553"/>
    <cellStyle name="A_X11C Man. Plan Paint (Summery)YLO0722_Complete INN Suppliers H61B X11C X11J (09-10-2006)_MRD as (110607)_改訂 【ホンダ入力】Scope3算定ファイル20120604(最終版）" xfId="554"/>
    <cellStyle name="A_X11C Man. Plan Paint (Summery)YLO0722_Complete INN Suppliers H61B X11C X11J (09-10-2006)_NMI Commercial Outlook FY11-13" xfId="555"/>
    <cellStyle name="A_X11C Man. Plan Paint (Summery)YLO0722_Complete INN Suppliers H61B X11C X11J (09-10-2006)_NMI Commercial Outlook FY11-13_C1" xfId="556"/>
    <cellStyle name="A_X11C Man. Plan Paint (Summery)YLO0722_Complete INN Suppliers H61B X11C X11J (09-10-2006)_NMI Commercial Outlook FY11-13_改訂 【ホンダ入力】Scope3算定ファイル20120604(最終版）" xfId="557"/>
    <cellStyle name="A_X11C Man. Plan Paint (Summery)YLO0722_Complete INN Suppliers H61B X11C X11J (09-10-2006)_改訂 【ホンダ入力】Scope3算定ファイル20120604(最終版）" xfId="558"/>
    <cellStyle name="A_X11C Man. Plan Paint (Summery)YLO0722_Complete INN Suppliers H61B X11C X11J (15-12-2006)" xfId="559"/>
    <cellStyle name="A_X11C Man. Plan Paint (Summery)YLO0722_Complete INN Suppliers H61B X11C X11J (15-12-2006)_C1" xfId="560"/>
    <cellStyle name="A_X11C Man. Plan Paint (Summery)YLO0722_Complete INN Suppliers H61B X11C X11J (15-12-2006)_Even Monthly Rack Requirement (22-6-07)REV" xfId="561"/>
    <cellStyle name="A_X11C Man. Plan Paint (Summery)YLO0722_Complete INN Suppliers H61B X11C X11J (15-12-2006)_Even Monthly Rack Requirement (22-6-07)REV_C1" xfId="562"/>
    <cellStyle name="A_X11C Man. Plan Paint (Summery)YLO0722_Complete INN Suppliers H61B X11C X11J (15-12-2006)_Even Monthly Rack Requirement (22-6-07)REV_改訂 【ホンダ入力】Scope3算定ファイル20120604(最終版）" xfId="563"/>
    <cellStyle name="A_X11C Man. Plan Paint (Summery)YLO0722_Complete INN Suppliers H61B X11C X11J (15-12-2006)_Forecast Volume FY08 (Apr'08-Mar'09)-SUPPLIERS X11J-KD &amp; IPO" xfId="564"/>
    <cellStyle name="A_X11C Man. Plan Paint (Summery)YLO0722_Complete INN Suppliers H61B X11C X11J (15-12-2006)_Forecast Volume FY08 (Apr'08-Mar'09)-SUPPLIERS X11J-KD &amp; IPO_C1" xfId="565"/>
    <cellStyle name="A_X11C Man. Plan Paint (Summery)YLO0722_Complete INN Suppliers H61B X11C X11J (15-12-2006)_Forecast Volume FY08 (Apr'08-Mar'09)-SUPPLIERS X11J-KD &amp; IPO_改訂 【ホンダ入力】Scope3算定ファイル20120604(最終版）" xfId="566"/>
    <cellStyle name="A_X11C Man. Plan Paint (Summery)YLO0722_Complete INN Suppliers H61B X11C X11J (15-12-2006)_FY08 Monthly RR Requirement" xfId="567"/>
    <cellStyle name="A_X11C Man. Plan Paint (Summery)YLO0722_Complete INN Suppliers H61B X11C X11J (15-12-2006)_FY08 Monthly RR Requirement_C1" xfId="568"/>
    <cellStyle name="A_X11C Man. Plan Paint (Summery)YLO0722_Complete INN Suppliers H61B X11C X11J (15-12-2006)_FY08 Monthly RR Requirement_改訂 【ホンダ入力】Scope3算定ファイル20120604(最終版）" xfId="569"/>
    <cellStyle name="A_X11C Man. Plan Paint (Summery)YLO0722_Complete INN Suppliers H61B X11C X11J (15-12-2006)_FY11-13 commercial outlook-Global" xfId="570"/>
    <cellStyle name="A_X11C Man. Plan Paint (Summery)YLO0722_Complete INN Suppliers H61B X11C X11J (15-12-2006)_FY11-13 commercial outlook-Global_C1" xfId="571"/>
    <cellStyle name="A_X11C Man. Plan Paint (Summery)YLO0722_Complete INN Suppliers H61B X11C X11J (15-12-2006)_FY11-13 commercial outlook-Global_改訂 【ホンダ入力】Scope3算定ファイル20120604(最終版）" xfId="572"/>
    <cellStyle name="A_X11C Man. Plan Paint (Summery)YLO0722_Complete INN Suppliers H61B X11C X11J (15-12-2006)_MRD as (110607)" xfId="573"/>
    <cellStyle name="A_X11C Man. Plan Paint (Summery)YLO0722_Complete INN Suppliers H61B X11C X11J (15-12-2006)_MRD as (110607)_C1" xfId="574"/>
    <cellStyle name="A_X11C Man. Plan Paint (Summery)YLO0722_Complete INN Suppliers H61B X11C X11J (15-12-2006)_MRD as (110607)_FY11-13 commercial outlook-Global" xfId="575"/>
    <cellStyle name="A_X11C Man. Plan Paint (Summery)YLO0722_Complete INN Suppliers H61B X11C X11J (15-12-2006)_MRD as (110607)_FY11-13 commercial outlook-Global_C1" xfId="576"/>
    <cellStyle name="A_X11C Man. Plan Paint (Summery)YLO0722_Complete INN Suppliers H61B X11C X11J (15-12-2006)_MRD as (110607)_FY11-13 commercial outlook-Global_改訂 【ホンダ入力】Scope3算定ファイル20120604(最終版）" xfId="577"/>
    <cellStyle name="A_X11C Man. Plan Paint (Summery)YLO0722_Complete INN Suppliers H61B X11C X11J (15-12-2006)_MRD as (110607)_NMI Commercial Outlook FY11-13" xfId="578"/>
    <cellStyle name="A_X11C Man. Plan Paint (Summery)YLO0722_Complete INN Suppliers H61B X11C X11J (15-12-2006)_MRD as (110607)_NMI Commercial Outlook FY11-13_C1" xfId="579"/>
    <cellStyle name="A_X11C Man. Plan Paint (Summery)YLO0722_Complete INN Suppliers H61B X11C X11J (15-12-2006)_MRD as (110607)_NMI Commercial Outlook FY11-13_改訂 【ホンダ入力】Scope3算定ファイル20120604(最終版）" xfId="580"/>
    <cellStyle name="A_X11C Man. Plan Paint (Summery)YLO0722_Complete INN Suppliers H61B X11C X11J (15-12-2006)_MRD as (110607)_改訂 【ホンダ入力】Scope3算定ファイル20120604(最終版）" xfId="581"/>
    <cellStyle name="A_X11C Man. Plan Paint (Summery)YLO0722_Complete INN Suppliers H61B X11C X11J (15-12-2006)_NMI Commercial Outlook FY11-13" xfId="582"/>
    <cellStyle name="A_X11C Man. Plan Paint (Summery)YLO0722_Complete INN Suppliers H61B X11C X11J (15-12-2006)_NMI Commercial Outlook FY11-13_C1" xfId="583"/>
    <cellStyle name="A_X11C Man. Plan Paint (Summery)YLO0722_Complete INN Suppliers H61B X11C X11J (15-12-2006)_NMI Commercial Outlook FY11-13_改訂 【ホンダ入力】Scope3算定ファイル20120604(最終版）" xfId="584"/>
    <cellStyle name="A_X11C Man. Plan Paint (Summery)YLO0722_Complete INN Suppliers H61B X11C X11J (15-12-2006)_改訂 【ホンダ入力】Scope3算定ファイル20120604(最終版）" xfId="585"/>
    <cellStyle name="A_X11C Man. Plan Paint (Summery)YLO0722_Even Monthly Rack Requirement (22-6-07)REV" xfId="586"/>
    <cellStyle name="A_X11C Man. Plan Paint (Summery)YLO0722_Even Monthly Rack Requirement (22-6-07)REV_C1" xfId="587"/>
    <cellStyle name="A_X11C Man. Plan Paint (Summery)YLO0722_Even Monthly Rack Requirement (22-6-07)REV_FY11-13 commercial outlook-Global" xfId="588"/>
    <cellStyle name="A_X11C Man. Plan Paint (Summery)YLO0722_Even Monthly Rack Requirement (22-6-07)REV_FY11-13 commercial outlook-Global_C1" xfId="589"/>
    <cellStyle name="A_X11C Man. Plan Paint (Summery)YLO0722_Even Monthly Rack Requirement (22-6-07)REV_FY11-13 commercial outlook-Global_改訂 【ホンダ入力】Scope3算定ファイル20120604(最終版）" xfId="590"/>
    <cellStyle name="A_X11C Man. Plan Paint (Summery)YLO0722_Even Monthly Rack Requirement (22-6-07)REV_NMI Commercial Outlook FY11-13" xfId="591"/>
    <cellStyle name="A_X11C Man. Plan Paint (Summery)YLO0722_Even Monthly Rack Requirement (22-6-07)REV_NMI Commercial Outlook FY11-13_C1" xfId="592"/>
    <cellStyle name="A_X11C Man. Plan Paint (Summery)YLO0722_Even Monthly Rack Requirement (22-6-07)REV_NMI Commercial Outlook FY11-13_改訂 【ホンダ入力】Scope3算定ファイル20120604(最終版）" xfId="593"/>
    <cellStyle name="A_X11C Man. Plan Paint (Summery)YLO0722_Even Monthly Rack Requirement (22-6-07)REV_改訂 【ホンダ入力】Scope3算定ファイル20120604(最終版）" xfId="594"/>
    <cellStyle name="A_X11C Man. Plan Paint (Summery)YLO0722_FY08 Monthly RR Requirement" xfId="595"/>
    <cellStyle name="A_X11C Man. Plan Paint (Summery)YLO0722_FY11-13 commercial outlook-Global" xfId="596"/>
    <cellStyle name="A_X11C Man. Plan Paint (Summery)YLO0722_FY11-13 commercial outlook-Global_C1" xfId="597"/>
    <cellStyle name="A_X11C Man. Plan Paint (Summery)YLO0722_FY11-13 commercial outlook-Global_改訂 【ホンダ入力】Scope3算定ファイル20120604(最終版）" xfId="598"/>
    <cellStyle name="A_X11C Man. Plan Paint (Summery)YLO0722_INN PCC Part Cost (160107)" xfId="599"/>
    <cellStyle name="A_X11C Man. Plan Paint (Summery)YLO0722_INN PCC Part Cost (160107)_C1" xfId="600"/>
    <cellStyle name="A_X11C Man. Plan Paint (Summery)YLO0722_INN PCC Part Cost (160107)_FY11-13 commercial outlook-Global" xfId="601"/>
    <cellStyle name="A_X11C Man. Plan Paint (Summery)YLO0722_INN PCC Part Cost (160107)_FY11-13 commercial outlook-Global_C1" xfId="602"/>
    <cellStyle name="A_X11C Man. Plan Paint (Summery)YLO0722_INN PCC Part Cost (160107)_FY11-13 commercial outlook-Global_改訂 【ホンダ入力】Scope3算定ファイル20120604(最終版）" xfId="603"/>
    <cellStyle name="A_X11C Man. Plan Paint (Summery)YLO0722_INN PCC Part Cost (160107)_NMI Commercial Outlook FY11-13" xfId="604"/>
    <cellStyle name="A_X11C Man. Plan Paint (Summery)YLO0722_INN PCC Part Cost (160107)_NMI Commercial Outlook FY11-13_C1" xfId="605"/>
    <cellStyle name="A_X11C Man. Plan Paint (Summery)YLO0722_INN PCC Part Cost (160107)_NMI Commercial Outlook FY11-13_改訂 【ホンダ入力】Scope3算定ファイル20120604(最終版）" xfId="606"/>
    <cellStyle name="A_X11C Man. Plan Paint (Summery)YLO0722_INN PCC Part Cost (160107)_改訂 【ホンダ入力】Scope3算定ファイル20120604(最終版）" xfId="607"/>
    <cellStyle name="A_X11C Man. Plan Paint (Summery)YLO0722_INN PCC Part Cost (as 160107)" xfId="608"/>
    <cellStyle name="A_X11C Man. Plan Paint (Summery)YLO0722_Material Cost from USC per 010907" xfId="609"/>
    <cellStyle name="A_X11C Man. Plan Paint (Summery)YLO0722_MRD and SOP as (030407)" xfId="610"/>
    <cellStyle name="A_X11C Man. Plan Paint (Summery)YLO0722_MRD and SOP as (030407)_C1" xfId="611"/>
    <cellStyle name="A_X11C Man. Plan Paint (Summery)YLO0722_MRD and SOP as (030407)_Even Monthly Rack Requirement (22-6-07)REV" xfId="612"/>
    <cellStyle name="A_X11C Man. Plan Paint (Summery)YLO0722_MRD and SOP as (030407)_Even Monthly Rack Requirement (22-6-07)REV_C1" xfId="613"/>
    <cellStyle name="A_X11C Man. Plan Paint (Summery)YLO0722_MRD and SOP as (030407)_Even Monthly Rack Requirement (22-6-07)REV_改訂 【ホンダ入力】Scope3算定ファイル20120604(最終版）" xfId="614"/>
    <cellStyle name="A_X11C Man. Plan Paint (Summery)YLO0722_MRD and SOP as (030407)_Forecast Volume FY08 (Apr'08-Mar'09)-SUPPLIERS X11J-KD &amp; IPO" xfId="615"/>
    <cellStyle name="A_X11C Man. Plan Paint (Summery)YLO0722_MRD and SOP as (030407)_Forecast Volume FY08 (Apr'08-Mar'09)-SUPPLIERS X11J-KD &amp; IPO_C1" xfId="616"/>
    <cellStyle name="A_X11C Man. Plan Paint (Summery)YLO0722_MRD and SOP as (030407)_Forecast Volume FY08 (Apr'08-Mar'09)-SUPPLIERS X11J-KD &amp; IPO_改訂 【ホンダ入力】Scope3算定ファイル20120604(最終版）" xfId="617"/>
    <cellStyle name="A_X11C Man. Plan Paint (Summery)YLO0722_MRD and SOP as (030407)_FY08 Monthly RR Requirement" xfId="618"/>
    <cellStyle name="A_X11C Man. Plan Paint (Summery)YLO0722_MRD and SOP as (030407)_FY08 Monthly RR Requirement_C1" xfId="619"/>
    <cellStyle name="A_X11C Man. Plan Paint (Summery)YLO0722_MRD and SOP as (030407)_FY08 Monthly RR Requirement_改訂 【ホンダ入力】Scope3算定ファイル20120604(最終版）" xfId="620"/>
    <cellStyle name="A_X11C Man. Plan Paint (Summery)YLO0722_MRD and SOP as (030407)_FY11-13 commercial outlook-Global" xfId="621"/>
    <cellStyle name="A_X11C Man. Plan Paint (Summery)YLO0722_MRD and SOP as (030407)_FY11-13 commercial outlook-Global_C1" xfId="622"/>
    <cellStyle name="A_X11C Man. Plan Paint (Summery)YLO0722_MRD and SOP as (030407)_FY11-13 commercial outlook-Global_改訂 【ホンダ入力】Scope3算定ファイル20120604(最終版）" xfId="623"/>
    <cellStyle name="A_X11C Man. Plan Paint (Summery)YLO0722_MRD and SOP as (030407)_MRD as (110607)" xfId="624"/>
    <cellStyle name="A_X11C Man. Plan Paint (Summery)YLO0722_MRD and SOP as (030407)_MRD as (110607)_C1" xfId="625"/>
    <cellStyle name="A_X11C Man. Plan Paint (Summery)YLO0722_MRD and SOP as (030407)_MRD as (110607)_FY11-13 commercial outlook-Global" xfId="626"/>
    <cellStyle name="A_X11C Man. Plan Paint (Summery)YLO0722_MRD and SOP as (030407)_MRD as (110607)_FY11-13 commercial outlook-Global_C1" xfId="627"/>
    <cellStyle name="A_X11C Man. Plan Paint (Summery)YLO0722_MRD and SOP as (030407)_MRD as (110607)_FY11-13 commercial outlook-Global_改訂 【ホンダ入力】Scope3算定ファイル20120604(最終版）" xfId="628"/>
    <cellStyle name="A_X11C Man. Plan Paint (Summery)YLO0722_MRD and SOP as (030407)_MRD as (110607)_NMI Commercial Outlook FY11-13" xfId="629"/>
    <cellStyle name="A_X11C Man. Plan Paint (Summery)YLO0722_MRD and SOP as (030407)_MRD as (110607)_NMI Commercial Outlook FY11-13_C1" xfId="630"/>
    <cellStyle name="A_X11C Man. Plan Paint (Summery)YLO0722_MRD and SOP as (030407)_MRD as (110607)_NMI Commercial Outlook FY11-13_改訂 【ホンダ入力】Scope3算定ファイル20120604(最終版）" xfId="631"/>
    <cellStyle name="A_X11C Man. Plan Paint (Summery)YLO0722_MRD and SOP as (030407)_MRD as (110607)_改訂 【ホンダ入力】Scope3算定ファイル20120604(最終版）" xfId="632"/>
    <cellStyle name="A_X11C Man. Plan Paint (Summery)YLO0722_MRD and SOP as (030407)_NMI Commercial Outlook FY11-13" xfId="633"/>
    <cellStyle name="A_X11C Man. Plan Paint (Summery)YLO0722_MRD and SOP as (030407)_NMI Commercial Outlook FY11-13_C1" xfId="634"/>
    <cellStyle name="A_X11C Man. Plan Paint (Summery)YLO0722_MRD and SOP as (030407)_NMI Commercial Outlook FY11-13_改訂 【ホンダ入力】Scope3算定ファイル20120604(最終版）" xfId="635"/>
    <cellStyle name="A_X11C Man. Plan Paint (Summery)YLO0722_MRD and SOP as (030407)_改訂 【ホンダ入力】Scope3算定ファイル20120604(最終版）" xfId="636"/>
    <cellStyle name="A_X11C Man. Plan Paint (Summery)YLO0722_MRD as (110607)" xfId="637"/>
    <cellStyle name="A_X11C Man. Plan Paint (Summery)YLO0722_NMI Commercial Outlook FY11-13" xfId="638"/>
    <cellStyle name="A_X11C Man. Plan Paint (Summery)YLO0722_NMI Commercial Outlook FY11-13_C1" xfId="639"/>
    <cellStyle name="A_X11C Man. Plan Paint (Summery)YLO0722_NMI Commercial Outlook FY11-13_改訂 【ホンダ入力】Scope3算定ファイル20120604(最終版）" xfId="640"/>
    <cellStyle name="A_X11C Man. Plan Paint (Summery)YLO0722_NSA Status PO (Martha)-1" xfId="641"/>
    <cellStyle name="A_X11C Man. Plan Paint (Summery)YLO0722_NSA Status PO (Martha)-1_C1" xfId="642"/>
    <cellStyle name="A_X11C Man. Plan Paint (Summery)YLO0722_NSA Status PO (Martha)-1_Even Monthly Rack Requirement (22-6-07)REV" xfId="643"/>
    <cellStyle name="A_X11C Man. Plan Paint (Summery)YLO0722_NSA Status PO (Martha)-1_Even Monthly Rack Requirement (22-6-07)REV_C1" xfId="644"/>
    <cellStyle name="A_X11C Man. Plan Paint (Summery)YLO0722_NSA Status PO (Martha)-1_Even Monthly Rack Requirement (22-6-07)REV_改訂 【ホンダ入力】Scope3算定ファイル20120604(最終版）" xfId="645"/>
    <cellStyle name="A_X11C Man. Plan Paint (Summery)YLO0722_NSA Status PO (Martha)-1_Forecast Volume FY08 (Apr'08-Mar'09)-SUPPLIERS X11J-KD &amp; IPO" xfId="646"/>
    <cellStyle name="A_X11C Man. Plan Paint (Summery)YLO0722_NSA Status PO (Martha)-1_Forecast Volume FY08 (Apr'08-Mar'09)-SUPPLIERS X11J-KD &amp; IPO_C1" xfId="647"/>
    <cellStyle name="A_X11C Man. Plan Paint (Summery)YLO0722_NSA Status PO (Martha)-1_Forecast Volume FY08 (Apr'08-Mar'09)-SUPPLIERS X11J-KD &amp; IPO_改訂 【ホンダ入力】Scope3算定ファイル20120604(最終版）" xfId="648"/>
    <cellStyle name="A_X11C Man. Plan Paint (Summery)YLO0722_NSA Status PO (Martha)-1_FY08 Monthly RR Requirement" xfId="649"/>
    <cellStyle name="A_X11C Man. Plan Paint (Summery)YLO0722_NSA Status PO (Martha)-1_FY08 Monthly RR Requirement_C1" xfId="650"/>
    <cellStyle name="A_X11C Man. Plan Paint (Summery)YLO0722_NSA Status PO (Martha)-1_FY08 Monthly RR Requirement_改訂 【ホンダ入力】Scope3算定ファイル20120604(最終版）" xfId="651"/>
    <cellStyle name="A_X11C Man. Plan Paint (Summery)YLO0722_NSA Status PO (Martha)-1_FY11-13 commercial outlook-Global" xfId="652"/>
    <cellStyle name="A_X11C Man. Plan Paint (Summery)YLO0722_NSA Status PO (Martha)-1_FY11-13 commercial outlook-Global_C1" xfId="653"/>
    <cellStyle name="A_X11C Man. Plan Paint (Summery)YLO0722_NSA Status PO (Martha)-1_FY11-13 commercial outlook-Global_改訂 【ホンダ入力】Scope3算定ファイル20120604(最終版）" xfId="654"/>
    <cellStyle name="A_X11C Man. Plan Paint (Summery)YLO0722_NSA Status PO (Martha)-1_MRD as (110607)" xfId="655"/>
    <cellStyle name="A_X11C Man. Plan Paint (Summery)YLO0722_NSA Status PO (Martha)-1_MRD as (110607)_C1" xfId="656"/>
    <cellStyle name="A_X11C Man. Plan Paint (Summery)YLO0722_NSA Status PO (Martha)-1_MRD as (110607)_FY11-13 commercial outlook-Global" xfId="657"/>
    <cellStyle name="A_X11C Man. Plan Paint (Summery)YLO0722_NSA Status PO (Martha)-1_MRD as (110607)_FY11-13 commercial outlook-Global_C1" xfId="658"/>
    <cellStyle name="A_X11C Man. Plan Paint (Summery)YLO0722_NSA Status PO (Martha)-1_MRD as (110607)_FY11-13 commercial outlook-Global_改訂 【ホンダ入力】Scope3算定ファイル20120604(最終版）" xfId="659"/>
    <cellStyle name="A_X11C Man. Plan Paint (Summery)YLO0722_NSA Status PO (Martha)-1_MRD as (110607)_NMI Commercial Outlook FY11-13" xfId="660"/>
    <cellStyle name="A_X11C Man. Plan Paint (Summery)YLO0722_NSA Status PO (Martha)-1_MRD as (110607)_NMI Commercial Outlook FY11-13_C1" xfId="661"/>
    <cellStyle name="A_X11C Man. Plan Paint (Summery)YLO0722_NSA Status PO (Martha)-1_MRD as (110607)_NMI Commercial Outlook FY11-13_改訂 【ホンダ入力】Scope3算定ファイル20120604(最終版）" xfId="662"/>
    <cellStyle name="A_X11C Man. Plan Paint (Summery)YLO0722_NSA Status PO (Martha)-1_MRD as (110607)_改訂 【ホンダ入力】Scope3算定ファイル20120604(最終版）" xfId="663"/>
    <cellStyle name="A_X11C Man. Plan Paint (Summery)YLO0722_NSA Status PO (Martha)-1_NMI Commercial Outlook FY11-13" xfId="664"/>
    <cellStyle name="A_X11C Man. Plan Paint (Summery)YLO0722_NSA Status PO (Martha)-1_NMI Commercial Outlook FY11-13_C1" xfId="665"/>
    <cellStyle name="A_X11C Man. Plan Paint (Summery)YLO0722_NSA Status PO (Martha)-1_NMI Commercial Outlook FY11-13_改訂 【ホンダ入力】Scope3算定ファイル20120604(最終版）" xfId="666"/>
    <cellStyle name="A_X11C Man. Plan Paint (Summery)YLO0722_NSA Status PO (Martha)-1_改訂 【ホンダ入力】Scope3算定ファイル20120604(最終版）" xfId="667"/>
    <cellStyle name="A_X11C Man. Plan Paint (Summery)YLO0722_PIC 費用一覽表LIST" xfId="668"/>
    <cellStyle name="A_X11C Man. Plan Paint (Summery)YLO0722_PIC 費用一覽表LIST(資訊)" xfId="669"/>
    <cellStyle name="A_X11C Man. Plan Paint (Summery)YLO0722_PIC 費用一覽表LIST(資訊)_C1" xfId="670"/>
    <cellStyle name="A_X11C Man. Plan Paint (Summery)YLO0722_PIC 費用一覽表LIST(資訊)_改訂 【ホンダ入力】Scope3算定ファイル20120604(最終版）" xfId="671"/>
    <cellStyle name="A_X11C Man. Plan Paint (Summery)YLO0722_PIC 費用一覽表LIST_C1" xfId="672"/>
    <cellStyle name="A_X11C Man. Plan Paint (Summery)YLO0722_PIC 費用一覽表LIST_改訂 【ホンダ入力】Scope3算定ファイル20120604(最終版）" xfId="673"/>
    <cellStyle name="A_X11C Man. Plan Paint (Summery)YLO0722_Round Use PCC Schedule" xfId="674"/>
    <cellStyle name="A_X11C Man. Plan Paint (Summery)YLO0722_Sub Component_230507" xfId="675"/>
    <cellStyle name="A_X11C Man. Plan Paint (Summery)YLO0722_SUMMARY QTY IPO" xfId="676"/>
    <cellStyle name="A_X11C Man. Plan Paint (Summery)YLO0722_X11C製造計劃(全體)-20040729" xfId="677"/>
    <cellStyle name="A_X11C Man. Plan Paint (Summery)YLO0722_X11C製造計劃(全體)-20040729_C1" xfId="678"/>
    <cellStyle name="A_X11C Man. Plan Paint (Summery)YLO0722_X11C製造計劃(全體)-20040729_改訂 【ホンダ入力】Scope3算定ファイル20120604(最終版）" xfId="679"/>
    <cellStyle name="A_X11C Man. Plan Paint (Summery)YLO0722_X11J NSA Case Calculation (22-5-07)" xfId="680"/>
    <cellStyle name="A_X11C Man. Plan Paint (Summery)YLO0722_改訂 【ホンダ入力】Scope3算定ファイル20120604(最終版）" xfId="681"/>
    <cellStyle name="A_X11J製造計劃(全体版）" xfId="682"/>
    <cellStyle name="A_X11J製造計劃封面" xfId="683"/>
    <cellStyle name="A_X11J製造計劃---壓造N" xfId="684"/>
    <cellStyle name="A_X11J製造計劃---壓造N_~3171008" xfId="685"/>
    <cellStyle name="A_X11J製造計劃---壓造N_~3171008_C1" xfId="686"/>
    <cellStyle name="A_X11J製造計劃---壓造N_~3171008_改訂 【ホンダ入力】Scope3算定ファイル20120604(最終版）" xfId="687"/>
    <cellStyle name="A_X11J製造計劃---壓造N_~7914923" xfId="688"/>
    <cellStyle name="A_X11J製造計劃---壓造N_~7914923_C1" xfId="689"/>
    <cellStyle name="A_X11J製造計劃---壓造N_~7914923_改訂 【ホンダ入力】Scope3算定ファイル20120604(最終版）" xfId="690"/>
    <cellStyle name="A_X11J製造計劃---壓造N_C1" xfId="691"/>
    <cellStyle name="A_X11J製造計劃---壓造N_C24 MINOR CHANGE 製造計劃(車裝)-2004-12-31" xfId="692"/>
    <cellStyle name="A_X11J製造計劃---壓造N_C24 MINOR CHANGE 製造計劃(車裝)-2004-12-31_C1" xfId="693"/>
    <cellStyle name="A_X11J製造計劃---壓造N_C24 MINOR CHANGE 製造計劃(車裝)-2004-12-31_改訂 【ホンダ入力】Scope3算定ファイル20120604(最終版）" xfId="694"/>
    <cellStyle name="A_X11J製造計劃---壓造N_Common ENG製造計畫20050314" xfId="695"/>
    <cellStyle name="A_X11J製造計劃---壓造N_Common ENG製造計畫20050314_C1" xfId="696"/>
    <cellStyle name="A_X11J製造計劃---壓造N_Common ENG製造計畫20050314_改訂 【ホンダ入力】Scope3算定ファイル20120604(最終版）" xfId="697"/>
    <cellStyle name="A_X11J製造計劃---壓造N_Common ENG製造計畫20060128" xfId="698"/>
    <cellStyle name="A_X11J製造計劃---壓造N_Common ENG製造計畫20060128_C1" xfId="699"/>
    <cellStyle name="A_X11J製造計劃---壓造N_Common ENG製造計畫20060128_改訂 【ホンダ入力】Scope3算定ファイル20120604(最終版）" xfId="700"/>
    <cellStyle name="A_X11J製造計劃---壓造N_NR 改 OR25 ENG製造計劃" xfId="701"/>
    <cellStyle name="A_X11J製造計劃---壓造N_NR 改 OR25 ENG製造計劃_C1" xfId="702"/>
    <cellStyle name="A_X11J製造計劃---壓造N_NR 改 OR25 ENG製造計劃_改訂 【ホンダ入力】Scope3算定ファイル20120604(最終版）" xfId="703"/>
    <cellStyle name="A_X11J製造計劃---壓造N_改訂 【ホンダ入力】Scope3算定ファイル20120604(最終版）" xfId="704"/>
    <cellStyle name="A_X11J油漆製造計劃0223" xfId="705"/>
    <cellStyle name="A_X11J油漆製造計劃0223_~3171008" xfId="706"/>
    <cellStyle name="A_X11J油漆製造計劃0223_~3171008_C1" xfId="707"/>
    <cellStyle name="A_X11J油漆製造計劃0223_~3171008_改訂 【ホンダ入力】Scope3算定ファイル20120604(最終版）" xfId="708"/>
    <cellStyle name="A_X11J油漆製造計劃0223_~7914923" xfId="709"/>
    <cellStyle name="A_X11J油漆製造計劃0223_~7914923_C1" xfId="710"/>
    <cellStyle name="A_X11J油漆製造計劃0223_~7914923_改訂 【ホンダ入力】Scope3算定ファイル20120604(最終版）" xfId="711"/>
    <cellStyle name="A_X11J油漆製造計劃0223_C1" xfId="712"/>
    <cellStyle name="A_X11J油漆製造計劃0223_C24 MINOR CHANGE 製造計劃(車裝)-2004-12-31" xfId="713"/>
    <cellStyle name="A_X11J油漆製造計劃0223_C24 MINOR CHANGE 製造計劃(車裝)-2004-12-31_C1" xfId="714"/>
    <cellStyle name="A_X11J油漆製造計劃0223_C24 MINOR CHANGE 製造計劃(車裝)-2004-12-31_改訂 【ホンダ入力】Scope3算定ファイル20120604(最終版）" xfId="715"/>
    <cellStyle name="A_X11J油漆製造計劃0223_Common ENG製造計畫20050314" xfId="716"/>
    <cellStyle name="A_X11J油漆製造計劃0223_Common ENG製造計畫20050314_C1" xfId="717"/>
    <cellStyle name="A_X11J油漆製造計劃0223_Common ENG製造計畫20050314_改訂 【ホンダ入力】Scope3算定ファイル20120604(最終版）" xfId="718"/>
    <cellStyle name="A_X11J油漆製造計劃0223_Common ENG製造計畫20060128" xfId="719"/>
    <cellStyle name="A_X11J油漆製造計劃0223_Common ENG製造計畫20060128_C1" xfId="720"/>
    <cellStyle name="A_X11J油漆製造計劃0223_Common ENG製造計畫20060128_改訂 【ホンダ入力】Scope3算定ファイル20120604(最終版）" xfId="721"/>
    <cellStyle name="A_X11J油漆製造計劃0223_NR 改 OR25 ENG製造計劃" xfId="722"/>
    <cellStyle name="A_X11J油漆製造計劃0223_NR 改 OR25 ENG製造計劃_C1" xfId="723"/>
    <cellStyle name="A_X11J油漆製造計劃0223_NR 改 OR25 ENG製造計劃_改訂 【ホンダ入力】Scope3算定ファイル20120604(最終版）" xfId="724"/>
    <cellStyle name="A_X11J油漆製造計劃0223_改訂 【ホンダ入力】Scope3算定ファイル20120604(最終版）" xfId="725"/>
    <cellStyle name="ÅE­ [0]_°èÈ¹" xfId="732"/>
    <cellStyle name="ÅE­_°èÈ¹" xfId="733"/>
    <cellStyle name="Accent1" xfId="726"/>
    <cellStyle name="Accent2" xfId="727"/>
    <cellStyle name="Accent3" xfId="728"/>
    <cellStyle name="Accent4" xfId="729"/>
    <cellStyle name="Accent5" xfId="730"/>
    <cellStyle name="Accent6" xfId="731"/>
    <cellStyle name="AeE­ [0]_INQUIRY ¿μ¾÷AßAø " xfId="734"/>
    <cellStyle name="AeE­_INQUIRY ¿μ¾÷AßAø " xfId="735"/>
    <cellStyle name="AggblueBoldCels" xfId="1676"/>
    <cellStyle name="AggblueBoldCels 2" xfId="1677"/>
    <cellStyle name="AggblueCels" xfId="1678"/>
    <cellStyle name="AggblueCels 2" xfId="1679"/>
    <cellStyle name="AggblueCels_1x" xfId="1680"/>
    <cellStyle name="AggBoldCells" xfId="1681"/>
    <cellStyle name="AggCels" xfId="1682"/>
    <cellStyle name="AggGreen" xfId="1683"/>
    <cellStyle name="AggGreen 2" xfId="1684"/>
    <cellStyle name="AggGreen_2-Fgas-A-2009" xfId="1685"/>
    <cellStyle name="AggGreen12" xfId="1686"/>
    <cellStyle name="AggGreen12 2" xfId="1687"/>
    <cellStyle name="AggGreen12_2-Fgas-A-2009" xfId="1688"/>
    <cellStyle name="AggOrange" xfId="1689"/>
    <cellStyle name="AggOrange 2" xfId="1690"/>
    <cellStyle name="AggOrange_B_border" xfId="1691"/>
    <cellStyle name="AggOrange9" xfId="1692"/>
    <cellStyle name="AggOrange9 2" xfId="1693"/>
    <cellStyle name="AggOrange9_Sheet2" xfId="1694"/>
    <cellStyle name="AggOrangeLB_2x" xfId="1695"/>
    <cellStyle name="AggOrangeLBorder" xfId="1696"/>
    <cellStyle name="AggOrangeLBorder 2" xfId="1697"/>
    <cellStyle name="AggOrangeLBorder_2-Fgas-A-2009" xfId="1698"/>
    <cellStyle name="AggOrangeRBorder" xfId="1699"/>
    <cellStyle name="AggOrangeRBorder 2" xfId="1700"/>
    <cellStyle name="AggOrangeRBorder_Sheet2" xfId="1701"/>
    <cellStyle name="args.style" xfId="740"/>
    <cellStyle name="Artikl" xfId="741"/>
    <cellStyle name="Artikl-hlavní popis" xfId="742"/>
    <cellStyle name="Artikl-vedlejší popis" xfId="743"/>
    <cellStyle name="ÄÞ¸¶ [0]_°èÈ¹" xfId="744"/>
    <cellStyle name="AÞ¸¶ [0]_INQUIRY ¿?¾÷AßAø " xfId="745"/>
    <cellStyle name="ÄÞ¸¶_°èÈ¹" xfId="746"/>
    <cellStyle name="AÞ¸¶_INQUIRY ¿?¾÷AßAø " xfId="747"/>
    <cellStyle name="_x000f_b" xfId="748"/>
    <cellStyle name="Bad" xfId="749"/>
    <cellStyle name="Bold 11" xfId="750"/>
    <cellStyle name="Bold GHG Numbers (0.00)" xfId="751"/>
    <cellStyle name="Border1" xfId="752"/>
    <cellStyle name="Border2" xfId="753"/>
    <cellStyle name="Border3" xfId="754"/>
    <cellStyle name="Brand Label" xfId="755"/>
    <cellStyle name="BuiltOpt_Content" xfId="756"/>
    <cellStyle name="C?AØ_¿?¾÷CoE² " xfId="757"/>
    <cellStyle name="Ç¥ÁØ_¿ù°£¿ä¾àº¸° " xfId="758"/>
    <cellStyle name="C￥AØ_¿μ¾÷CoE² " xfId="759"/>
    <cellStyle name="Ç¥ÁØ_°èÈ¹" xfId="760"/>
    <cellStyle name="Calc Currency (0)" xfId="761"/>
    <cellStyle name="Calculation" xfId="762"/>
    <cellStyle name="čárkované podtržení" xfId="763"/>
    <cellStyle name="čárky [0]_97_APVNIS_servery_jednotlive" xfId="764"/>
    <cellStyle name="čárky_97_APVNIS_servery_jednotlive" xfId="765"/>
    <cellStyle name="category" xfId="766"/>
    <cellStyle name="cena" xfId="767"/>
    <cellStyle name="cena s daní" xfId="768"/>
    <cellStyle name="Cena_3l_09b_97" xfId="769"/>
    <cellStyle name="Check Cell" xfId="770"/>
    <cellStyle name="Check Cell 2" xfId="771"/>
    <cellStyle name="Číslo artiklu" xfId="772"/>
    <cellStyle name="COLONY" xfId="773"/>
    <cellStyle name="Column heading" xfId="774"/>
    <cellStyle name="Column_Title" xfId="775"/>
    <cellStyle name="CombinedVol_Data" xfId="776"/>
    <cellStyle name="Comma  - Style1" xfId="777"/>
    <cellStyle name="Comma  - Style2" xfId="778"/>
    <cellStyle name="Comma  - Style3" xfId="779"/>
    <cellStyle name="Comma  - Style4" xfId="780"/>
    <cellStyle name="Comma  - Style5" xfId="781"/>
    <cellStyle name="Comma  - Style6" xfId="782"/>
    <cellStyle name="Comma  - Style7" xfId="783"/>
    <cellStyle name="Comma  - Style8" xfId="784"/>
    <cellStyle name="Comma [0]_??? " xfId="785"/>
    <cellStyle name="Comma 2" xfId="786"/>
    <cellStyle name="Comma 3" xfId="787"/>
    <cellStyle name="Comma_ Ladder 4X2 RC" xfId="788"/>
    <cellStyle name="Comma0" xfId="789"/>
    <cellStyle name="Comma0 - Style3" xfId="790"/>
    <cellStyle name="Comma0_10  Master List X11J Export SEP'07 (2007-10-01)" xfId="791"/>
    <cellStyle name="Comma1 - Style1" xfId="792"/>
    <cellStyle name="Comment" xfId="793"/>
    <cellStyle name="Constants" xfId="1702"/>
    <cellStyle name="COPYRIGHT" xfId="794"/>
    <cellStyle name="Corner heading" xfId="795"/>
    <cellStyle name="Curren - Style3" xfId="796"/>
    <cellStyle name="Curren - Style4" xfId="797"/>
    <cellStyle name="Currency $" xfId="798"/>
    <cellStyle name="Currency [0]_??? " xfId="799"/>
    <cellStyle name="Currency_ Ladder 4X2 RC" xfId="800"/>
    <cellStyle name="Currency0" xfId="801"/>
    <cellStyle name="CustomCellsOrange" xfId="1703"/>
    <cellStyle name="CustomizationCells" xfId="1704"/>
    <cellStyle name="CustomizationGreenCells" xfId="1705"/>
    <cellStyle name="Data" xfId="802"/>
    <cellStyle name="Data no deci" xfId="803"/>
    <cellStyle name="Data Superscript" xfId="804"/>
    <cellStyle name="Data_1-1A-Regular" xfId="805"/>
    <cellStyle name="Data-one deci" xfId="806"/>
    <cellStyle name="Date" xfId="807"/>
    <cellStyle name="deal. skupiny" xfId="808"/>
    <cellStyle name="Decimal 1" xfId="809"/>
    <cellStyle name="Decimal 2" xfId="810"/>
    <cellStyle name="Decimal 3" xfId="811"/>
    <cellStyle name="Dezimal [0]_00_12_08 Calculation Forms Version 2" xfId="812"/>
    <cellStyle name="Dezimal [2]" xfId="813"/>
    <cellStyle name="Dezimal_00_12_08 Calculation Forms Version 2" xfId="814"/>
    <cellStyle name="DocBox_EmptyRow" xfId="1706"/>
    <cellStyle name="Edited_Data" xfId="815"/>
    <cellStyle name="Empty_B_border" xfId="1707"/>
    <cellStyle name="entry" xfId="818"/>
    <cellStyle name="Estimated_Data" xfId="819"/>
    <cellStyle name="Euro" xfId="820"/>
    <cellStyle name="Excel.Chart" xfId="821"/>
    <cellStyle name="Explanatory Text" xfId="822"/>
    <cellStyle name="Fixed" xfId="834"/>
    <cellStyle name="ƒnƒCƒp[ƒŠƒ“ƒN" xfId="835"/>
    <cellStyle name="Followed Hyperlink" xfId="836"/>
    <cellStyle name="Forecast_Data" xfId="837"/>
    <cellStyle name="g:prcrsNMGB:A1..NMGB:W48" xfId="838"/>
    <cellStyle name="GENERAL" xfId="839"/>
    <cellStyle name="Good" xfId="840"/>
    <cellStyle name="Grey" xfId="841"/>
    <cellStyle name="h" xfId="842"/>
    <cellStyle name="HEADER" xfId="843"/>
    <cellStyle name="Header1" xfId="844"/>
    <cellStyle name="Header2" xfId="845"/>
    <cellStyle name="Heading 1" xfId="846"/>
    <cellStyle name="Heading 2" xfId="847"/>
    <cellStyle name="Heading 3" xfId="848"/>
    <cellStyle name="Heading 4" xfId="849"/>
    <cellStyle name="Heading1" xfId="850"/>
    <cellStyle name="Heading2" xfId="851"/>
    <cellStyle name="Heading3" xfId="852"/>
    <cellStyle name="Headline" xfId="853"/>
    <cellStyle name="Hed Side" xfId="854"/>
    <cellStyle name="Hed Side bold" xfId="855"/>
    <cellStyle name="Hed Side Indent" xfId="856"/>
    <cellStyle name="Hed Side Regular" xfId="857"/>
    <cellStyle name="Hed Side_1-1A-Regular" xfId="858"/>
    <cellStyle name="Hed Top" xfId="859"/>
    <cellStyle name="Hed Top - SECTION" xfId="860"/>
    <cellStyle name="Hed Top_3-new4" xfId="861"/>
    <cellStyle name="Hiperv?nculo" xfId="862"/>
    <cellStyle name="Hiperv?nculo visitado" xfId="863"/>
    <cellStyle name="Hiperv匤culo" xfId="864"/>
    <cellStyle name="Hiperv匤culo visitado" xfId="865"/>
    <cellStyle name="Hiperv匤culo_C1" xfId="866"/>
    <cellStyle name="Hyperlink" xfId="867"/>
    <cellStyle name="Hyperlink 2" xfId="868"/>
    <cellStyle name="IBM(401K)" xfId="869"/>
    <cellStyle name="ikony" xfId="870"/>
    <cellStyle name="Input" xfId="871"/>
    <cellStyle name="Input %" xfId="872"/>
    <cellStyle name="Input [yellow]" xfId="873"/>
    <cellStyle name="Input 1" xfId="874"/>
    <cellStyle name="Input 3" xfId="875"/>
    <cellStyle name="Input locked" xfId="876"/>
    <cellStyle name="Input_ESS#1輸送キョリVERSION2 (2)" xfId="877"/>
    <cellStyle name="InputCells" xfId="1708"/>
    <cellStyle name="InputCells12" xfId="1709"/>
    <cellStyle name="InputCells12 2" xfId="1710"/>
    <cellStyle name="InputCells12_2-Fgas-A-2009" xfId="1711"/>
    <cellStyle name="IntCells" xfId="1712"/>
    <cellStyle name="Item_Current" xfId="878"/>
    <cellStyle name="J401K" xfId="879"/>
    <cellStyle name="kódování" xfId="880"/>
    <cellStyle name="KWE標準" xfId="881"/>
    <cellStyle name="Leaf Reporting" xfId="882"/>
    <cellStyle name="Leaf Reporting (Calc)" xfId="883"/>
    <cellStyle name="Leaf Reporting (input locked)" xfId="884"/>
    <cellStyle name="Leaf Reporting (Input)" xfId="885"/>
    <cellStyle name="Leaf Reporting_4_Progress_UP-LOAD_2006 SAP Input List UDNK_Master_10-7-2006" xfId="886"/>
    <cellStyle name="Lien hypertexte" xfId="887"/>
    <cellStyle name="Lien hypertexte visit " xfId="888"/>
    <cellStyle name="Lien hypertexte visit?" xfId="889"/>
    <cellStyle name="Lien hypertexte visite" xfId="890"/>
    <cellStyle name="Lien hypertexte visité" xfId="891"/>
    <cellStyle name="Lien hypertexte visite_NCC P" xfId="892"/>
    <cellStyle name="Lien hypertexte visité_pcc" xfId="893"/>
    <cellStyle name="Lien hypertexte_10  Master List X11J Export SEP'07 (2007-10-01)" xfId="894"/>
    <cellStyle name="Linked Cell" xfId="895"/>
    <cellStyle name="LISAM" xfId="896"/>
    <cellStyle name="měny_97_APVNIS_servery_jednotlive" xfId="897"/>
    <cellStyle name="Migliaia [0]_ITA S&amp;M1(MKTG)" xfId="898"/>
    <cellStyle name="Millares [0]_Asistencia tec 2003~2006  J-LAT 15 abril" xfId="899"/>
    <cellStyle name="Millares_Business Plan 2001 - 2005 N-180" xfId="900"/>
    <cellStyle name="Milliers [0]_!!!GO" xfId="901"/>
    <cellStyle name="Milliers_!!!GO" xfId="902"/>
    <cellStyle name="Model" xfId="903"/>
    <cellStyle name="Moeda [0]_BOOK1" xfId="904"/>
    <cellStyle name="Moeda_BOOK1" xfId="905"/>
    <cellStyle name="Mon?aire [0]_2000-2006" xfId="906"/>
    <cellStyle name="Mon?aire_2000-2006" xfId="907"/>
    <cellStyle name="Mon?taire [0]_Classeur1" xfId="908"/>
    <cellStyle name="Mon?taire_Classeur1" xfId="909"/>
    <cellStyle name="Moneda [0]_FY 03 DEPRECIATION Report YTD" xfId="910"/>
    <cellStyle name="Moneda_FY 03 DEPRECIATION Report YTD" xfId="911"/>
    <cellStyle name="Monétaire [0]_!!!GO" xfId="912"/>
    <cellStyle name="Monetaire [0]_BP2001 sandrine" xfId="913"/>
    <cellStyle name="Monétaire_!!!GO" xfId="914"/>
    <cellStyle name="Monetaire_BP2001 sandrine" xfId="915"/>
    <cellStyle name="Month" xfId="916"/>
    <cellStyle name="Mon騁aire [0]_2000-2006" xfId="917"/>
    <cellStyle name="Mon騁aire_2000-2006" xfId="918"/>
    <cellStyle name="MPｽﾀｲﾙ" xfId="919"/>
    <cellStyle name="ＭＳゴシック" xfId="920"/>
    <cellStyle name="Nadpis" xfId="921"/>
    <cellStyle name="Neutral" xfId="924"/>
    <cellStyle name="No-definido" xfId="925"/>
    <cellStyle name="Normal   cena" xfId="926"/>
    <cellStyle name="Normal - Style1" xfId="927"/>
    <cellStyle name="Normal - Style5" xfId="928"/>
    <cellStyle name="Normal - スタイル1" xfId="929"/>
    <cellStyle name="Normal - スタイル2" xfId="930"/>
    <cellStyle name="Normal - スタイル3" xfId="931"/>
    <cellStyle name="Normal - スタイル4" xfId="932"/>
    <cellStyle name="Normal - スタイル5" xfId="933"/>
    <cellStyle name="Normal - スタイル6" xfId="934"/>
    <cellStyle name="Normal - スタイル7" xfId="935"/>
    <cellStyle name="Normal - スタイル8" xfId="936"/>
    <cellStyle name="Normal 11" xfId="937"/>
    <cellStyle name="Normal 2" xfId="938"/>
    <cellStyle name="Normal 2 2" xfId="939"/>
    <cellStyle name="Normal 2 2 2" xfId="1713"/>
    <cellStyle name="Normal 2 3" xfId="1714"/>
    <cellStyle name="Normal 3" xfId="940"/>
    <cellStyle name="Normal 3 2" xfId="1663"/>
    <cellStyle name="Normal 3 2 2" xfId="1715"/>
    <cellStyle name="Normal 3 2 3" xfId="1716"/>
    <cellStyle name="Normal 4" xfId="941"/>
    <cellStyle name="Normal 5" xfId="942"/>
    <cellStyle name="Normal 6" xfId="943"/>
    <cellStyle name="Normal 6 cena" xfId="944"/>
    <cellStyle name="Normal 8" xfId="945"/>
    <cellStyle name="Normal 8 cena" xfId="946"/>
    <cellStyle name="Normal cena" xfId="947"/>
    <cellStyle name="Normal GHG Numbers (0.00)" xfId="948"/>
    <cellStyle name="Normal GHG Textfiels Bold" xfId="949"/>
    <cellStyle name="Normal GHG whole table" xfId="950"/>
    <cellStyle name="Normal GHG-Shade" xfId="951"/>
    <cellStyle name="Normal GHG-Shade 2" xfId="1717"/>
    <cellStyle name="Normal GHG-Shade 3" xfId="1718"/>
    <cellStyle name="Normal GHG-Shade_Sheet2" xfId="1719"/>
    <cellStyle name="Normal_ Ladder 4X2 RC" xfId="952"/>
    <cellStyle name="Normal12" xfId="953"/>
    <cellStyle name="Normal12cena" xfId="954"/>
    <cellStyle name="Normal18" xfId="955"/>
    <cellStyle name="Normal24" xfId="956"/>
    <cellStyle name="Normale_BP PANTANO" xfId="957"/>
    <cellStyle name="normální_3L EU" xfId="958"/>
    <cellStyle name="Note" xfId="959"/>
    <cellStyle name="oddíl" xfId="960"/>
    <cellStyle name="Œ…‹æØ‚è [0.00]_guyan" xfId="961"/>
    <cellStyle name="Œ…‹æØ‚è_guyan" xfId="962"/>
    <cellStyle name="oft Excel]_x000d__x000a_Comment=open=/f を指定すると、ユーザー定義関数を関数貼り付けの一覧に登録することができます。_x000d__x000a_Maximized" xfId="963"/>
    <cellStyle name="okruh zboží" xfId="964"/>
    <cellStyle name="Option_Added_Cont_Desc" xfId="965"/>
    <cellStyle name="Output" xfId="966"/>
    <cellStyle name="Pattern" xfId="967"/>
    <cellStyle name="per.style" xfId="968"/>
    <cellStyle name="Percen - Style2" xfId="969"/>
    <cellStyle name="Percen  t" xfId="970"/>
    <cellStyle name="Percent ()" xfId="971"/>
    <cellStyle name="Percent [2]" xfId="972"/>
    <cellStyle name="Percent 1" xfId="973"/>
    <cellStyle name="Percent 2" xfId="974"/>
    <cellStyle name="Percent_Account Detail" xfId="975"/>
    <cellStyle name="PERCENTAGE" xfId="976"/>
    <cellStyle name="počty kusů" xfId="977"/>
    <cellStyle name="podtržení" xfId="978"/>
    <cellStyle name="popis" xfId="979"/>
    <cellStyle name="popis úpravy" xfId="980"/>
    <cellStyle name="popis_Btaikai_after.xls グラフ 2453" xfId="981"/>
    <cellStyle name="poznámka" xfId="982"/>
    <cellStyle name="Preliminary_Data" xfId="983"/>
    <cellStyle name="price" xfId="984"/>
    <cellStyle name="Prices_Data" xfId="985"/>
    <cellStyle name="proklad" xfId="986"/>
    <cellStyle name="PSChar" xfId="987"/>
    <cellStyle name="PSHeading" xfId="988"/>
    <cellStyle name="Q3" xfId="989"/>
    <cellStyle name="Reference" xfId="990"/>
    <cellStyle name="revised" xfId="991"/>
    <cellStyle name="Roman10" xfId="992"/>
    <cellStyle name="Roman12" xfId="993"/>
    <cellStyle name="Roman18" xfId="994"/>
    <cellStyle name="Row heading" xfId="995"/>
    <cellStyle name="SAPBEXaggData" xfId="996"/>
    <cellStyle name="SAPBEXaggDataEmph" xfId="997"/>
    <cellStyle name="SAPBEXaggItem" xfId="998"/>
    <cellStyle name="SAPBEXaggItemX" xfId="999"/>
    <cellStyle name="SAPBEXchaText" xfId="1000"/>
    <cellStyle name="SAPBEXexcBad" xfId="1001"/>
    <cellStyle name="SAPBEXexcBad7" xfId="1002"/>
    <cellStyle name="SAPBEXexcBad8" xfId="1003"/>
    <cellStyle name="SAPBEXexcBad9" xfId="1004"/>
    <cellStyle name="SAPBEXexcCritical" xfId="1005"/>
    <cellStyle name="SAPBEXexcCritical4" xfId="1006"/>
    <cellStyle name="SAPBEXexcCritical5" xfId="1007"/>
    <cellStyle name="SAPBEXexcCritical6" xfId="1008"/>
    <cellStyle name="SAPBEXexcGood" xfId="1009"/>
    <cellStyle name="SAPBEXexcGood1" xfId="1010"/>
    <cellStyle name="SAPBEXexcGood2" xfId="1011"/>
    <cellStyle name="SAPBEXexcGood3" xfId="1012"/>
    <cellStyle name="SAPBEXexcVeryBad" xfId="1013"/>
    <cellStyle name="SAPBEXfilterDrill" xfId="1014"/>
    <cellStyle name="SAPBEXfilterItem" xfId="1015"/>
    <cellStyle name="SAPBEXfilterText" xfId="1016"/>
    <cellStyle name="SAPBEXformats" xfId="1017"/>
    <cellStyle name="SAPBEXheaderData" xfId="1018"/>
    <cellStyle name="SAPBEXheaderItem" xfId="1019"/>
    <cellStyle name="SAPBEXheaderText" xfId="1020"/>
    <cellStyle name="SAPBEXHLevel0" xfId="1021"/>
    <cellStyle name="SAPBEXHLevel0X" xfId="1022"/>
    <cellStyle name="SAPBEXHLevel1" xfId="1023"/>
    <cellStyle name="SAPBEXHLevel1X" xfId="1024"/>
    <cellStyle name="SAPBEXHLevel2" xfId="1025"/>
    <cellStyle name="SAPBEXHLevel2X" xfId="1026"/>
    <cellStyle name="SAPBEXHLevel3" xfId="1027"/>
    <cellStyle name="SAPBEXHLevel3X" xfId="1028"/>
    <cellStyle name="SAPBEXresData" xfId="1029"/>
    <cellStyle name="SAPBEXresDataEmph" xfId="1030"/>
    <cellStyle name="SAPBEXresItem" xfId="1031"/>
    <cellStyle name="SAPBEXresItemX" xfId="1032"/>
    <cellStyle name="SAPBEXstdData" xfId="1033"/>
    <cellStyle name="SAPBEXstdDataEmph" xfId="1034"/>
    <cellStyle name="SAPBEXstdItem" xfId="1035"/>
    <cellStyle name="SAPBEXstdItemX" xfId="1036"/>
    <cellStyle name="SAPBEXsubData" xfId="1037"/>
    <cellStyle name="SAPBEXsubDataEmph" xfId="1038"/>
    <cellStyle name="SAPBEXsubItem" xfId="1039"/>
    <cellStyle name="SAPBEXtitle" xfId="1040"/>
    <cellStyle name="SAPBEXundefined" xfId="1041"/>
    <cellStyle name="section" xfId="1042"/>
    <cellStyle name="Separador de milhares [0]_MONTAGE QUADR" xfId="1043"/>
    <cellStyle name="Separador de milhares_MONTAGE QUADR" xfId="1044"/>
    <cellStyle name="Shade" xfId="1720"/>
    <cellStyle name="Shader" xfId="1045"/>
    <cellStyle name="SKU Label" xfId="1046"/>
    <cellStyle name="Skupiny artiklů" xfId="1047"/>
    <cellStyle name="SLC" xfId="1048"/>
    <cellStyle name="Source Hed" xfId="1049"/>
    <cellStyle name="Source Letter" xfId="1050"/>
    <cellStyle name="Source Superscript" xfId="1051"/>
    <cellStyle name="Source Text" xfId="1052"/>
    <cellStyle name="Standard_8 402 289" xfId="1053"/>
    <cellStyle name="State" xfId="1054"/>
    <cellStyle name="Style 1" xfId="1055"/>
    <cellStyle name="Style 1 2" xfId="1056"/>
    <cellStyle name="Style 1_ESS#1輸送キョリVERSION2 (2)" xfId="1057"/>
    <cellStyle name="Style1" xfId="1058"/>
    <cellStyle name="subhead" xfId="1059"/>
    <cellStyle name="Sum" xfId="1060"/>
    <cellStyle name="Sum %of HV" xfId="1061"/>
    <cellStyle name="Sum_10  Master List X11J Export SEP'07 (2007-10-01)" xfId="1062"/>
    <cellStyle name="Superscript" xfId="1063"/>
    <cellStyle name="Superscript- regular" xfId="1064"/>
    <cellStyle name="Superscript_1-1A-Regular" xfId="1065"/>
    <cellStyle name="t" xfId="1066"/>
    <cellStyle name="t_FY11-13 commercial outlook-Global" xfId="1067"/>
    <cellStyle name="t_NMI Commercial Outlook FY11-13" xfId="1068"/>
    <cellStyle name="t_NMI FY07 Core cost #1 Reply format" xfId="1069"/>
    <cellStyle name="Table Data" xfId="1070"/>
    <cellStyle name="Table Head Top" xfId="1071"/>
    <cellStyle name="Table Hed Side" xfId="1072"/>
    <cellStyle name="Table Title" xfId="1073"/>
    <cellStyle name="TEXT" xfId="1074"/>
    <cellStyle name="thick" xfId="1075"/>
    <cellStyle name="time" xfId="1076"/>
    <cellStyle name="Times New Roman" xfId="1077"/>
    <cellStyle name="title" xfId="1078"/>
    <cellStyle name="Title Text" xfId="1079"/>
    <cellStyle name="Title Text 1" xfId="1080"/>
    <cellStyle name="Title Text 2" xfId="1081"/>
    <cellStyle name="Title-1" xfId="1082"/>
    <cellStyle name="Title-2" xfId="1083"/>
    <cellStyle name="Title-3" xfId="1084"/>
    <cellStyle name="tlustá čára" xfId="1085"/>
    <cellStyle name="Total" xfId="1086"/>
    <cellStyle name="Tusental (0)_pldt" xfId="1087"/>
    <cellStyle name="Tusental_pldt" xfId="1088"/>
    <cellStyle name="™n™C™p©[™™“™N" xfId="1089"/>
    <cellStyle name="Underline 2" xfId="1092"/>
    <cellStyle name="User_Defined_A" xfId="1093"/>
    <cellStyle name="Valuta (0)_pldt" xfId="1094"/>
    <cellStyle name="Valuta_pldt" xfId="1095"/>
    <cellStyle name="Vehicle_Benchmark" xfId="1096"/>
    <cellStyle name="Version_Header" xfId="1097"/>
    <cellStyle name="Vide" xfId="1098"/>
    <cellStyle name="Volumes_Data" xfId="1099"/>
    <cellStyle name="W?hrung [0]_00_12_08 Calculation Forms Version 2" xfId="1100"/>
    <cellStyle name="W?hrung_00_12_08 Calculation Forms Version 2" xfId="1101"/>
    <cellStyle name="Währung [0]_laroux" xfId="1103"/>
    <cellStyle name="Währung_laroux" xfId="1104"/>
    <cellStyle name="Warning Text" xfId="1105"/>
    <cellStyle name="Wrap" xfId="1106"/>
    <cellStyle name="Wrap Bold" xfId="1107"/>
    <cellStyle name="Wrap Title" xfId="1108"/>
    <cellStyle name="Wrap_NTS99-~11" xfId="1109"/>
    <cellStyle name="XP" xfId="1110"/>
    <cellStyle name="Year" xfId="1112"/>
    <cellStyle name="z_x0009__x0001_*_x001c_b" xfId="1113"/>
    <cellStyle name="záruka" xfId="1114"/>
    <cellStyle name="Гиперссылка" xfId="1721"/>
    <cellStyle name="Обычный_2++" xfId="1722"/>
    <cellStyle name="アクセント 1 2" xfId="1119"/>
    <cellStyle name="アクセント 1 3" xfId="1118"/>
    <cellStyle name="アクセント 1 4" xfId="1521"/>
    <cellStyle name="アクセント 2 2" xfId="1121"/>
    <cellStyle name="アクセント 2 3" xfId="1120"/>
    <cellStyle name="アクセント 2 4" xfId="1522"/>
    <cellStyle name="アクセント 3 2" xfId="1123"/>
    <cellStyle name="アクセント 3 3" xfId="1122"/>
    <cellStyle name="アクセント 3 4" xfId="1523"/>
    <cellStyle name="アクセント 4 2" xfId="1125"/>
    <cellStyle name="アクセント 4 3" xfId="1124"/>
    <cellStyle name="アクセント 4 4" xfId="1524"/>
    <cellStyle name="アクセント 5 2" xfId="1127"/>
    <cellStyle name="アクセント 5 3" xfId="1126"/>
    <cellStyle name="アクセント 5 4" xfId="1525"/>
    <cellStyle name="アクセント 6 2" xfId="1129"/>
    <cellStyle name="アクセント 6 3" xfId="1128"/>
    <cellStyle name="アクセント 6 4" xfId="1526"/>
    <cellStyle name="ｳfｹ・[0]_anems_block_list186" xfId="1130"/>
    <cellStyle name="ｳfｹanems_block_list186" xfId="1131"/>
    <cellStyle name="ｳfｹBook1" xfId="1132"/>
    <cellStyle name="ｳfｹE18639" xfId="1133"/>
    <cellStyle name="ｳfｹP186_001213EUR" xfId="1134"/>
    <cellStyle name="ｳfｹP4TR1_1219carunit" xfId="1135"/>
    <cellStyle name="ｳfｹtZR_39_KV1010219" xfId="1136"/>
    <cellStyle name="ｳｬｼｶﾁｴｽﾓ" xfId="1137"/>
    <cellStyle name="ｶWｳsｵｲ" xfId="1138"/>
    <cellStyle name="ｹ鮗ﾐﾀｲ_ｰ豼ｵﾁ･" xfId="1139"/>
    <cellStyle name="ｺﾌｳｬｼｶﾁｴｽﾓ" xfId="1140"/>
    <cellStyle name="スタイル 1" xfId="1141"/>
    <cellStyle name="スタイル 2" xfId="1142"/>
    <cellStyle name="スタイル 3" xfId="1143"/>
    <cellStyle name="スタイル 4" xfId="1144"/>
    <cellStyle name="スタイル 5" xfId="1145"/>
    <cellStyle name="スタイル 6" xfId="1146"/>
    <cellStyle name="ﾀHｫ皙ｺｶWｳsｵｲ" xfId="1147"/>
    <cellStyle name="タイトル 2" xfId="1149"/>
    <cellStyle name="タイトル 3" xfId="1148"/>
    <cellStyle name="タイトル 4" xfId="1527"/>
    <cellStyle name="チェック セル 2" xfId="1151"/>
    <cellStyle name="チェック セル 3" xfId="1150"/>
    <cellStyle name="チェック セル 4" xfId="1528"/>
    <cellStyle name="テーブル 1" xfId="1152"/>
    <cellStyle name="ﾄﾞｸｶ [0]_ｰ霾ｹ" xfId="1153"/>
    <cellStyle name="ﾄﾞｸｶ_ｰ霾ｹ" xfId="1154"/>
    <cellStyle name="どちらでもない 2" xfId="1156"/>
    <cellStyle name="どちらでもない 3" xfId="1155"/>
    <cellStyle name="どちらでもない 4" xfId="1529"/>
    <cellStyle name="ﾅ・ｭ [0]_ｰ霾ｹ" xfId="1157"/>
    <cellStyle name="ﾅ・ｭ_ｰ霾ｹ" xfId="1158"/>
    <cellStyle name="ﾇ･ﾁﾘ_ｰ霾ｹ" xfId="1159"/>
    <cellStyle name="パーセント" xfId="2" builtinId="5"/>
    <cellStyle name="パーセント 10" xfId="1723"/>
    <cellStyle name="パーセント 11" xfId="1724"/>
    <cellStyle name="パーセント 12" xfId="1725"/>
    <cellStyle name="パーセント 2" xfId="1161"/>
    <cellStyle name="パーセント 2 2" xfId="1162"/>
    <cellStyle name="パーセント 2 2 2" xfId="1726"/>
    <cellStyle name="パーセント 3" xfId="1163"/>
    <cellStyle name="パーセント 3 2" xfId="1530"/>
    <cellStyle name="パーセント 3 2 2" xfId="1727"/>
    <cellStyle name="パーセント 3 3" xfId="1728"/>
    <cellStyle name="パーセント 3 3 2" xfId="1867"/>
    <cellStyle name="パーセント 4" xfId="1164"/>
    <cellStyle name="パーセント 4 2" xfId="1531"/>
    <cellStyle name="パーセント 4 2 2" xfId="1729"/>
    <cellStyle name="パーセント 4 3" xfId="1730"/>
    <cellStyle name="パーセント 4 3 2" xfId="1868"/>
    <cellStyle name="パーセント 5" xfId="1160"/>
    <cellStyle name="パーセント 6" xfId="1532"/>
    <cellStyle name="パーセント 6 2" xfId="1731"/>
    <cellStyle name="パーセント 6 3" xfId="1732"/>
    <cellStyle name="パーセント 7" xfId="1733"/>
    <cellStyle name="パーセント 8" xfId="1734"/>
    <cellStyle name="パーセント 9" xfId="1735"/>
    <cellStyle name="ハイパー??ク" xfId="1165"/>
    <cellStyle name="ハイパーリンク 2" xfId="1736"/>
    <cellStyle name="ハイパーリンク 2 2" xfId="1737"/>
    <cellStyle name="ハイパーリンク 3" xfId="1738"/>
    <cellStyle name="ハイパーリンク 4" xfId="1739"/>
    <cellStyle name="ハイパーリンク??MSOBA" xfId="1166"/>
    <cellStyle name="ハイパーリンク?AWINNOre open" xfId="1167"/>
    <cellStyle name="ハイパーリンク?AWINNO慨敲䑤ㅧ㔹䴲瑵" xfId="1168"/>
    <cellStyle name="ハイパーリンクCCMos" xfId="1169"/>
    <cellStyle name="ハイパーリンクTF Mix " xfId="1170"/>
    <cellStyle name="ハイパーリンクuscodes" xfId="1171"/>
    <cellStyle name="ハイパーリンクｹｰ霾ｹｹ1t" xfId="1172"/>
    <cellStyle name="ハイパーリンクｹｰ霾ｹｹle" xfId="1173"/>
    <cellStyle name="メモ 2" xfId="1175"/>
    <cellStyle name="メモ 2 2" xfId="1176"/>
    <cellStyle name="メモ 3" xfId="1177"/>
    <cellStyle name="メモ 4" xfId="1174"/>
    <cellStyle name="メモ 5" xfId="1533"/>
    <cellStyle name="ﾗｬ" xfId="1178"/>
    <cellStyle name="リンク セル 2" xfId="1180"/>
    <cellStyle name="リンク セル 3" xfId="1179"/>
    <cellStyle name="リンク セル 4" xfId="1534"/>
    <cellStyle name="เครื่องหมายจุลภาค [0]_TAI_BP05-08" xfId="1115"/>
    <cellStyle name="เครื่องหมายจุลภาค_CostControlAnalisys" xfId="1116"/>
    <cellStyle name="ปกติ_CostControlAnalisys" xfId="1117"/>
    <cellStyle name="[0]_M0CCB011" xfId="1399"/>
    <cellStyle name="_M0CCB011" xfId="1400"/>
    <cellStyle name=" [0.00]_Attachment 2 (2)" xfId="1401"/>
    <cellStyle name="_Attachment 2 (2)" xfId="1402"/>
    <cellStyle name=" [0.00]_NR?" xfId="1403"/>
    <cellStyle name="_NR?" xfId="1404"/>
    <cellStyle name="00" xfId="1405"/>
    <cellStyle name="?_99.2.24" xfId="1406"/>
    <cellStyle name="??" xfId="1407"/>
    <cellStyle name="??" xfId="1410"/>
    <cellStyle name="_#1?BEO" xfId="1411"/>
    <cellStyle name=" [0]_M0CCB011" xfId="1412"/>
    <cellStyle name="_M0CCB011" xfId="1413"/>
    <cellStyle name="遽_啗" xfId="1414"/>
    <cellStyle name="_x001d_・_x000c_B・5U_x0001_ﾆ_x0016_N5_x0007__x0001__x0001_" xfId="1415"/>
    <cellStyle name="悪い 2" xfId="1182"/>
    <cellStyle name="悪い 3" xfId="1181"/>
    <cellStyle name="悪い 4" xfId="1535"/>
    <cellStyle name="一般_~6940373" xfId="1183"/>
    <cellStyle name="貨幣[0]" xfId="1184"/>
    <cellStyle name="計算 2" xfId="1186"/>
    <cellStyle name="計算 3" xfId="1185"/>
    <cellStyle name="計算 4" xfId="1536"/>
    <cellStyle name="警告文 2" xfId="1188"/>
    <cellStyle name="警告文 3" xfId="1187"/>
    <cellStyle name="警告文 4" xfId="1537"/>
    <cellStyle name="桁・・・_NMPI 新FOB・格" xfId="1189"/>
    <cellStyle name="桁蟻唇Ｆ [0.00]_11th Dec. (2)⠶㈰ㄮ⸰" xfId="1190"/>
    <cellStyle name="桁蟻唇Ｆ_11th Dec. (2)ec. " xfId="1191"/>
    <cellStyle name="桁区切り" xfId="1" builtinId="6"/>
    <cellStyle name="桁区切り 10" xfId="1740"/>
    <cellStyle name="桁区切り 11" xfId="1741"/>
    <cellStyle name="桁区切り 2" xfId="4"/>
    <cellStyle name="桁区切り 2 2" xfId="1194"/>
    <cellStyle name="桁区切り 2 3" xfId="1193"/>
    <cellStyle name="桁区切り 2 4" xfId="1538"/>
    <cellStyle name="桁区切り 3" xfId="1195"/>
    <cellStyle name="桁区切り 3 2" xfId="1196"/>
    <cellStyle name="桁区切り 3 2 2" xfId="1742"/>
    <cellStyle name="桁区切り 4" xfId="1197"/>
    <cellStyle name="桁区切り 4 2" xfId="1539"/>
    <cellStyle name="桁区切り 4 2 2" xfId="1743"/>
    <cellStyle name="桁区切り 4 3" xfId="1744"/>
    <cellStyle name="桁区切り 4 3 2" xfId="1869"/>
    <cellStyle name="桁区切り 5" xfId="1198"/>
    <cellStyle name="桁区切り 5 2" xfId="1540"/>
    <cellStyle name="桁区切り 5 2 2" xfId="1745"/>
    <cellStyle name="桁区切り 5 3" xfId="1746"/>
    <cellStyle name="桁区切り 5 3 2" xfId="1870"/>
    <cellStyle name="桁区切り 6" xfId="1192"/>
    <cellStyle name="桁区切り 7" xfId="1541"/>
    <cellStyle name="桁区切り 7 2" xfId="1747"/>
    <cellStyle name="桁区切り 7 3" xfId="1748"/>
    <cellStyle name="桁区切り 8" xfId="1749"/>
    <cellStyle name="桁区切り 9" xfId="1750"/>
    <cellStyle name="見出し 1 2" xfId="1200"/>
    <cellStyle name="見出し 1 3" xfId="1199"/>
    <cellStyle name="見出し 1 4" xfId="1542"/>
    <cellStyle name="見出し 2 2" xfId="1202"/>
    <cellStyle name="見出し 2 3" xfId="1201"/>
    <cellStyle name="見出し 2 4" xfId="1543"/>
    <cellStyle name="見出し 3 2" xfId="1204"/>
    <cellStyle name="見出し 3 3" xfId="1203"/>
    <cellStyle name="見出し 3 4" xfId="1544"/>
    <cellStyle name="見出し 4 2" xfId="1206"/>
    <cellStyle name="見出し 4 3" xfId="1205"/>
    <cellStyle name="見出し 4 4" xfId="1545"/>
    <cellStyle name="集計 2" xfId="1208"/>
    <cellStyle name="集計 3" xfId="1207"/>
    <cellStyle name="集計 4" xfId="1546"/>
    <cellStyle name="出力 2" xfId="1210"/>
    <cellStyle name="出力 3" xfId="1209"/>
    <cellStyle name="出力 4" xfId="1547"/>
    <cellStyle name="常规_029056ET整车 查询" xfId="1211"/>
    <cellStyle name="똿뗦먛귟 [0.00]_PRODUCT DETAIL Q1" xfId="1375"/>
    <cellStyle name="똿뗦먛귟_PRODUCT DETAIL Q1" xfId="1376"/>
    <cellStyle name="説明文 2" xfId="1213"/>
    <cellStyle name="説明文 3" xfId="1212"/>
    <cellStyle name="説明文 4" xfId="1548"/>
    <cellStyle name="千位分隔[0] 2" xfId="1214"/>
    <cellStyle name="千位分隔[0]_定购合同RE530 RENAULT" xfId="1215"/>
    <cellStyle name="脱]Y [0.00]_Book1li" xfId="1216"/>
    <cellStyle name="脱]Y_Book1]_" xfId="1217"/>
    <cellStyle name="脱浦" xfId="1218"/>
    <cellStyle name="脱浦 [0.00]" xfId="1219"/>
    <cellStyle name="脱浦_＝Y?2" xfId="1220"/>
    <cellStyle name="入力 2" xfId="1222"/>
    <cellStyle name="入力 3" xfId="1221"/>
    <cellStyle name="入力 4" xfId="1549"/>
    <cellStyle name="半角" xfId="1223"/>
    <cellStyle name="百分比00" xfId="1224"/>
    <cellStyle name="標・_国ZY化リスト" xfId="1225"/>
    <cellStyle name="標準" xfId="0" builtinId="0"/>
    <cellStyle name="標準 10" xfId="1226"/>
    <cellStyle name="標準 10 2" xfId="1550"/>
    <cellStyle name="標準 100" xfId="1551"/>
    <cellStyle name="標準 101" xfId="1552"/>
    <cellStyle name="標準 102" xfId="1454"/>
    <cellStyle name="標準 103" xfId="1662"/>
    <cellStyle name="標準 11" xfId="1227"/>
    <cellStyle name="標準 12" xfId="1228"/>
    <cellStyle name="標準 13" xfId="1229"/>
    <cellStyle name="標準 14" xfId="1230"/>
    <cellStyle name="標準 15" xfId="1231"/>
    <cellStyle name="標準 16" xfId="1232"/>
    <cellStyle name="標準 17" xfId="1233"/>
    <cellStyle name="標準 18" xfId="1234"/>
    <cellStyle name="標準 19" xfId="1235"/>
    <cellStyle name="標準 2" xfId="3"/>
    <cellStyle name="標準 2 10" xfId="1237"/>
    <cellStyle name="標準 2 10 2" xfId="1553"/>
    <cellStyle name="標準 2 10 3" xfId="1751"/>
    <cellStyle name="標準 2 11" xfId="1238"/>
    <cellStyle name="標準 2 11 2" xfId="1554"/>
    <cellStyle name="標準 2 11 3" xfId="1752"/>
    <cellStyle name="標準 2 12" xfId="1239"/>
    <cellStyle name="標準 2 12 2" xfId="1555"/>
    <cellStyle name="標準 2 12 3" xfId="1753"/>
    <cellStyle name="標準 2 13" xfId="1240"/>
    <cellStyle name="標準 2 13 2" xfId="1556"/>
    <cellStyle name="標準 2 13 3" xfId="1754"/>
    <cellStyle name="標準 2 14" xfId="1241"/>
    <cellStyle name="標準 2 14 2" xfId="1557"/>
    <cellStyle name="標準 2 14 3" xfId="1755"/>
    <cellStyle name="標準 2 15" xfId="1242"/>
    <cellStyle name="標準 2 15 2" xfId="1558"/>
    <cellStyle name="標準 2 15 3" xfId="1756"/>
    <cellStyle name="標準 2 16" xfId="1243"/>
    <cellStyle name="標準 2 16 2" xfId="1559"/>
    <cellStyle name="標準 2 16 3" xfId="1757"/>
    <cellStyle name="標準 2 17" xfId="1244"/>
    <cellStyle name="標準 2 17 2" xfId="1560"/>
    <cellStyle name="標準 2 17 3" xfId="1758"/>
    <cellStyle name="標準 2 18" xfId="1245"/>
    <cellStyle name="標準 2 18 2" xfId="1561"/>
    <cellStyle name="標準 2 18 3" xfId="1759"/>
    <cellStyle name="標準 2 19" xfId="1246"/>
    <cellStyle name="標準 2 19 2" xfId="1562"/>
    <cellStyle name="標準 2 19 3" xfId="1760"/>
    <cellStyle name="標準 2 2" xfId="1247"/>
    <cellStyle name="標準 2 2 2" xfId="1563"/>
    <cellStyle name="標準 2 2 2 2" xfId="1761"/>
    <cellStyle name="標準 2 2 2 3" xfId="1762"/>
    <cellStyle name="標準 2 2 3" xfId="1564"/>
    <cellStyle name="標準 2 2 3 2" xfId="1763"/>
    <cellStyle name="標準 2 2 3 3" xfId="1764"/>
    <cellStyle name="標準 2 20" xfId="1248"/>
    <cellStyle name="標準 2 20 2" xfId="1565"/>
    <cellStyle name="標準 2 20 3" xfId="1765"/>
    <cellStyle name="標準 2 21" xfId="1249"/>
    <cellStyle name="標準 2 21 2" xfId="1566"/>
    <cellStyle name="標準 2 21 3" xfId="1766"/>
    <cellStyle name="標準 2 22" xfId="1250"/>
    <cellStyle name="標準 2 22 2" xfId="1567"/>
    <cellStyle name="標準 2 22 3" xfId="1767"/>
    <cellStyle name="標準 2 23" xfId="1251"/>
    <cellStyle name="標準 2 23 2" xfId="1568"/>
    <cellStyle name="標準 2 23 3" xfId="1768"/>
    <cellStyle name="標準 2 24" xfId="1252"/>
    <cellStyle name="標準 2 24 2" xfId="1569"/>
    <cellStyle name="標準 2 24 3" xfId="1769"/>
    <cellStyle name="標準 2 25" xfId="1253"/>
    <cellStyle name="標準 2 25 2" xfId="1570"/>
    <cellStyle name="標準 2 25 3" xfId="1770"/>
    <cellStyle name="標準 2 26" xfId="1254"/>
    <cellStyle name="標準 2 26 2" xfId="1571"/>
    <cellStyle name="標準 2 26 3" xfId="1771"/>
    <cellStyle name="標準 2 27" xfId="1255"/>
    <cellStyle name="標準 2 27 2" xfId="1572"/>
    <cellStyle name="標準 2 27 3" xfId="1772"/>
    <cellStyle name="標準 2 28" xfId="1256"/>
    <cellStyle name="標準 2 28 2" xfId="1573"/>
    <cellStyle name="標準 2 28 3" xfId="1773"/>
    <cellStyle name="標準 2 29" xfId="1257"/>
    <cellStyle name="標準 2 29 2" xfId="1574"/>
    <cellStyle name="標準 2 29 3" xfId="1774"/>
    <cellStyle name="標準 2 3" xfId="1258"/>
    <cellStyle name="標準 2 3 2" xfId="1575"/>
    <cellStyle name="標準 2 3 3" xfId="1775"/>
    <cellStyle name="標準 2 30" xfId="1259"/>
    <cellStyle name="標準 2 30 2" xfId="1576"/>
    <cellStyle name="標準 2 30 3" xfId="1776"/>
    <cellStyle name="標準 2 31" xfId="1260"/>
    <cellStyle name="標準 2 31 2" xfId="1577"/>
    <cellStyle name="標準 2 31 3" xfId="1777"/>
    <cellStyle name="標準 2 32" xfId="1261"/>
    <cellStyle name="標準 2 32 2" xfId="1578"/>
    <cellStyle name="標準 2 32 3" xfId="1778"/>
    <cellStyle name="標準 2 33" xfId="1262"/>
    <cellStyle name="標準 2 33 2" xfId="1579"/>
    <cellStyle name="標準 2 33 3" xfId="1779"/>
    <cellStyle name="標準 2 34" xfId="1263"/>
    <cellStyle name="標準 2 34 2" xfId="1580"/>
    <cellStyle name="標準 2 34 3" xfId="1780"/>
    <cellStyle name="標準 2 35" xfId="1264"/>
    <cellStyle name="標準 2 35 2" xfId="1581"/>
    <cellStyle name="標準 2 35 3" xfId="1781"/>
    <cellStyle name="標準 2 36" xfId="1265"/>
    <cellStyle name="標準 2 36 2" xfId="1582"/>
    <cellStyle name="標準 2 36 3" xfId="1782"/>
    <cellStyle name="標準 2 37" xfId="1266"/>
    <cellStyle name="標準 2 37 2" xfId="1583"/>
    <cellStyle name="標準 2 37 3" xfId="1783"/>
    <cellStyle name="標準 2 38" xfId="1267"/>
    <cellStyle name="標準 2 38 2" xfId="1584"/>
    <cellStyle name="標準 2 38 3" xfId="1784"/>
    <cellStyle name="標準 2 39" xfId="1268"/>
    <cellStyle name="標準 2 39 2" xfId="1585"/>
    <cellStyle name="標準 2 39 3" xfId="1785"/>
    <cellStyle name="標準 2 4" xfId="1269"/>
    <cellStyle name="標準 2 4 2" xfId="1586"/>
    <cellStyle name="標準 2 4 3" xfId="1786"/>
    <cellStyle name="標準 2 40" xfId="1270"/>
    <cellStyle name="標準 2 40 2" xfId="1587"/>
    <cellStyle name="標準 2 40 3" xfId="1787"/>
    <cellStyle name="標準 2 41" xfId="1271"/>
    <cellStyle name="標準 2 41 2" xfId="1588"/>
    <cellStyle name="標準 2 41 3" xfId="1788"/>
    <cellStyle name="標準 2 42" xfId="1272"/>
    <cellStyle name="標準 2 43" xfId="1273"/>
    <cellStyle name="標準 2 44" xfId="1236"/>
    <cellStyle name="標準 2 44 2" xfId="1789"/>
    <cellStyle name="標準 2 45" xfId="1589"/>
    <cellStyle name="標準 2 45 2" xfId="1790"/>
    <cellStyle name="標準 2 45 3" xfId="1791"/>
    <cellStyle name="標準 2 46" xfId="1590"/>
    <cellStyle name="標準 2 46 2" xfId="1792"/>
    <cellStyle name="標準 2 46 3" xfId="1793"/>
    <cellStyle name="標準 2 5" xfId="1274"/>
    <cellStyle name="標準 2 5 2" xfId="1591"/>
    <cellStyle name="標準 2 5 3" xfId="1794"/>
    <cellStyle name="標準 2 6" xfId="1275"/>
    <cellStyle name="標準 2 6 2" xfId="1592"/>
    <cellStyle name="標準 2 6 3" xfId="1795"/>
    <cellStyle name="標準 2 7" xfId="1276"/>
    <cellStyle name="標準 2 7 2" xfId="1593"/>
    <cellStyle name="標準 2 7 3" xfId="1796"/>
    <cellStyle name="標準 2 8" xfId="1277"/>
    <cellStyle name="標準 2 8 2" xfId="1594"/>
    <cellStyle name="標準 2 8 3" xfId="1797"/>
    <cellStyle name="標準 2 9" xfId="1278"/>
    <cellStyle name="標準 2 9 2" xfId="1595"/>
    <cellStyle name="標準 2 9 3" xfId="1798"/>
    <cellStyle name="標準 2_【C1】たばこ" xfId="1279"/>
    <cellStyle name="標準 20" xfId="1280"/>
    <cellStyle name="標準 21" xfId="1281"/>
    <cellStyle name="標準 22" xfId="1282"/>
    <cellStyle name="標準 23" xfId="1283"/>
    <cellStyle name="標準 24" xfId="1284"/>
    <cellStyle name="標準 25" xfId="1285"/>
    <cellStyle name="標準 26" xfId="1286"/>
    <cellStyle name="標準 27" xfId="1287"/>
    <cellStyle name="標準 28" xfId="1288"/>
    <cellStyle name="標準 29" xfId="1289"/>
    <cellStyle name="標準 3" xfId="1290"/>
    <cellStyle name="標準 3 2" xfId="1291"/>
    <cellStyle name="標準 3 2 10" xfId="1292"/>
    <cellStyle name="標準 3 2 10 2" xfId="1596"/>
    <cellStyle name="標準 3 2 10 3" xfId="1799"/>
    <cellStyle name="標準 3 2 11" xfId="1293"/>
    <cellStyle name="標準 3 2 11 2" xfId="1597"/>
    <cellStyle name="標準 3 2 11 3" xfId="1800"/>
    <cellStyle name="標準 3 2 12" xfId="1294"/>
    <cellStyle name="標準 3 2 12 2" xfId="1598"/>
    <cellStyle name="標準 3 2 12 3" xfId="1801"/>
    <cellStyle name="標準 3 2 13" xfId="1295"/>
    <cellStyle name="標準 3 2 13 2" xfId="1599"/>
    <cellStyle name="標準 3 2 13 3" xfId="1802"/>
    <cellStyle name="標準 3 2 14" xfId="1296"/>
    <cellStyle name="標準 3 2 14 2" xfId="1600"/>
    <cellStyle name="標準 3 2 14 3" xfId="1803"/>
    <cellStyle name="標準 3 2 15" xfId="1297"/>
    <cellStyle name="標準 3 2 15 2" xfId="1601"/>
    <cellStyle name="標準 3 2 15 3" xfId="1804"/>
    <cellStyle name="標準 3 2 16" xfId="1298"/>
    <cellStyle name="標準 3 2 16 2" xfId="1602"/>
    <cellStyle name="標準 3 2 16 3" xfId="1805"/>
    <cellStyle name="標準 3 2 17" xfId="1299"/>
    <cellStyle name="標準 3 2 17 2" xfId="1603"/>
    <cellStyle name="標準 3 2 17 3" xfId="1806"/>
    <cellStyle name="標準 3 2 18" xfId="1300"/>
    <cellStyle name="標準 3 2 18 2" xfId="1604"/>
    <cellStyle name="標準 3 2 18 3" xfId="1807"/>
    <cellStyle name="標準 3 2 19" xfId="1301"/>
    <cellStyle name="標準 3 2 19 2" xfId="1605"/>
    <cellStyle name="標準 3 2 19 3" xfId="1808"/>
    <cellStyle name="標準 3 2 2" xfId="1302"/>
    <cellStyle name="標準 3 2 2 2" xfId="1606"/>
    <cellStyle name="標準 3 2 2 3" xfId="1809"/>
    <cellStyle name="標準 3 2 20" xfId="1303"/>
    <cellStyle name="標準 3 2 20 2" xfId="1607"/>
    <cellStyle name="標準 3 2 20 3" xfId="1810"/>
    <cellStyle name="標準 3 2 21" xfId="1304"/>
    <cellStyle name="標準 3 2 21 2" xfId="1608"/>
    <cellStyle name="標準 3 2 21 3" xfId="1811"/>
    <cellStyle name="標準 3 2 22" xfId="1305"/>
    <cellStyle name="標準 3 2 22 2" xfId="1609"/>
    <cellStyle name="標準 3 2 22 3" xfId="1812"/>
    <cellStyle name="標準 3 2 23" xfId="1306"/>
    <cellStyle name="標準 3 2 23 2" xfId="1610"/>
    <cellStyle name="標準 3 2 23 3" xfId="1813"/>
    <cellStyle name="標準 3 2 24" xfId="1307"/>
    <cellStyle name="標準 3 2 24 2" xfId="1611"/>
    <cellStyle name="標準 3 2 24 3" xfId="1814"/>
    <cellStyle name="標準 3 2 25" xfId="1308"/>
    <cellStyle name="標準 3 2 25 2" xfId="1612"/>
    <cellStyle name="標準 3 2 25 3" xfId="1815"/>
    <cellStyle name="標準 3 2 26" xfId="1309"/>
    <cellStyle name="標準 3 2 26 2" xfId="1613"/>
    <cellStyle name="標準 3 2 26 3" xfId="1816"/>
    <cellStyle name="標準 3 2 27" xfId="1310"/>
    <cellStyle name="標準 3 2 27 2" xfId="1614"/>
    <cellStyle name="標準 3 2 27 3" xfId="1817"/>
    <cellStyle name="標準 3 2 28" xfId="1311"/>
    <cellStyle name="標準 3 2 28 2" xfId="1615"/>
    <cellStyle name="標準 3 2 28 3" xfId="1818"/>
    <cellStyle name="標準 3 2 29" xfId="1312"/>
    <cellStyle name="標準 3 2 29 2" xfId="1616"/>
    <cellStyle name="標準 3 2 29 3" xfId="1819"/>
    <cellStyle name="標準 3 2 3" xfId="1313"/>
    <cellStyle name="標準 3 2 3 2" xfId="1617"/>
    <cellStyle name="標準 3 2 3 3" xfId="1820"/>
    <cellStyle name="標準 3 2 30" xfId="1314"/>
    <cellStyle name="標準 3 2 30 2" xfId="1618"/>
    <cellStyle name="標準 3 2 30 3" xfId="1821"/>
    <cellStyle name="標準 3 2 31" xfId="1315"/>
    <cellStyle name="標準 3 2 31 2" xfId="1619"/>
    <cellStyle name="標準 3 2 31 3" xfId="1822"/>
    <cellStyle name="標準 3 2 32" xfId="1316"/>
    <cellStyle name="標準 3 2 32 2" xfId="1620"/>
    <cellStyle name="標準 3 2 32 3" xfId="1823"/>
    <cellStyle name="標準 3 2 33" xfId="1317"/>
    <cellStyle name="標準 3 2 33 2" xfId="1621"/>
    <cellStyle name="標準 3 2 33 3" xfId="1824"/>
    <cellStyle name="標準 3 2 34" xfId="1318"/>
    <cellStyle name="標準 3 2 34 2" xfId="1622"/>
    <cellStyle name="標準 3 2 34 3" xfId="1825"/>
    <cellStyle name="標準 3 2 35" xfId="1319"/>
    <cellStyle name="標準 3 2 35 2" xfId="1623"/>
    <cellStyle name="標準 3 2 35 3" xfId="1826"/>
    <cellStyle name="標準 3 2 36" xfId="1320"/>
    <cellStyle name="標準 3 2 36 2" xfId="1624"/>
    <cellStyle name="標準 3 2 36 3" xfId="1827"/>
    <cellStyle name="標準 3 2 37" xfId="1321"/>
    <cellStyle name="標準 3 2 37 2" xfId="1625"/>
    <cellStyle name="標準 3 2 37 3" xfId="1828"/>
    <cellStyle name="標準 3 2 38" xfId="1322"/>
    <cellStyle name="標準 3 2 38 2" xfId="1626"/>
    <cellStyle name="標準 3 2 38 3" xfId="1829"/>
    <cellStyle name="標準 3 2 39" xfId="1323"/>
    <cellStyle name="標準 3 2 39 2" xfId="1627"/>
    <cellStyle name="標準 3 2 39 3" xfId="1830"/>
    <cellStyle name="標準 3 2 4" xfId="1324"/>
    <cellStyle name="標準 3 2 4 2" xfId="1628"/>
    <cellStyle name="標準 3 2 4 3" xfId="1831"/>
    <cellStyle name="標準 3 2 40" xfId="1325"/>
    <cellStyle name="標準 3 2 40 2" xfId="1629"/>
    <cellStyle name="標準 3 2 40 3" xfId="1832"/>
    <cellStyle name="標準 3 2 41" xfId="1630"/>
    <cellStyle name="標準 3 2 42" xfId="1833"/>
    <cellStyle name="標準 3 2 5" xfId="1326"/>
    <cellStyle name="標準 3 2 5 2" xfId="1631"/>
    <cellStyle name="標準 3 2 5 3" xfId="1834"/>
    <cellStyle name="標準 3 2 6" xfId="1327"/>
    <cellStyle name="標準 3 2 6 2" xfId="1632"/>
    <cellStyle name="標準 3 2 6 3" xfId="1835"/>
    <cellStyle name="標準 3 2 7" xfId="1328"/>
    <cellStyle name="標準 3 2 7 2" xfId="1633"/>
    <cellStyle name="標準 3 2 7 3" xfId="1836"/>
    <cellStyle name="標準 3 2 8" xfId="1329"/>
    <cellStyle name="標準 3 2 8 2" xfId="1634"/>
    <cellStyle name="標準 3 2 8 3" xfId="1837"/>
    <cellStyle name="標準 3 2 9" xfId="1330"/>
    <cellStyle name="標準 3 2 9 2" xfId="1635"/>
    <cellStyle name="標準 3 2 9 3" xfId="1838"/>
    <cellStyle name="標準 3 2_C5_生産系拠点" xfId="1331"/>
    <cellStyle name="標準 3 3" xfId="1332"/>
    <cellStyle name="標準 3 3 2" xfId="1636"/>
    <cellStyle name="標準 3 3 3" xfId="1839"/>
    <cellStyle name="標準 3 4" xfId="1637"/>
    <cellStyle name="標準 3 4 2" xfId="1840"/>
    <cellStyle name="標準 3 5" xfId="1638"/>
    <cellStyle name="標準 3 5 2" xfId="1841"/>
    <cellStyle name="標準 3 5 3" xfId="1842"/>
    <cellStyle name="標準 3 6" xfId="1639"/>
    <cellStyle name="標準 3 6 2" xfId="1843"/>
    <cellStyle name="標準 3 6 3" xfId="1844"/>
    <cellStyle name="標準 3 7" xfId="1871"/>
    <cellStyle name="標準 3 8" xfId="1872"/>
    <cellStyle name="標準 3_【C1】たばこ" xfId="1333"/>
    <cellStyle name="標準 30" xfId="1334"/>
    <cellStyle name="標準 31" xfId="1335"/>
    <cellStyle name="標準 32" xfId="1336"/>
    <cellStyle name="標準 33" xfId="1337"/>
    <cellStyle name="標準 34" xfId="1338"/>
    <cellStyle name="標準 35" xfId="1339"/>
    <cellStyle name="標準 36" xfId="1340"/>
    <cellStyle name="標準 37" xfId="1341"/>
    <cellStyle name="標準 38" xfId="1342"/>
    <cellStyle name="標準 39" xfId="1343"/>
    <cellStyle name="標準 4" xfId="1344"/>
    <cellStyle name="標準 4 2" xfId="1845"/>
    <cellStyle name="標準 40" xfId="1345"/>
    <cellStyle name="標準 41" xfId="1346"/>
    <cellStyle name="標準 42" xfId="1347"/>
    <cellStyle name="標準 43" xfId="1348"/>
    <cellStyle name="標準 44" xfId="1349"/>
    <cellStyle name="標準 45" xfId="1350"/>
    <cellStyle name="標準 46" xfId="1351"/>
    <cellStyle name="標準 46 2" xfId="1640"/>
    <cellStyle name="標準 46 3" xfId="1846"/>
    <cellStyle name="標準 47" xfId="1352"/>
    <cellStyle name="標準 47 2" xfId="1641"/>
    <cellStyle name="標準 47 3" xfId="1847"/>
    <cellStyle name="標準 48" xfId="1353"/>
    <cellStyle name="標準 48 2" xfId="1642"/>
    <cellStyle name="標準 48 3" xfId="1848"/>
    <cellStyle name="標準 49" xfId="5"/>
    <cellStyle name="標準 49 2" xfId="1643"/>
    <cellStyle name="標準 49 3" xfId="1849"/>
    <cellStyle name="標準 5" xfId="1354"/>
    <cellStyle name="標準 5 2" xfId="1850"/>
    <cellStyle name="標準 50" xfId="1416"/>
    <cellStyle name="標準 50 2" xfId="1644"/>
    <cellStyle name="標準 51" xfId="1440"/>
    <cellStyle name="標準 51 2" xfId="1645"/>
    <cellStyle name="標準 51 2 2" xfId="1851"/>
    <cellStyle name="標準 51 2 3" xfId="1852"/>
    <cellStyle name="標準 52" xfId="1417"/>
    <cellStyle name="標準 52 2" xfId="1853"/>
    <cellStyle name="標準 53" xfId="1438"/>
    <cellStyle name="標準 53 2" xfId="1854"/>
    <cellStyle name="標準 54" xfId="1418"/>
    <cellStyle name="標準 54 2" xfId="1855"/>
    <cellStyle name="標準 55" xfId="1439"/>
    <cellStyle name="標準 55 2" xfId="1856"/>
    <cellStyle name="標準 56" xfId="1419"/>
    <cellStyle name="標準 56 2" xfId="1857"/>
    <cellStyle name="標準 57" xfId="1437"/>
    <cellStyle name="標準 57 2" xfId="1858"/>
    <cellStyle name="標準 58" xfId="1420"/>
    <cellStyle name="標準 58 2" xfId="1859"/>
    <cellStyle name="標準 59" xfId="1436"/>
    <cellStyle name="標準 59 2" xfId="1860"/>
    <cellStyle name="標準 6" xfId="1355"/>
    <cellStyle name="標準 6 2" xfId="1861"/>
    <cellStyle name="標準 60" xfId="1421"/>
    <cellStyle name="標準 60 2" xfId="1862"/>
    <cellStyle name="標準 61" xfId="1435"/>
    <cellStyle name="標準 61 2" xfId="1863"/>
    <cellStyle name="標準 62" xfId="1422"/>
    <cellStyle name="標準 62 2" xfId="1864"/>
    <cellStyle name="標準 63" xfId="1442"/>
    <cellStyle name="標準 63 2" xfId="1865"/>
    <cellStyle name="標準 64" xfId="1423"/>
    <cellStyle name="標準 65" xfId="1441"/>
    <cellStyle name="標準 66" xfId="1443"/>
    <cellStyle name="標準 67" xfId="1434"/>
    <cellStyle name="標準 68" xfId="1424"/>
    <cellStyle name="標準 69" xfId="1433"/>
    <cellStyle name="標準 7" xfId="1356"/>
    <cellStyle name="標準 70" xfId="1425"/>
    <cellStyle name="標準 71" xfId="1432"/>
    <cellStyle name="標準 72" xfId="1426"/>
    <cellStyle name="標準 73" xfId="1431"/>
    <cellStyle name="標準 74" xfId="1427"/>
    <cellStyle name="標準 75" xfId="1430"/>
    <cellStyle name="標準 76" xfId="1428"/>
    <cellStyle name="標準 77" xfId="1429"/>
    <cellStyle name="標準 78" xfId="1444"/>
    <cellStyle name="標準 79" xfId="1445"/>
    <cellStyle name="標準 8" xfId="1357"/>
    <cellStyle name="標準 80" xfId="1450"/>
    <cellStyle name="標準 81" xfId="1446"/>
    <cellStyle name="標準 82" xfId="1451"/>
    <cellStyle name="標準 83" xfId="1447"/>
    <cellStyle name="標準 84" xfId="1449"/>
    <cellStyle name="標準 85" xfId="1452"/>
    <cellStyle name="標準 86" xfId="1448"/>
    <cellStyle name="標準 87" xfId="1453"/>
    <cellStyle name="標準 88" xfId="1646"/>
    <cellStyle name="標準 89" xfId="1647"/>
    <cellStyle name="標準 9" xfId="1358"/>
    <cellStyle name="標準 9 2" xfId="1648"/>
    <cellStyle name="標準 90" xfId="1649"/>
    <cellStyle name="標準 91" xfId="1650"/>
    <cellStyle name="標準 92" xfId="1651"/>
    <cellStyle name="標準 93" xfId="1652"/>
    <cellStyle name="標準 94" xfId="1653"/>
    <cellStyle name="標準 95" xfId="1654"/>
    <cellStyle name="標準 96" xfId="1655"/>
    <cellStyle name="標準 97" xfId="1656"/>
    <cellStyle name="標準 98" xfId="1657"/>
    <cellStyle name="標準 99" xfId="1658"/>
    <cellStyle name="標準(細明朝)" xfId="1359"/>
    <cellStyle name="標準(本明朝)" xfId="1360"/>
    <cellStyle name="標準_【ホンダ入力】Scope3算定ファイル20120516" xfId="1660"/>
    <cellStyle name="標準_改訂 【ホンダ入力】Scope3算定ファイル20120604(最終版）" xfId="1661"/>
    <cellStyle name="標準１" xfId="1361"/>
    <cellStyle name="表・・・・ハイパーリンク" xfId="1362"/>
    <cellStyle name="表旨巧・・ハイパーリンク" xfId="1363"/>
    <cellStyle name="表示??????????" xfId="1364"/>
    <cellStyle name="表示済みのハイパー??ク" xfId="1365"/>
    <cellStyle name="表示済みのハイパーリンク (2)ec. (2)2" xfId="1366"/>
    <cellStyle name="表示済みのハイパーリンクat書 (2)_Mast" xfId="1367"/>
    <cellStyle name="表示済みのハイパーリンクBALLOON" xfId="1368"/>
    <cellStyle name="表示済みのハイパーリンクes_Book2akdo" xfId="1369"/>
    <cellStyle name="表示済みのハイパーリンクNOTEWINNOTET" xfId="1370"/>
    <cellStyle name="表示済みのハイパーリンクNOTEWINNOTET workbooks w" xfId="1371"/>
    <cellStyle name="表示済みのハイパーリンクUCS変更経緯ening" xfId="1372"/>
    <cellStyle name="表示済みのハイパーリンクx Projection" xfId="1373"/>
    <cellStyle name="変更禁止" xfId="1374"/>
    <cellStyle name="磨葬e義" xfId="1377"/>
    <cellStyle name="未定義" xfId="1378"/>
    <cellStyle name="未定義 2" xfId="1866"/>
    <cellStyle name="良い 2" xfId="1380"/>
    <cellStyle name="良い 3" xfId="1379"/>
    <cellStyle name="良い 4" xfId="1659"/>
    <cellStyle name="믅됞 [0.00]_PRODUCT DETAIL Q1" xfId="1384"/>
    <cellStyle name="믅됞_PRODUCT DETAIL Q1" xfId="1385"/>
    <cellStyle name="백분율_HOBONG" xfId="1386"/>
    <cellStyle name="뷭?_BOOKSHIP" xfId="1387"/>
    <cellStyle name="寥碟徽_唳艙雖" xfId="1381"/>
    <cellStyle name="巍葆 [0]_啗" xfId="1382"/>
    <cellStyle name="巍葆_啗" xfId="1383"/>
    <cellStyle name="寘嬫愗傝_Volume Plan (FS-BP)030710" xfId="1388"/>
    <cellStyle name="콤마 [0]_1202" xfId="1389"/>
    <cellStyle name="콤마_1202" xfId="1390"/>
    <cellStyle name="통화 [0]_1202" xfId="1391"/>
    <cellStyle name="통화_1202" xfId="1392"/>
    <cellStyle name="표준_(정보부문)월별인원계획" xfId="1393"/>
    <cellStyle name="하이퍼링크_P32M_Supplier_Code_List_051017" xfId="1394"/>
    <cellStyle name="昗弨_Volume Plan (FS-BP)030710" xfId="1395"/>
    <cellStyle name="货币[0]_定购合同RE530 RENAULT" xfId="1396"/>
    <cellStyle name="鑗? [0.00]_NR???髆???" xfId="1397"/>
    <cellStyle name="鑗?_NR???髆???" xfId="1398"/>
    <cellStyle name="鰫??[0]_M0CCB011" xfId="1408"/>
    <cellStyle name="鰫??_M0CCB011" xfId="14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494319243110103E-2"/>
          <c:y val="3.1718047428443329E-2"/>
          <c:w val="0.57412532385209769"/>
          <c:h val="0.9524863599772021"/>
        </c:manualLayout>
      </c:layout>
      <c:pieChart>
        <c:varyColors val="1"/>
        <c:ser>
          <c:idx val="0"/>
          <c:order val="0"/>
          <c:cat>
            <c:strRef>
              <c:f>'1_素材'!$E$84:$E$100</c:f>
              <c:strCache>
                <c:ptCount val="17"/>
                <c:pt idx="0">
                  <c:v>スコープ１</c:v>
                </c:pt>
                <c:pt idx="1">
                  <c:v>スコープ２</c:v>
                </c:pt>
                <c:pt idx="2">
                  <c:v>カテゴリ１</c:v>
                </c:pt>
                <c:pt idx="3">
                  <c:v>カテゴリ２</c:v>
                </c:pt>
                <c:pt idx="4">
                  <c:v>カテゴリ３</c:v>
                </c:pt>
                <c:pt idx="5">
                  <c:v>カテゴリ４</c:v>
                </c:pt>
                <c:pt idx="6">
                  <c:v>カテゴリ５</c:v>
                </c:pt>
                <c:pt idx="7">
                  <c:v>カテゴリ６</c:v>
                </c:pt>
                <c:pt idx="8">
                  <c:v>カテゴリ７</c:v>
                </c:pt>
                <c:pt idx="9">
                  <c:v>カテゴリ８</c:v>
                </c:pt>
                <c:pt idx="10">
                  <c:v>カテゴリ９</c:v>
                </c:pt>
                <c:pt idx="11">
                  <c:v>カテゴリ１０</c:v>
                </c:pt>
                <c:pt idx="12">
                  <c:v>カテゴリ１１</c:v>
                </c:pt>
                <c:pt idx="13">
                  <c:v>カテゴリ１２</c:v>
                </c:pt>
                <c:pt idx="14">
                  <c:v>カテゴリ１３</c:v>
                </c:pt>
                <c:pt idx="15">
                  <c:v>カテゴリ１４</c:v>
                </c:pt>
                <c:pt idx="16">
                  <c:v>カテゴリ１５</c:v>
                </c:pt>
              </c:strCache>
            </c:strRef>
          </c:cat>
          <c:val>
            <c:numRef>
              <c:f>'1_素材'!$G$84:$G$100</c:f>
              <c:numCache>
                <c:formatCode>#,##0_);[Red]\(#,##0\)</c:formatCode>
                <c:ptCount val="17"/>
                <c:pt idx="0">
                  <c:v>200000</c:v>
                </c:pt>
                <c:pt idx="1">
                  <c:v>50000</c:v>
                </c:pt>
                <c:pt idx="2">
                  <c:v>110062.94</c:v>
                </c:pt>
                <c:pt idx="3">
                  <c:v>12102</c:v>
                </c:pt>
                <c:pt idx="4">
                  <c:v>24184</c:v>
                </c:pt>
                <c:pt idx="5">
                  <c:v>60227.780738123896</c:v>
                </c:pt>
                <c:pt idx="6">
                  <c:v>678.4</c:v>
                </c:pt>
                <c:pt idx="7">
                  <c:v>14.933500000000002</c:v>
                </c:pt>
                <c:pt idx="8">
                  <c:v>844.10072169512966</c:v>
                </c:pt>
                <c:pt idx="9">
                  <c:v>12.875</c:v>
                </c:pt>
                <c:pt idx="10">
                  <c:v>0</c:v>
                </c:pt>
                <c:pt idx="11">
                  <c:v>0</c:v>
                </c:pt>
                <c:pt idx="12">
                  <c:v>0</c:v>
                </c:pt>
                <c:pt idx="13">
                  <c:v>0</c:v>
                </c:pt>
                <c:pt idx="14">
                  <c:v>10000</c:v>
                </c:pt>
                <c:pt idx="15">
                  <c:v>0</c:v>
                </c:pt>
                <c:pt idx="16">
                  <c:v>4479.7691162140536</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8828763666278525"/>
          <c:y val="2.2892415534778755E-2"/>
          <c:w val="0.25186606742219114"/>
          <c:h val="0.97710771298237242"/>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494319243110103E-2"/>
          <c:y val="3.1718047428443329E-2"/>
          <c:w val="0.57412532385209769"/>
          <c:h val="0.9524863599772021"/>
        </c:manualLayout>
      </c:layout>
      <c:pieChart>
        <c:varyColors val="1"/>
        <c:ser>
          <c:idx val="0"/>
          <c:order val="0"/>
          <c:cat>
            <c:strRef>
              <c:f>'10_宿泊'!$E$110:$E$126</c:f>
              <c:strCache>
                <c:ptCount val="17"/>
                <c:pt idx="0">
                  <c:v>スコープ１</c:v>
                </c:pt>
                <c:pt idx="1">
                  <c:v>スコープ２</c:v>
                </c:pt>
                <c:pt idx="2">
                  <c:v>カテゴリ１</c:v>
                </c:pt>
                <c:pt idx="3">
                  <c:v>カテゴリ２</c:v>
                </c:pt>
                <c:pt idx="4">
                  <c:v>カテゴリ３</c:v>
                </c:pt>
                <c:pt idx="5">
                  <c:v>カテゴリ４</c:v>
                </c:pt>
                <c:pt idx="6">
                  <c:v>カテゴリ５</c:v>
                </c:pt>
                <c:pt idx="7">
                  <c:v>カテゴリ６</c:v>
                </c:pt>
                <c:pt idx="8">
                  <c:v>カテゴリ７</c:v>
                </c:pt>
                <c:pt idx="9">
                  <c:v>カテゴリ８</c:v>
                </c:pt>
                <c:pt idx="10">
                  <c:v>カテゴリ９</c:v>
                </c:pt>
                <c:pt idx="11">
                  <c:v>カテゴリ１０</c:v>
                </c:pt>
                <c:pt idx="12">
                  <c:v>カテゴリ１１</c:v>
                </c:pt>
                <c:pt idx="13">
                  <c:v>カテゴリ１２</c:v>
                </c:pt>
                <c:pt idx="14">
                  <c:v>カテゴリ１３</c:v>
                </c:pt>
                <c:pt idx="15">
                  <c:v>カテゴリ１４</c:v>
                </c:pt>
                <c:pt idx="16">
                  <c:v>カテゴリ１５</c:v>
                </c:pt>
              </c:strCache>
            </c:strRef>
          </c:cat>
          <c:val>
            <c:numRef>
              <c:f>'10_宿泊'!$G$110:$G$126</c:f>
              <c:numCache>
                <c:formatCode>#,##0_);[Red]\(#,##0\)</c:formatCode>
                <c:ptCount val="17"/>
                <c:pt idx="0">
                  <c:v>10000</c:v>
                </c:pt>
                <c:pt idx="1">
                  <c:v>20000</c:v>
                </c:pt>
                <c:pt idx="2">
                  <c:v>92772.800000000003</c:v>
                </c:pt>
                <c:pt idx="3">
                  <c:v>15750</c:v>
                </c:pt>
                <c:pt idx="4">
                  <c:v>4282.3500000000004</c:v>
                </c:pt>
                <c:pt idx="5">
                  <c:v>6221.1224999999995</c:v>
                </c:pt>
                <c:pt idx="6">
                  <c:v>1279.6400000000001</c:v>
                </c:pt>
                <c:pt idx="7">
                  <c:v>12608</c:v>
                </c:pt>
                <c:pt idx="8">
                  <c:v>9218.3972169512963</c:v>
                </c:pt>
                <c:pt idx="9">
                  <c:v>12.875</c:v>
                </c:pt>
                <c:pt idx="10">
                  <c:v>4.47</c:v>
                </c:pt>
                <c:pt idx="11">
                  <c:v>0</c:v>
                </c:pt>
                <c:pt idx="12">
                  <c:v>7.7199999999999989</c:v>
                </c:pt>
                <c:pt idx="13">
                  <c:v>24.35</c:v>
                </c:pt>
                <c:pt idx="14">
                  <c:v>980</c:v>
                </c:pt>
                <c:pt idx="15">
                  <c:v>0</c:v>
                </c:pt>
                <c:pt idx="16">
                  <c:v>4736.1796399423383</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8828763666278525"/>
          <c:y val="2.2892415534778755E-2"/>
          <c:w val="0.25186606742219114"/>
          <c:h val="0.9771077129823724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494319243110103E-2"/>
          <c:y val="3.1718047428443329E-2"/>
          <c:w val="0.57412532385209769"/>
          <c:h val="0.9524863599772021"/>
        </c:manualLayout>
      </c:layout>
      <c:pieChart>
        <c:varyColors val="1"/>
        <c:ser>
          <c:idx val="0"/>
          <c:order val="0"/>
          <c:cat>
            <c:strRef>
              <c:f>'2_部品'!$E$76:$E$92</c:f>
              <c:strCache>
                <c:ptCount val="17"/>
                <c:pt idx="0">
                  <c:v>スコープ１</c:v>
                </c:pt>
                <c:pt idx="1">
                  <c:v>スコープ２</c:v>
                </c:pt>
                <c:pt idx="2">
                  <c:v>カテゴリ１</c:v>
                </c:pt>
                <c:pt idx="3">
                  <c:v>カテゴリ２</c:v>
                </c:pt>
                <c:pt idx="4">
                  <c:v>カテゴリ３</c:v>
                </c:pt>
                <c:pt idx="5">
                  <c:v>カテゴリ４</c:v>
                </c:pt>
                <c:pt idx="6">
                  <c:v>カテゴリ５</c:v>
                </c:pt>
                <c:pt idx="7">
                  <c:v>カテゴリ６</c:v>
                </c:pt>
                <c:pt idx="8">
                  <c:v>カテゴリ７</c:v>
                </c:pt>
                <c:pt idx="9">
                  <c:v>カテゴリ８</c:v>
                </c:pt>
                <c:pt idx="10">
                  <c:v>カテゴリ９</c:v>
                </c:pt>
                <c:pt idx="11">
                  <c:v>カテゴリ１０</c:v>
                </c:pt>
                <c:pt idx="12">
                  <c:v>カテゴリ１１</c:v>
                </c:pt>
                <c:pt idx="13">
                  <c:v>カテゴリ１２</c:v>
                </c:pt>
                <c:pt idx="14">
                  <c:v>カテゴリ１３</c:v>
                </c:pt>
                <c:pt idx="15">
                  <c:v>カテゴリ１４</c:v>
                </c:pt>
                <c:pt idx="16">
                  <c:v>カテゴリ１５</c:v>
                </c:pt>
              </c:strCache>
            </c:strRef>
          </c:cat>
          <c:val>
            <c:numRef>
              <c:f>'2_部品'!$G$76:$G$92</c:f>
              <c:numCache>
                <c:formatCode>#,##0_);[Red]\(#,##0\)</c:formatCode>
                <c:ptCount val="17"/>
                <c:pt idx="0">
                  <c:v>5000</c:v>
                </c:pt>
                <c:pt idx="1">
                  <c:v>12000</c:v>
                </c:pt>
                <c:pt idx="2">
                  <c:v>19526</c:v>
                </c:pt>
                <c:pt idx="3">
                  <c:v>3084</c:v>
                </c:pt>
                <c:pt idx="4">
                  <c:v>2521.9</c:v>
                </c:pt>
                <c:pt idx="5">
                  <c:v>7985.5926912707964</c:v>
                </c:pt>
                <c:pt idx="6">
                  <c:v>88.096999999999994</c:v>
                </c:pt>
                <c:pt idx="7">
                  <c:v>14.933500000000002</c:v>
                </c:pt>
                <c:pt idx="8">
                  <c:v>844.10072169512966</c:v>
                </c:pt>
                <c:pt idx="9">
                  <c:v>12.875</c:v>
                </c:pt>
                <c:pt idx="10">
                  <c:v>0</c:v>
                </c:pt>
                <c:pt idx="11">
                  <c:v>2300</c:v>
                </c:pt>
                <c:pt idx="12">
                  <c:v>0</c:v>
                </c:pt>
                <c:pt idx="13">
                  <c:v>1484.35</c:v>
                </c:pt>
                <c:pt idx="14">
                  <c:v>0</c:v>
                </c:pt>
                <c:pt idx="15">
                  <c:v>0</c:v>
                </c:pt>
                <c:pt idx="16">
                  <c:v>4479.7691162140536</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8828763666278525"/>
          <c:y val="2.2892415534778755E-2"/>
          <c:w val="0.25186606742219114"/>
          <c:h val="0.9771077129823724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494319243110103E-2"/>
          <c:y val="3.1718047428443329E-2"/>
          <c:w val="0.57412532385209769"/>
          <c:h val="0.9524863599772021"/>
        </c:manualLayout>
      </c:layout>
      <c:pieChart>
        <c:varyColors val="1"/>
        <c:ser>
          <c:idx val="0"/>
          <c:order val="0"/>
          <c:cat>
            <c:strRef>
              <c:f>'3_組立機械'!$E$113:$E$129</c:f>
              <c:strCache>
                <c:ptCount val="17"/>
                <c:pt idx="0">
                  <c:v>スコープ１</c:v>
                </c:pt>
                <c:pt idx="1">
                  <c:v>スコープ２</c:v>
                </c:pt>
                <c:pt idx="2">
                  <c:v>カテゴリ１</c:v>
                </c:pt>
                <c:pt idx="3">
                  <c:v>カテゴリ２</c:v>
                </c:pt>
                <c:pt idx="4">
                  <c:v>カテゴリ３</c:v>
                </c:pt>
                <c:pt idx="5">
                  <c:v>カテゴリ４</c:v>
                </c:pt>
                <c:pt idx="6">
                  <c:v>カテゴリ５</c:v>
                </c:pt>
                <c:pt idx="7">
                  <c:v>カテゴリ６</c:v>
                </c:pt>
                <c:pt idx="8">
                  <c:v>カテゴリ７</c:v>
                </c:pt>
                <c:pt idx="9">
                  <c:v>カテゴリ８</c:v>
                </c:pt>
                <c:pt idx="10">
                  <c:v>カテゴリ９</c:v>
                </c:pt>
                <c:pt idx="11">
                  <c:v>カテゴリ１０</c:v>
                </c:pt>
                <c:pt idx="12">
                  <c:v>カテゴリ１１</c:v>
                </c:pt>
                <c:pt idx="13">
                  <c:v>カテゴリ１２</c:v>
                </c:pt>
                <c:pt idx="14">
                  <c:v>カテゴリ１３</c:v>
                </c:pt>
                <c:pt idx="15">
                  <c:v>カテゴリ１４</c:v>
                </c:pt>
                <c:pt idx="16">
                  <c:v>カテゴリ１５</c:v>
                </c:pt>
              </c:strCache>
            </c:strRef>
          </c:cat>
          <c:val>
            <c:numRef>
              <c:f>'3_組立機械'!$G$113:$G$129</c:f>
              <c:numCache>
                <c:formatCode>#,##0_);[Red]\(#,##0\)</c:formatCode>
                <c:ptCount val="17"/>
                <c:pt idx="0">
                  <c:v>2000000</c:v>
                </c:pt>
                <c:pt idx="1">
                  <c:v>1500000</c:v>
                </c:pt>
                <c:pt idx="2">
                  <c:v>2891086.5</c:v>
                </c:pt>
                <c:pt idx="3">
                  <c:v>171600</c:v>
                </c:pt>
                <c:pt idx="4">
                  <c:v>323935</c:v>
                </c:pt>
                <c:pt idx="5">
                  <c:v>283045.52620446752</c:v>
                </c:pt>
                <c:pt idx="6">
                  <c:v>36116.9</c:v>
                </c:pt>
                <c:pt idx="7">
                  <c:v>48.36</c:v>
                </c:pt>
                <c:pt idx="8">
                  <c:v>84141.380169512966</c:v>
                </c:pt>
                <c:pt idx="9">
                  <c:v>12.875</c:v>
                </c:pt>
                <c:pt idx="10">
                  <c:v>1250</c:v>
                </c:pt>
                <c:pt idx="11">
                  <c:v>23</c:v>
                </c:pt>
                <c:pt idx="12">
                  <c:v>14101259.154937945</c:v>
                </c:pt>
                <c:pt idx="13">
                  <c:v>13600.000000000002</c:v>
                </c:pt>
                <c:pt idx="14">
                  <c:v>0</c:v>
                </c:pt>
                <c:pt idx="15">
                  <c:v>0</c:v>
                </c:pt>
                <c:pt idx="16">
                  <c:v>11658.954449755514</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8828763666278525"/>
          <c:y val="2.2892415534778755E-2"/>
          <c:w val="0.25186606742219114"/>
          <c:h val="0.97710771298237242"/>
        </c:manualLayout>
      </c:layout>
      <c:overlay val="0"/>
    </c:legend>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494319243110103E-2"/>
          <c:y val="3.1718047428443329E-2"/>
          <c:w val="0.57412532385209769"/>
          <c:h val="0.9524863599772021"/>
        </c:manualLayout>
      </c:layout>
      <c:pieChart>
        <c:varyColors val="1"/>
        <c:ser>
          <c:idx val="0"/>
          <c:order val="0"/>
          <c:cat>
            <c:strRef>
              <c:f>'4_食品'!$E$102:$E$118</c:f>
              <c:strCache>
                <c:ptCount val="17"/>
                <c:pt idx="0">
                  <c:v>スコープ１</c:v>
                </c:pt>
                <c:pt idx="1">
                  <c:v>スコープ２</c:v>
                </c:pt>
                <c:pt idx="2">
                  <c:v>カテゴリ１</c:v>
                </c:pt>
                <c:pt idx="3">
                  <c:v>カテゴリ２</c:v>
                </c:pt>
                <c:pt idx="4">
                  <c:v>カテゴリ３</c:v>
                </c:pt>
                <c:pt idx="5">
                  <c:v>カテゴリ４</c:v>
                </c:pt>
                <c:pt idx="6">
                  <c:v>カテゴリ５</c:v>
                </c:pt>
                <c:pt idx="7">
                  <c:v>カテゴリ６</c:v>
                </c:pt>
                <c:pt idx="8">
                  <c:v>カテゴリ７</c:v>
                </c:pt>
                <c:pt idx="9">
                  <c:v>カテゴリ８</c:v>
                </c:pt>
                <c:pt idx="10">
                  <c:v>カテゴリ９</c:v>
                </c:pt>
                <c:pt idx="11">
                  <c:v>カテゴリ１０</c:v>
                </c:pt>
                <c:pt idx="12">
                  <c:v>カテゴリ１１</c:v>
                </c:pt>
                <c:pt idx="13">
                  <c:v>カテゴリ１２</c:v>
                </c:pt>
                <c:pt idx="14">
                  <c:v>カテゴリ１３</c:v>
                </c:pt>
                <c:pt idx="15">
                  <c:v>カテゴリ１４</c:v>
                </c:pt>
                <c:pt idx="16">
                  <c:v>カテゴリ１５</c:v>
                </c:pt>
              </c:strCache>
            </c:strRef>
          </c:cat>
          <c:val>
            <c:numRef>
              <c:f>'4_食品'!$G$102:$G$118</c:f>
              <c:numCache>
                <c:formatCode>#,##0_);[Red]\(#,##0\)</c:formatCode>
                <c:ptCount val="17"/>
                <c:pt idx="0">
                  <c:v>119454</c:v>
                </c:pt>
                <c:pt idx="1">
                  <c:v>92860</c:v>
                </c:pt>
                <c:pt idx="2">
                  <c:v>409889.125</c:v>
                </c:pt>
                <c:pt idx="3">
                  <c:v>23560</c:v>
                </c:pt>
                <c:pt idx="4">
                  <c:v>28740.606199999998</c:v>
                </c:pt>
                <c:pt idx="5">
                  <c:v>52303.16666476438</c:v>
                </c:pt>
                <c:pt idx="6">
                  <c:v>5213.3099999999995</c:v>
                </c:pt>
                <c:pt idx="7">
                  <c:v>650</c:v>
                </c:pt>
                <c:pt idx="8">
                  <c:v>2267.9999999999995</c:v>
                </c:pt>
                <c:pt idx="9">
                  <c:v>1607.875</c:v>
                </c:pt>
                <c:pt idx="10">
                  <c:v>341.25</c:v>
                </c:pt>
                <c:pt idx="12">
                  <c:v>2396.2124999999996</c:v>
                </c:pt>
                <c:pt idx="13">
                  <c:v>7417.3237956412777</c:v>
                </c:pt>
                <c:pt idx="14">
                  <c:v>66027.712499999994</c:v>
                </c:pt>
                <c:pt idx="15">
                  <c:v>0</c:v>
                </c:pt>
                <c:pt idx="16">
                  <c:v>11658.954449755514</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8828763666278525"/>
          <c:y val="2.2892415534778755E-2"/>
          <c:w val="0.25186606742219114"/>
          <c:h val="0.97710771298237242"/>
        </c:manualLayout>
      </c:layout>
      <c:overlay val="0"/>
    </c:legend>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494319243110103E-2"/>
          <c:y val="3.1718047428443329E-2"/>
          <c:w val="0.57412532385209769"/>
          <c:h val="0.9524863599772021"/>
        </c:manualLayout>
      </c:layout>
      <c:pieChart>
        <c:varyColors val="1"/>
        <c:ser>
          <c:idx val="0"/>
          <c:order val="0"/>
          <c:cat>
            <c:strRef>
              <c:f>'5_物流'!$E$92:$E$108</c:f>
              <c:strCache>
                <c:ptCount val="17"/>
                <c:pt idx="0">
                  <c:v>スコープ１</c:v>
                </c:pt>
                <c:pt idx="1">
                  <c:v>スコープ２</c:v>
                </c:pt>
                <c:pt idx="2">
                  <c:v>カテゴリ１</c:v>
                </c:pt>
                <c:pt idx="3">
                  <c:v>カテゴリ２</c:v>
                </c:pt>
                <c:pt idx="4">
                  <c:v>カテゴリ３</c:v>
                </c:pt>
                <c:pt idx="5">
                  <c:v>カテゴリ４</c:v>
                </c:pt>
                <c:pt idx="6">
                  <c:v>カテゴリ５</c:v>
                </c:pt>
                <c:pt idx="7">
                  <c:v>カテゴリ６</c:v>
                </c:pt>
                <c:pt idx="8">
                  <c:v>カテゴリ７</c:v>
                </c:pt>
                <c:pt idx="9">
                  <c:v>カテゴリ８</c:v>
                </c:pt>
                <c:pt idx="10">
                  <c:v>カテゴリ９</c:v>
                </c:pt>
                <c:pt idx="11">
                  <c:v>カテゴリ１０</c:v>
                </c:pt>
                <c:pt idx="12">
                  <c:v>カテゴリ１１</c:v>
                </c:pt>
                <c:pt idx="13">
                  <c:v>カテゴリ１２</c:v>
                </c:pt>
                <c:pt idx="14">
                  <c:v>カテゴリ１３</c:v>
                </c:pt>
                <c:pt idx="15">
                  <c:v>カテゴリ１４</c:v>
                </c:pt>
                <c:pt idx="16">
                  <c:v>カテゴリ１５</c:v>
                </c:pt>
              </c:strCache>
            </c:strRef>
          </c:cat>
          <c:val>
            <c:numRef>
              <c:f>'5_物流'!$G$92:$G$108</c:f>
              <c:numCache>
                <c:formatCode>#,##0_);[Red]\(#,##0\)</c:formatCode>
                <c:ptCount val="17"/>
                <c:pt idx="0">
                  <c:v>450000</c:v>
                </c:pt>
                <c:pt idx="1">
                  <c:v>80000</c:v>
                </c:pt>
                <c:pt idx="2">
                  <c:v>1448646.5</c:v>
                </c:pt>
                <c:pt idx="3">
                  <c:v>22570</c:v>
                </c:pt>
                <c:pt idx="4">
                  <c:v>36992.5</c:v>
                </c:pt>
                <c:pt idx="5">
                  <c:v>500.63999999999993</c:v>
                </c:pt>
                <c:pt idx="6">
                  <c:v>6524.4679999999998</c:v>
                </c:pt>
                <c:pt idx="7">
                  <c:v>2709</c:v>
                </c:pt>
                <c:pt idx="8">
                  <c:v>58534.383301707778</c:v>
                </c:pt>
                <c:pt idx="9">
                  <c:v>12.875</c:v>
                </c:pt>
                <c:pt idx="10">
                  <c:v>0</c:v>
                </c:pt>
                <c:pt idx="11">
                  <c:v>0</c:v>
                </c:pt>
                <c:pt idx="12">
                  <c:v>0</c:v>
                </c:pt>
                <c:pt idx="13">
                  <c:v>111.3</c:v>
                </c:pt>
                <c:pt idx="14">
                  <c:v>50000</c:v>
                </c:pt>
                <c:pt idx="15">
                  <c:v>0</c:v>
                </c:pt>
                <c:pt idx="16">
                  <c:v>4498.4207013243349</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8828763666278525"/>
          <c:y val="2.2892415534778755E-2"/>
          <c:w val="0.25186606742219114"/>
          <c:h val="0.97710771298237242"/>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494319243110103E-2"/>
          <c:y val="3.1718047428443329E-2"/>
          <c:w val="0.57412532385209769"/>
          <c:h val="0.9524863599772021"/>
        </c:manualLayout>
      </c:layout>
      <c:pieChart>
        <c:varyColors val="1"/>
        <c:ser>
          <c:idx val="0"/>
          <c:order val="0"/>
          <c:cat>
            <c:strRef>
              <c:f>'6_建設'!$E$106:$E$122</c:f>
              <c:strCache>
                <c:ptCount val="17"/>
                <c:pt idx="0">
                  <c:v>スコープ１</c:v>
                </c:pt>
                <c:pt idx="1">
                  <c:v>スコープ２</c:v>
                </c:pt>
                <c:pt idx="2">
                  <c:v>カテゴリ１</c:v>
                </c:pt>
                <c:pt idx="3">
                  <c:v>カテゴリ２</c:v>
                </c:pt>
                <c:pt idx="4">
                  <c:v>カテゴリ３</c:v>
                </c:pt>
                <c:pt idx="5">
                  <c:v>カテゴリ４</c:v>
                </c:pt>
                <c:pt idx="6">
                  <c:v>カテゴリ５</c:v>
                </c:pt>
                <c:pt idx="7">
                  <c:v>カテゴリ６</c:v>
                </c:pt>
                <c:pt idx="8">
                  <c:v>カテゴリ７</c:v>
                </c:pt>
                <c:pt idx="9">
                  <c:v>カテゴリ８</c:v>
                </c:pt>
                <c:pt idx="10">
                  <c:v>カテゴリ９</c:v>
                </c:pt>
                <c:pt idx="11">
                  <c:v>カテゴリ１０</c:v>
                </c:pt>
                <c:pt idx="12">
                  <c:v>カテゴリ１１</c:v>
                </c:pt>
                <c:pt idx="13">
                  <c:v>カテゴリ１２</c:v>
                </c:pt>
                <c:pt idx="14">
                  <c:v>カテゴリ１３</c:v>
                </c:pt>
                <c:pt idx="15">
                  <c:v>カテゴリ１４</c:v>
                </c:pt>
                <c:pt idx="16">
                  <c:v>カテゴリ１５</c:v>
                </c:pt>
              </c:strCache>
            </c:strRef>
          </c:cat>
          <c:val>
            <c:numRef>
              <c:f>'6_建設'!$G$106:$G$122</c:f>
              <c:numCache>
                <c:formatCode>#,##0_);[Red]\(#,##0\)</c:formatCode>
                <c:ptCount val="17"/>
                <c:pt idx="0">
                  <c:v>5000</c:v>
                </c:pt>
                <c:pt idx="1">
                  <c:v>12000</c:v>
                </c:pt>
                <c:pt idx="2">
                  <c:v>203727</c:v>
                </c:pt>
                <c:pt idx="3">
                  <c:v>25650</c:v>
                </c:pt>
                <c:pt idx="4">
                  <c:v>19525.100000000002</c:v>
                </c:pt>
                <c:pt idx="5">
                  <c:v>63411.555998799995</c:v>
                </c:pt>
                <c:pt idx="6">
                  <c:v>100351.29574849999</c:v>
                </c:pt>
                <c:pt idx="7">
                  <c:v>14.933500000000002</c:v>
                </c:pt>
                <c:pt idx="8">
                  <c:v>8415.2582169512971</c:v>
                </c:pt>
                <c:pt idx="9">
                  <c:v>12.875</c:v>
                </c:pt>
                <c:pt idx="10">
                  <c:v>0</c:v>
                </c:pt>
                <c:pt idx="11">
                  <c:v>10200</c:v>
                </c:pt>
                <c:pt idx="12">
                  <c:v>147000</c:v>
                </c:pt>
                <c:pt idx="13">
                  <c:v>54730.2947006826</c:v>
                </c:pt>
                <c:pt idx="14">
                  <c:v>7840</c:v>
                </c:pt>
                <c:pt idx="15">
                  <c:v>0</c:v>
                </c:pt>
                <c:pt idx="16">
                  <c:v>4549.6637760875337</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8828763666278525"/>
          <c:y val="2.2892415534778755E-2"/>
          <c:w val="0.25186606742219114"/>
          <c:h val="0.97710771298237242"/>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494319243110103E-2"/>
          <c:y val="3.1718047428443329E-2"/>
          <c:w val="0.57412532385209769"/>
          <c:h val="0.9524863599772021"/>
        </c:manualLayout>
      </c:layout>
      <c:pieChart>
        <c:varyColors val="1"/>
        <c:ser>
          <c:idx val="0"/>
          <c:order val="0"/>
          <c:cat>
            <c:strRef>
              <c:f>'7_情報通信'!$E$74:$E$90</c:f>
              <c:strCache>
                <c:ptCount val="17"/>
                <c:pt idx="0">
                  <c:v>スコープ１</c:v>
                </c:pt>
                <c:pt idx="1">
                  <c:v>スコープ２</c:v>
                </c:pt>
                <c:pt idx="2">
                  <c:v>カテゴリ１</c:v>
                </c:pt>
                <c:pt idx="3">
                  <c:v>カテゴリ２</c:v>
                </c:pt>
                <c:pt idx="4">
                  <c:v>カテゴリ３</c:v>
                </c:pt>
                <c:pt idx="5">
                  <c:v>カテゴリ４</c:v>
                </c:pt>
                <c:pt idx="6">
                  <c:v>カテゴリ５</c:v>
                </c:pt>
                <c:pt idx="7">
                  <c:v>カテゴリ６</c:v>
                </c:pt>
                <c:pt idx="8">
                  <c:v>カテゴリ７</c:v>
                </c:pt>
                <c:pt idx="9">
                  <c:v>カテゴリ８</c:v>
                </c:pt>
                <c:pt idx="10">
                  <c:v>カテゴリ９</c:v>
                </c:pt>
                <c:pt idx="11">
                  <c:v>カテゴリ１０</c:v>
                </c:pt>
                <c:pt idx="12">
                  <c:v>カテゴリ１１</c:v>
                </c:pt>
                <c:pt idx="13">
                  <c:v>カテゴリ１２</c:v>
                </c:pt>
                <c:pt idx="14">
                  <c:v>カテゴリ１３</c:v>
                </c:pt>
                <c:pt idx="15">
                  <c:v>カテゴリ１４</c:v>
                </c:pt>
                <c:pt idx="16">
                  <c:v>カテゴリ１５</c:v>
                </c:pt>
              </c:strCache>
            </c:strRef>
          </c:cat>
          <c:val>
            <c:numRef>
              <c:f>'7_情報通信'!$G$74:$G$90</c:f>
              <c:numCache>
                <c:formatCode>#,##0_);[Red]\(#,##0\)</c:formatCode>
                <c:ptCount val="17"/>
                <c:pt idx="0">
                  <c:v>2000</c:v>
                </c:pt>
                <c:pt idx="1">
                  <c:v>50000</c:v>
                </c:pt>
                <c:pt idx="2">
                  <c:v>37683</c:v>
                </c:pt>
                <c:pt idx="3">
                  <c:v>11399.999999999998</c:v>
                </c:pt>
                <c:pt idx="4">
                  <c:v>7905</c:v>
                </c:pt>
                <c:pt idx="5">
                  <c:v>81.104611249999991</c:v>
                </c:pt>
                <c:pt idx="6">
                  <c:v>265.47000000000003</c:v>
                </c:pt>
                <c:pt idx="7">
                  <c:v>9931</c:v>
                </c:pt>
                <c:pt idx="8">
                  <c:v>7908.4383301707776</c:v>
                </c:pt>
                <c:pt idx="9">
                  <c:v>12.875</c:v>
                </c:pt>
                <c:pt idx="10">
                  <c:v>0</c:v>
                </c:pt>
                <c:pt idx="11">
                  <c:v>0</c:v>
                </c:pt>
                <c:pt idx="12">
                  <c:v>66119.999999999985</c:v>
                </c:pt>
                <c:pt idx="13">
                  <c:v>436.80624999999998</c:v>
                </c:pt>
                <c:pt idx="14">
                  <c:v>0</c:v>
                </c:pt>
                <c:pt idx="15">
                  <c:v>0</c:v>
                </c:pt>
                <c:pt idx="16">
                  <c:v>4498.4207013243349</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8828763666278525"/>
          <c:y val="2.2892415534778755E-2"/>
          <c:w val="0.25186606742219114"/>
          <c:h val="0.97710771298237242"/>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494319243110103E-2"/>
          <c:y val="3.1718047428443329E-2"/>
          <c:w val="0.57412532385209769"/>
          <c:h val="0.9524863599772021"/>
        </c:manualLayout>
      </c:layout>
      <c:pieChart>
        <c:varyColors val="1"/>
        <c:ser>
          <c:idx val="0"/>
          <c:order val="0"/>
          <c:cat>
            <c:strRef>
              <c:f>'8_小売'!$E$114:$E$130</c:f>
              <c:strCache>
                <c:ptCount val="17"/>
                <c:pt idx="0">
                  <c:v>スコープ１</c:v>
                </c:pt>
                <c:pt idx="1">
                  <c:v>スコープ２</c:v>
                </c:pt>
                <c:pt idx="2">
                  <c:v>カテゴリ１</c:v>
                </c:pt>
                <c:pt idx="3">
                  <c:v>カテゴリ２</c:v>
                </c:pt>
                <c:pt idx="4">
                  <c:v>カテゴリ３</c:v>
                </c:pt>
                <c:pt idx="5">
                  <c:v>カテゴリ４</c:v>
                </c:pt>
                <c:pt idx="6">
                  <c:v>カテゴリ５</c:v>
                </c:pt>
                <c:pt idx="7">
                  <c:v>カテゴリ６</c:v>
                </c:pt>
                <c:pt idx="8">
                  <c:v>カテゴリ７</c:v>
                </c:pt>
                <c:pt idx="9">
                  <c:v>カテゴリ８</c:v>
                </c:pt>
                <c:pt idx="10">
                  <c:v>カテゴリ９</c:v>
                </c:pt>
                <c:pt idx="11">
                  <c:v>カテゴリ１０</c:v>
                </c:pt>
                <c:pt idx="12">
                  <c:v>カテゴリ１１</c:v>
                </c:pt>
                <c:pt idx="13">
                  <c:v>カテゴリ１２</c:v>
                </c:pt>
                <c:pt idx="14">
                  <c:v>カテゴリ１３</c:v>
                </c:pt>
                <c:pt idx="15">
                  <c:v>カテゴリ１４</c:v>
                </c:pt>
                <c:pt idx="16">
                  <c:v>カテゴリ１５</c:v>
                </c:pt>
              </c:strCache>
            </c:strRef>
          </c:cat>
          <c:val>
            <c:numRef>
              <c:f>'8_小売'!$G$114:$G$130</c:f>
              <c:numCache>
                <c:formatCode>#,##0_);[Red]\(#,##0\)</c:formatCode>
                <c:ptCount val="17"/>
                <c:pt idx="0">
                  <c:v>5000</c:v>
                </c:pt>
                <c:pt idx="1">
                  <c:v>12000</c:v>
                </c:pt>
                <c:pt idx="2">
                  <c:v>130131.2</c:v>
                </c:pt>
                <c:pt idx="3">
                  <c:v>18774</c:v>
                </c:pt>
                <c:pt idx="4">
                  <c:v>3751.2</c:v>
                </c:pt>
                <c:pt idx="5">
                  <c:v>10912.503204399998</c:v>
                </c:pt>
                <c:pt idx="6">
                  <c:v>159.48799999999997</c:v>
                </c:pt>
                <c:pt idx="7">
                  <c:v>12608</c:v>
                </c:pt>
                <c:pt idx="8">
                  <c:v>17630.794433902593</c:v>
                </c:pt>
                <c:pt idx="9">
                  <c:v>12.875</c:v>
                </c:pt>
                <c:pt idx="10">
                  <c:v>63233.868750000009</c:v>
                </c:pt>
                <c:pt idx="11">
                  <c:v>0</c:v>
                </c:pt>
                <c:pt idx="12">
                  <c:v>2895.0000000000005</c:v>
                </c:pt>
                <c:pt idx="13">
                  <c:v>1798.348</c:v>
                </c:pt>
                <c:pt idx="14">
                  <c:v>7840</c:v>
                </c:pt>
                <c:pt idx="15">
                  <c:v>10</c:v>
                </c:pt>
                <c:pt idx="16">
                  <c:v>4736.1796399423383</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8828763666278525"/>
          <c:y val="2.2892415534778755E-2"/>
          <c:w val="0.25186606742219114"/>
          <c:h val="0.9771077129823724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494319243110103E-2"/>
          <c:y val="3.1718047428443329E-2"/>
          <c:w val="0.57412532385209769"/>
          <c:h val="0.9524863599772021"/>
        </c:manualLayout>
      </c:layout>
      <c:pieChart>
        <c:varyColors val="1"/>
        <c:ser>
          <c:idx val="0"/>
          <c:order val="0"/>
          <c:cat>
            <c:strRef>
              <c:f>'9_銀行'!$E$91:$E$107</c:f>
              <c:strCache>
                <c:ptCount val="17"/>
                <c:pt idx="0">
                  <c:v>スコープ１</c:v>
                </c:pt>
                <c:pt idx="1">
                  <c:v>スコープ２</c:v>
                </c:pt>
                <c:pt idx="2">
                  <c:v>カテゴリ１</c:v>
                </c:pt>
                <c:pt idx="3">
                  <c:v>カテゴリ２</c:v>
                </c:pt>
                <c:pt idx="4">
                  <c:v>カテゴリ３</c:v>
                </c:pt>
                <c:pt idx="5">
                  <c:v>カテゴリ４</c:v>
                </c:pt>
                <c:pt idx="6">
                  <c:v>カテゴリ５</c:v>
                </c:pt>
                <c:pt idx="7">
                  <c:v>カテゴリ６</c:v>
                </c:pt>
                <c:pt idx="8">
                  <c:v>カテゴリ７</c:v>
                </c:pt>
                <c:pt idx="9">
                  <c:v>カテゴリ８</c:v>
                </c:pt>
                <c:pt idx="10">
                  <c:v>カテゴリ９</c:v>
                </c:pt>
                <c:pt idx="11">
                  <c:v>カテゴリ１０</c:v>
                </c:pt>
                <c:pt idx="12">
                  <c:v>カテゴリ１１</c:v>
                </c:pt>
                <c:pt idx="13">
                  <c:v>カテゴリ１２</c:v>
                </c:pt>
                <c:pt idx="14">
                  <c:v>カテゴリ１３</c:v>
                </c:pt>
                <c:pt idx="15">
                  <c:v>カテゴリ１４</c:v>
                </c:pt>
                <c:pt idx="16">
                  <c:v>カテゴリ１５</c:v>
                </c:pt>
              </c:strCache>
            </c:strRef>
          </c:cat>
          <c:val>
            <c:numRef>
              <c:f>'9_銀行'!$G$91:$G$107</c:f>
              <c:numCache>
                <c:formatCode>#,##0_);[Red]\(#,##0\)</c:formatCode>
                <c:ptCount val="17"/>
                <c:pt idx="0">
                  <c:v>10000</c:v>
                </c:pt>
                <c:pt idx="1">
                  <c:v>60000</c:v>
                </c:pt>
                <c:pt idx="2">
                  <c:v>63675.5</c:v>
                </c:pt>
                <c:pt idx="3">
                  <c:v>11480</c:v>
                </c:pt>
                <c:pt idx="4">
                  <c:v>11930.5</c:v>
                </c:pt>
                <c:pt idx="5">
                  <c:v>5225.3899999999994</c:v>
                </c:pt>
                <c:pt idx="6">
                  <c:v>8998.7800000000007</c:v>
                </c:pt>
                <c:pt idx="7">
                  <c:v>9931</c:v>
                </c:pt>
                <c:pt idx="8">
                  <c:v>53739.383301707778</c:v>
                </c:pt>
                <c:pt idx="9">
                  <c:v>0</c:v>
                </c:pt>
                <c:pt idx="10">
                  <c:v>0</c:v>
                </c:pt>
                <c:pt idx="11">
                  <c:v>0</c:v>
                </c:pt>
                <c:pt idx="12">
                  <c:v>0</c:v>
                </c:pt>
                <c:pt idx="13">
                  <c:v>1655.3899999999999</c:v>
                </c:pt>
                <c:pt idx="14">
                  <c:v>0</c:v>
                </c:pt>
                <c:pt idx="15">
                  <c:v>0</c:v>
                </c:pt>
                <c:pt idx="16">
                  <c:v>99097.375238341134</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8828763666278525"/>
          <c:y val="2.2892415534778755E-2"/>
          <c:w val="0.25186606742219114"/>
          <c:h val="0.9771077129823724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295275</xdr:colOff>
      <xdr:row>47</xdr:row>
      <xdr:rowOff>123825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67475" cy="818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885265</xdr:colOff>
      <xdr:row>0</xdr:row>
      <xdr:rowOff>34417</xdr:rowOff>
    </xdr:from>
    <xdr:to>
      <xdr:col>13</xdr:col>
      <xdr:colOff>11204</xdr:colOff>
      <xdr:row>4</xdr:row>
      <xdr:rowOff>156882</xdr:rowOff>
    </xdr:to>
    <xdr:sp macro="" textlink="">
      <xdr:nvSpPr>
        <xdr:cNvPr id="2" name="角丸四角形吹き出し 1"/>
        <xdr:cNvSpPr/>
      </xdr:nvSpPr>
      <xdr:spPr>
        <a:xfrm>
          <a:off x="8229040" y="34417"/>
          <a:ext cx="697564" cy="808265"/>
        </a:xfrm>
        <a:prstGeom prst="wedgeRoundRectCallout">
          <a:avLst>
            <a:gd name="adj1" fmla="val -58817"/>
            <a:gd name="adj2" fmla="val 562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今回の算定で用いていない排出原単位のなかにも利用可能なものがございます。</a:t>
          </a:r>
          <a:endParaRPr kumimoji="1" lang="en-US" altLang="ja-JP" sz="1050"/>
        </a:p>
        <a:p>
          <a:pPr algn="l"/>
          <a:r>
            <a:rPr kumimoji="1" lang="ja-JP" altLang="en-US" sz="1050"/>
            <a:t>環境省</a:t>
          </a:r>
          <a:r>
            <a:rPr kumimoji="1" lang="en-US" altLang="ja-JP" sz="1050"/>
            <a:t>DB [a]</a:t>
          </a:r>
          <a:r>
            <a:rPr kumimoji="1" lang="ja-JP" altLang="en-US" sz="1050"/>
            <a:t>国内の排出原単位データベース、</a:t>
          </a:r>
          <a:r>
            <a:rPr kumimoji="1" lang="en-US" altLang="ja-JP" sz="1050"/>
            <a:t>[b]</a:t>
          </a:r>
          <a:r>
            <a:rPr kumimoji="1" lang="ja-JP" altLang="en-US" sz="1050"/>
            <a:t>海外の排出原単位データベースを参考に、データベースを利用される方ご自身が、そのデータベースの備えるデータの適合性や、品質等をご確認した上で、ご利用下さい。</a:t>
          </a:r>
          <a:endParaRPr kumimoji="1" lang="en-US" altLang="ja-JP" sz="1050"/>
        </a:p>
      </xdr:txBody>
    </xdr:sp>
    <xdr:clientData/>
  </xdr:twoCellAnchor>
  <xdr:twoCellAnchor>
    <xdr:from>
      <xdr:col>8</xdr:col>
      <xdr:colOff>930088</xdr:colOff>
      <xdr:row>89</xdr:row>
      <xdr:rowOff>22412</xdr:rowOff>
    </xdr:from>
    <xdr:to>
      <xdr:col>11</xdr:col>
      <xdr:colOff>1423147</xdr:colOff>
      <xdr:row>107</xdr:row>
      <xdr:rowOff>179293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176892</xdr:colOff>
      <xdr:row>57</xdr:row>
      <xdr:rowOff>112058</xdr:rowOff>
    </xdr:from>
    <xdr:to>
      <xdr:col>12</xdr:col>
      <xdr:colOff>4952999</xdr:colOff>
      <xdr:row>60</xdr:row>
      <xdr:rowOff>103908</xdr:rowOff>
    </xdr:to>
    <xdr:sp macro="" textlink="">
      <xdr:nvSpPr>
        <xdr:cNvPr id="4" name="角丸四角形吹き出し 3"/>
        <xdr:cNvSpPr/>
      </xdr:nvSpPr>
      <xdr:spPr>
        <a:xfrm>
          <a:off x="8406492" y="9884708"/>
          <a:ext cx="508907" cy="506200"/>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算定事業者が株式保有する企業のスコープ</a:t>
          </a:r>
          <a:r>
            <a:rPr kumimoji="1" lang="en-US" altLang="ja-JP" sz="1100"/>
            <a:t>1,2</a:t>
          </a:r>
          <a:r>
            <a:rPr kumimoji="1" lang="ja-JP" altLang="en-US" sz="1100"/>
            <a:t>排出量は、</a:t>
          </a:r>
          <a:endParaRPr kumimoji="1" lang="en-US" altLang="ja-JP" sz="1100"/>
        </a:p>
        <a:p>
          <a:pPr algn="l"/>
          <a:r>
            <a:rPr kumimoji="1" lang="ja-JP" altLang="en-US" sz="1100"/>
            <a:t>一般に当該企業の</a:t>
          </a:r>
          <a:r>
            <a:rPr kumimoji="1" lang="en-US" altLang="ja-JP" sz="1100"/>
            <a:t>CSR</a:t>
          </a:r>
          <a:r>
            <a:rPr kumimoji="1" lang="ja-JP" altLang="en-US" sz="1100"/>
            <a:t>報告書、環境報告書等に掲載されてます。</a:t>
          </a:r>
          <a:endParaRPr kumimoji="1" lang="en-US" altLang="ja-JP" sz="1100"/>
        </a:p>
      </xdr:txBody>
    </xdr:sp>
    <xdr:clientData/>
  </xdr:twoCellAnchor>
  <xdr:twoCellAnchor>
    <xdr:from>
      <xdr:col>13</xdr:col>
      <xdr:colOff>95249</xdr:colOff>
      <xdr:row>77</xdr:row>
      <xdr:rowOff>220997</xdr:rowOff>
    </xdr:from>
    <xdr:to>
      <xdr:col>19</xdr:col>
      <xdr:colOff>595311</xdr:colOff>
      <xdr:row>86</xdr:row>
      <xdr:rowOff>166687</xdr:rowOff>
    </xdr:to>
    <xdr:sp macro="" textlink="">
      <xdr:nvSpPr>
        <xdr:cNvPr id="5" name="角丸四角形吹き出し 4"/>
        <xdr:cNvSpPr/>
      </xdr:nvSpPr>
      <xdr:spPr>
        <a:xfrm>
          <a:off x="9010649" y="13375022"/>
          <a:ext cx="4614862" cy="1536365"/>
        </a:xfrm>
        <a:prstGeom prst="wedgeRoundRectCallout">
          <a:avLst>
            <a:gd name="adj1" fmla="val -58546"/>
            <a:gd name="adj2" fmla="val -962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smtClean="0">
              <a:solidFill>
                <a:schemeClr val="lt1"/>
              </a:solidFill>
              <a:latin typeface="+mn-lt"/>
              <a:ea typeface="+mn-ea"/>
              <a:cs typeface="+mn-cs"/>
            </a:rPr>
            <a:t>「その他」について詳しくは、</a:t>
          </a:r>
          <a:r>
            <a:rPr lang="en-US" altLang="ja-JP" sz="1100" b="0" i="0" u="none" strike="noStrike" baseline="0" smtClean="0">
              <a:solidFill>
                <a:schemeClr val="lt1"/>
              </a:solidFill>
              <a:latin typeface="+mn-lt"/>
              <a:ea typeface="+mn-ea"/>
              <a:cs typeface="+mn-cs"/>
            </a:rPr>
            <a:t>Q&amp;A</a:t>
          </a:r>
          <a:r>
            <a:rPr lang="ja-JP" altLang="en-US" sz="1100" b="0" i="0" u="none" strike="noStrike" baseline="0" smtClean="0">
              <a:solidFill>
                <a:schemeClr val="lt1"/>
              </a:solidFill>
              <a:latin typeface="+mn-lt"/>
              <a:ea typeface="+mn-ea"/>
              <a:cs typeface="+mn-cs"/>
            </a:rPr>
            <a:t>の</a:t>
          </a:r>
          <a:r>
            <a:rPr lang="en-US" altLang="ja-JP" sz="1100" b="0" i="0" u="none" strike="noStrike" baseline="0" smtClean="0">
              <a:solidFill>
                <a:schemeClr val="lt1"/>
              </a:solidFill>
              <a:latin typeface="+mn-lt"/>
              <a:ea typeface="+mn-ea"/>
              <a:cs typeface="+mn-cs"/>
            </a:rPr>
            <a:t>P44</a:t>
          </a:r>
          <a:r>
            <a:rPr lang="ja-JP" altLang="en-US" sz="1100" b="0" i="0" u="none" strike="noStrike" baseline="0" smtClean="0">
              <a:solidFill>
                <a:schemeClr val="lt1"/>
              </a:solidFill>
              <a:latin typeface="+mn-lt"/>
              <a:ea typeface="+mn-ea"/>
              <a:cs typeface="+mn-cs"/>
            </a:rPr>
            <a:t>や参考書</a:t>
          </a:r>
          <a:r>
            <a:rPr lang="en-US" altLang="ja-JP" sz="1100" b="0" i="0" u="none" strike="noStrike" baseline="0" smtClean="0">
              <a:solidFill>
                <a:schemeClr val="lt1"/>
              </a:solidFill>
              <a:latin typeface="+mn-lt"/>
              <a:ea typeface="+mn-ea"/>
              <a:cs typeface="+mn-cs"/>
            </a:rPr>
            <a:t>P40-41</a:t>
          </a:r>
          <a:r>
            <a:rPr lang="ja-JP" altLang="en-US" sz="1100" b="0" i="0" u="none" strike="noStrike" baseline="0" smtClean="0">
              <a:solidFill>
                <a:schemeClr val="lt1"/>
              </a:solidFill>
              <a:latin typeface="+mn-lt"/>
              <a:ea typeface="+mn-ea"/>
              <a:cs typeface="+mn-cs"/>
            </a:rPr>
            <a:t>をご欄ください。</a:t>
          </a:r>
          <a:endParaRPr lang="en-US" altLang="ja-JP" sz="1100" b="0" i="0" u="none" strike="noStrike" baseline="0" smtClean="0">
            <a:solidFill>
              <a:schemeClr val="lt1"/>
            </a:solidFill>
            <a:latin typeface="+mn-lt"/>
            <a:ea typeface="+mn-ea"/>
            <a:cs typeface="+mn-cs"/>
          </a:endParaRPr>
        </a:p>
        <a:p>
          <a:pPr algn="l"/>
          <a:endParaRPr kumimoji="1" lang="en-US" altLang="ja-JP" sz="1100" b="0" i="0" u="none" strike="noStrike" baseline="0" smtClean="0">
            <a:solidFill>
              <a:schemeClr val="lt1"/>
            </a:solidFill>
            <a:latin typeface="+mn-lt"/>
            <a:ea typeface="+mn-ea"/>
            <a:cs typeface="+mn-cs"/>
          </a:endParaRPr>
        </a:p>
        <a:p>
          <a:pPr algn="l"/>
          <a:r>
            <a:rPr kumimoji="1" lang="ja-JP" altLang="en-US" sz="1100" b="0" i="0" u="none" strike="noStrike" baseline="0" smtClean="0">
              <a:solidFill>
                <a:schemeClr val="lt1"/>
              </a:solidFill>
              <a:latin typeface="+mn-lt"/>
              <a:ea typeface="+mn-ea"/>
              <a:cs typeface="+mn-cs"/>
            </a:rPr>
            <a:t>今回の算定においては、</a:t>
          </a:r>
          <a:r>
            <a:rPr kumimoji="1" lang="en-US" altLang="ja-JP" sz="1100" b="0" i="0" u="none" strike="noStrike" baseline="0" smtClean="0">
              <a:solidFill>
                <a:schemeClr val="lt1"/>
              </a:solidFill>
              <a:latin typeface="+mn-lt"/>
              <a:ea typeface="+mn-ea"/>
              <a:cs typeface="+mn-cs"/>
            </a:rPr>
            <a:t>3</a:t>
          </a:r>
          <a:r>
            <a:rPr kumimoji="1" lang="ja-JP" altLang="en-US" sz="1100" b="0" i="0" u="none" strike="noStrike" baseline="0" smtClean="0">
              <a:solidFill>
                <a:schemeClr val="lt1"/>
              </a:solidFill>
              <a:latin typeface="+mn-lt"/>
              <a:ea typeface="+mn-ea"/>
              <a:cs typeface="+mn-cs"/>
            </a:rPr>
            <a:t>か月のキャンペーン期間分を算定した。同結果を</a:t>
          </a:r>
          <a:r>
            <a:rPr kumimoji="1" lang="en-US" altLang="ja-JP" sz="1100" b="0" i="0" u="none" strike="noStrike" baseline="0" smtClean="0">
              <a:solidFill>
                <a:schemeClr val="lt1"/>
              </a:solidFill>
              <a:latin typeface="+mn-lt"/>
              <a:ea typeface="+mn-ea"/>
              <a:cs typeface="+mn-cs"/>
            </a:rPr>
            <a:t>4</a:t>
          </a:r>
          <a:r>
            <a:rPr kumimoji="1" lang="ja-JP" altLang="en-US" sz="1100" b="0" i="0" u="none" strike="noStrike" baseline="0" smtClean="0">
              <a:solidFill>
                <a:schemeClr val="lt1"/>
              </a:solidFill>
              <a:latin typeface="+mn-lt"/>
              <a:ea typeface="+mn-ea"/>
              <a:cs typeface="+mn-cs"/>
            </a:rPr>
            <a:t>倍することで、</a:t>
          </a:r>
          <a:r>
            <a:rPr kumimoji="1" lang="en-US" altLang="ja-JP" sz="1100" b="0" i="0" u="none" strike="noStrike" baseline="0" smtClean="0">
              <a:solidFill>
                <a:schemeClr val="lt1"/>
              </a:solidFill>
              <a:latin typeface="+mn-lt"/>
              <a:ea typeface="+mn-ea"/>
              <a:cs typeface="+mn-cs"/>
            </a:rPr>
            <a:t>1</a:t>
          </a:r>
          <a:r>
            <a:rPr kumimoji="1" lang="ja-JP" altLang="en-US" sz="1100" b="0" i="0" u="none" strike="noStrike" baseline="0" smtClean="0">
              <a:solidFill>
                <a:schemeClr val="lt1"/>
              </a:solidFill>
              <a:latin typeface="+mn-lt"/>
              <a:ea typeface="+mn-ea"/>
              <a:cs typeface="+mn-cs"/>
            </a:rPr>
            <a:t>年（</a:t>
          </a:r>
          <a:r>
            <a:rPr kumimoji="1" lang="en-US" altLang="ja-JP" sz="1100" b="0" i="0" u="none" strike="noStrike" baseline="0" smtClean="0">
              <a:solidFill>
                <a:schemeClr val="lt1"/>
              </a:solidFill>
              <a:latin typeface="+mn-lt"/>
              <a:ea typeface="+mn-ea"/>
              <a:cs typeface="+mn-cs"/>
            </a:rPr>
            <a:t>12</a:t>
          </a:r>
          <a:r>
            <a:rPr kumimoji="1" lang="ja-JP" altLang="en-US" sz="1100" b="0" i="0" u="none" strike="noStrike" baseline="0" smtClean="0">
              <a:solidFill>
                <a:schemeClr val="lt1"/>
              </a:solidFill>
              <a:latin typeface="+mn-lt"/>
              <a:ea typeface="+mn-ea"/>
              <a:cs typeface="+mn-cs"/>
            </a:rPr>
            <a:t>か月）分の排出量を推計することは可能であるが、一般に夏に比べ冬のほうが電力消費量は多いとされており、前述の推計方法は必ずしも適切ではない。よって、実測値を把握している期間のみを対象に算定した。</a:t>
          </a:r>
          <a:endParaRPr kumimoji="1" lang="en-US" altLang="ja-JP" sz="1100"/>
        </a:p>
      </xdr:txBody>
    </xdr:sp>
    <xdr:clientData/>
  </xdr:twoCellAnchor>
  <xdr:twoCellAnchor>
    <xdr:from>
      <xdr:col>13</xdr:col>
      <xdr:colOff>280948</xdr:colOff>
      <xdr:row>32</xdr:row>
      <xdr:rowOff>94012</xdr:rowOff>
    </xdr:from>
    <xdr:to>
      <xdr:col>19</xdr:col>
      <xdr:colOff>616324</xdr:colOff>
      <xdr:row>36</xdr:row>
      <xdr:rowOff>175656</xdr:rowOff>
    </xdr:to>
    <xdr:sp macro="" textlink="">
      <xdr:nvSpPr>
        <xdr:cNvPr id="6" name="角丸四角形吹き出し 5"/>
        <xdr:cNvSpPr/>
      </xdr:nvSpPr>
      <xdr:spPr>
        <a:xfrm>
          <a:off x="9196348" y="5580412"/>
          <a:ext cx="4450176" cy="767444"/>
        </a:xfrm>
        <a:prstGeom prst="wedgeRoundRectCallout">
          <a:avLst>
            <a:gd name="adj1" fmla="val -60496"/>
            <a:gd name="adj2" fmla="val 237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従業員について、嘱託社員、パート、アルバイト等は、事業者によって算定に含めるか否かの判断は異なります。本事例では、対象に含めています。</a:t>
          </a:r>
          <a:endParaRPr kumimoji="1" lang="en-US" altLang="ja-JP" sz="1050"/>
        </a:p>
      </xdr:txBody>
    </xdr:sp>
    <xdr:clientData/>
  </xdr:twoCellAnchor>
  <xdr:twoCellAnchor>
    <xdr:from>
      <xdr:col>5</xdr:col>
      <xdr:colOff>54429</xdr:colOff>
      <xdr:row>29</xdr:row>
      <xdr:rowOff>326571</xdr:rowOff>
    </xdr:from>
    <xdr:to>
      <xdr:col>7</xdr:col>
      <xdr:colOff>884464</xdr:colOff>
      <xdr:row>29</xdr:row>
      <xdr:rowOff>924649</xdr:rowOff>
    </xdr:to>
    <xdr:sp macro="" textlink="">
      <xdr:nvSpPr>
        <xdr:cNvPr id="7" name="角丸四角形吹き出し 6"/>
        <xdr:cNvSpPr/>
      </xdr:nvSpPr>
      <xdr:spPr>
        <a:xfrm>
          <a:off x="3483429" y="5146221"/>
          <a:ext cx="2001610" cy="0"/>
        </a:xfrm>
        <a:prstGeom prst="wedgeRoundRectCallout">
          <a:avLst>
            <a:gd name="adj1" fmla="val 8431"/>
            <a:gd name="adj2" fmla="val -6757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t>Σ</a:t>
          </a:r>
          <a:r>
            <a:rPr kumimoji="1" lang="ja-JP" altLang="en-US" sz="1050"/>
            <a:t>（調達金額</a:t>
          </a:r>
          <a:r>
            <a:rPr kumimoji="1" lang="en-US" altLang="ja-JP" sz="1050"/>
            <a:t>×</a:t>
          </a:r>
          <a:r>
            <a:rPr kumimoji="1" lang="ja-JP" altLang="en-US" sz="1050"/>
            <a:t>金額あたり重量）</a:t>
          </a:r>
          <a:r>
            <a:rPr kumimoji="1" lang="en-US" altLang="ja-JP" sz="1050"/>
            <a:t>×</a:t>
          </a:r>
          <a:r>
            <a:rPr kumimoji="1" lang="ja-JP" altLang="en-US" sz="1050"/>
            <a:t>距離</a:t>
          </a:r>
          <a:endParaRPr kumimoji="1" lang="en-US" altLang="ja-JP" sz="1050"/>
        </a:p>
        <a:p>
          <a:pPr algn="l"/>
          <a:r>
            <a:rPr kumimoji="1" lang="ja-JP" altLang="en-US" sz="1050"/>
            <a:t>（</a:t>
          </a:r>
          <a:r>
            <a:rPr kumimoji="1" lang="en-US" altLang="ja-JP" sz="1050"/>
            <a:t>300×3.0</a:t>
          </a:r>
          <a:r>
            <a:rPr kumimoji="1" lang="ja-JP" altLang="en-US" sz="1050"/>
            <a:t>＋</a:t>
          </a:r>
          <a:r>
            <a:rPr kumimoji="1" lang="en-US" altLang="ja-JP" sz="1050"/>
            <a:t>2000×4.5</a:t>
          </a:r>
          <a:r>
            <a:rPr kumimoji="1" lang="ja-JP" altLang="en-US" sz="1050"/>
            <a:t>＋</a:t>
          </a:r>
          <a:r>
            <a:rPr kumimoji="1" lang="en-US" altLang="ja-JP" sz="1050"/>
            <a:t>1000×5.2</a:t>
          </a:r>
          <a:r>
            <a:rPr kumimoji="1" lang="ja-JP" altLang="en-US" sz="1050"/>
            <a:t>＋</a:t>
          </a:r>
          <a:r>
            <a:rPr kumimoji="1" lang="en-US" altLang="ja-JP" sz="1050"/>
            <a:t>8000×12</a:t>
          </a:r>
          <a:r>
            <a:rPr kumimoji="1" lang="ja-JP" altLang="en-US" sz="1050"/>
            <a:t>）</a:t>
          </a:r>
          <a:r>
            <a:rPr kumimoji="1" lang="en-US" altLang="ja-JP" sz="1050"/>
            <a:t>×100</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885265</xdr:colOff>
      <xdr:row>0</xdr:row>
      <xdr:rowOff>34417</xdr:rowOff>
    </xdr:from>
    <xdr:to>
      <xdr:col>13</xdr:col>
      <xdr:colOff>11204</xdr:colOff>
      <xdr:row>4</xdr:row>
      <xdr:rowOff>156882</xdr:rowOff>
    </xdr:to>
    <xdr:sp macro="" textlink="">
      <xdr:nvSpPr>
        <xdr:cNvPr id="2" name="角丸四角形吹き出し 1"/>
        <xdr:cNvSpPr/>
      </xdr:nvSpPr>
      <xdr:spPr>
        <a:xfrm>
          <a:off x="8229040" y="34417"/>
          <a:ext cx="697564" cy="808265"/>
        </a:xfrm>
        <a:prstGeom prst="wedgeRoundRectCallout">
          <a:avLst>
            <a:gd name="adj1" fmla="val -58817"/>
            <a:gd name="adj2" fmla="val 562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今回の算定で用いていない排出原単位のなかにも利用可能なものがございます。</a:t>
          </a:r>
          <a:endParaRPr kumimoji="1" lang="en-US" altLang="ja-JP" sz="1050"/>
        </a:p>
        <a:p>
          <a:pPr algn="l"/>
          <a:r>
            <a:rPr kumimoji="1" lang="ja-JP" altLang="en-US" sz="1050"/>
            <a:t>環境省</a:t>
          </a:r>
          <a:r>
            <a:rPr kumimoji="1" lang="en-US" altLang="ja-JP" sz="1050"/>
            <a:t>DB [a]</a:t>
          </a:r>
          <a:r>
            <a:rPr kumimoji="1" lang="ja-JP" altLang="en-US" sz="1050"/>
            <a:t>国内の排出原単位データベース、</a:t>
          </a:r>
          <a:r>
            <a:rPr kumimoji="1" lang="en-US" altLang="ja-JP" sz="1050"/>
            <a:t>[b]</a:t>
          </a:r>
          <a:r>
            <a:rPr kumimoji="1" lang="ja-JP" altLang="en-US" sz="1050"/>
            <a:t>海外の排出原単位データベースを参考に、データベースを利用される方ご自身が、そのデータベースの備えるデータの適合性や、品質等をご確認した上で、ご利用下さい。</a:t>
          </a:r>
          <a:endParaRPr kumimoji="1" lang="en-US" altLang="ja-JP" sz="1050"/>
        </a:p>
      </xdr:txBody>
    </xdr:sp>
    <xdr:clientData/>
  </xdr:twoCellAnchor>
  <xdr:twoCellAnchor>
    <xdr:from>
      <xdr:col>8</xdr:col>
      <xdr:colOff>930088</xdr:colOff>
      <xdr:row>108</xdr:row>
      <xdr:rowOff>22412</xdr:rowOff>
    </xdr:from>
    <xdr:to>
      <xdr:col>11</xdr:col>
      <xdr:colOff>1423147</xdr:colOff>
      <xdr:row>126</xdr:row>
      <xdr:rowOff>179293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176892</xdr:colOff>
      <xdr:row>91</xdr:row>
      <xdr:rowOff>112058</xdr:rowOff>
    </xdr:from>
    <xdr:to>
      <xdr:col>12</xdr:col>
      <xdr:colOff>4952999</xdr:colOff>
      <xdr:row>94</xdr:row>
      <xdr:rowOff>103908</xdr:rowOff>
    </xdr:to>
    <xdr:sp macro="" textlink="">
      <xdr:nvSpPr>
        <xdr:cNvPr id="4" name="角丸四角形吹き出し 3"/>
        <xdr:cNvSpPr/>
      </xdr:nvSpPr>
      <xdr:spPr>
        <a:xfrm>
          <a:off x="8406492" y="15714008"/>
          <a:ext cx="508907" cy="506200"/>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算定事業者が株式保有する企業のスコープ</a:t>
          </a:r>
          <a:r>
            <a:rPr kumimoji="1" lang="en-US" altLang="ja-JP" sz="1100"/>
            <a:t>1,2</a:t>
          </a:r>
          <a:r>
            <a:rPr kumimoji="1" lang="ja-JP" altLang="en-US" sz="1100"/>
            <a:t>排出量は、</a:t>
          </a:r>
          <a:endParaRPr kumimoji="1" lang="en-US" altLang="ja-JP" sz="1100"/>
        </a:p>
        <a:p>
          <a:pPr algn="l"/>
          <a:r>
            <a:rPr kumimoji="1" lang="ja-JP" altLang="en-US" sz="1100"/>
            <a:t>一般に当該企業の</a:t>
          </a:r>
          <a:r>
            <a:rPr kumimoji="1" lang="en-US" altLang="ja-JP" sz="1100"/>
            <a:t>CSR</a:t>
          </a:r>
          <a:r>
            <a:rPr kumimoji="1" lang="ja-JP" altLang="en-US" sz="1100"/>
            <a:t>報告書、環境報告書等に掲載されてます。</a:t>
          </a:r>
          <a:endParaRPr kumimoji="1" lang="en-US" altLang="ja-JP" sz="1100"/>
        </a:p>
      </xdr:txBody>
    </xdr:sp>
    <xdr:clientData/>
  </xdr:twoCellAnchor>
  <xdr:twoCellAnchor>
    <xdr:from>
      <xdr:col>12</xdr:col>
      <xdr:colOff>136872</xdr:colOff>
      <xdr:row>100</xdr:row>
      <xdr:rowOff>48025</xdr:rowOff>
    </xdr:from>
    <xdr:to>
      <xdr:col>12</xdr:col>
      <xdr:colOff>4953000</xdr:colOff>
      <xdr:row>103</xdr:row>
      <xdr:rowOff>39875</xdr:rowOff>
    </xdr:to>
    <xdr:sp macro="" textlink="">
      <xdr:nvSpPr>
        <xdr:cNvPr id="5" name="角丸四角形吹き出し 4"/>
        <xdr:cNvSpPr/>
      </xdr:nvSpPr>
      <xdr:spPr>
        <a:xfrm>
          <a:off x="8366472" y="17193025"/>
          <a:ext cx="548928" cy="506200"/>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smtClean="0">
              <a:solidFill>
                <a:schemeClr val="lt1"/>
              </a:solidFill>
              <a:latin typeface="+mn-lt"/>
              <a:ea typeface="+mn-ea"/>
              <a:cs typeface="+mn-cs"/>
            </a:rPr>
            <a:t>「その他」について詳しくは、</a:t>
          </a:r>
          <a:r>
            <a:rPr lang="en-US" altLang="ja-JP" sz="1100" b="0" i="0" u="none" strike="noStrike" baseline="0" smtClean="0">
              <a:solidFill>
                <a:schemeClr val="lt1"/>
              </a:solidFill>
              <a:latin typeface="+mn-lt"/>
              <a:ea typeface="+mn-ea"/>
              <a:cs typeface="+mn-cs"/>
            </a:rPr>
            <a:t>Q&amp;A</a:t>
          </a:r>
          <a:r>
            <a:rPr lang="ja-JP" altLang="en-US" sz="1100" b="0" i="0" u="none" strike="noStrike" baseline="0" smtClean="0">
              <a:solidFill>
                <a:schemeClr val="lt1"/>
              </a:solidFill>
              <a:latin typeface="+mn-lt"/>
              <a:ea typeface="+mn-ea"/>
              <a:cs typeface="+mn-cs"/>
            </a:rPr>
            <a:t>の</a:t>
          </a:r>
          <a:r>
            <a:rPr lang="en-US" altLang="ja-JP" sz="1100" b="0" i="0" u="none" strike="noStrike" baseline="0" smtClean="0">
              <a:solidFill>
                <a:schemeClr val="lt1"/>
              </a:solidFill>
              <a:latin typeface="+mn-lt"/>
              <a:ea typeface="+mn-ea"/>
              <a:cs typeface="+mn-cs"/>
            </a:rPr>
            <a:t>P44</a:t>
          </a:r>
          <a:r>
            <a:rPr lang="ja-JP" altLang="en-US" sz="1100" b="0" i="0" u="none" strike="noStrike" baseline="0" smtClean="0">
              <a:solidFill>
                <a:schemeClr val="lt1"/>
              </a:solidFill>
              <a:latin typeface="+mn-lt"/>
              <a:ea typeface="+mn-ea"/>
              <a:cs typeface="+mn-cs"/>
            </a:rPr>
            <a:t>や参考書</a:t>
          </a:r>
          <a:r>
            <a:rPr lang="en-US" altLang="ja-JP" sz="1100" b="0" i="0" u="none" strike="noStrike" baseline="0" smtClean="0">
              <a:solidFill>
                <a:schemeClr val="lt1"/>
              </a:solidFill>
              <a:latin typeface="+mn-lt"/>
              <a:ea typeface="+mn-ea"/>
              <a:cs typeface="+mn-cs"/>
            </a:rPr>
            <a:t>P40-41</a:t>
          </a:r>
          <a:r>
            <a:rPr lang="ja-JP" altLang="en-US" sz="1100" b="0" i="0" u="none" strike="noStrike" baseline="0" smtClean="0">
              <a:solidFill>
                <a:schemeClr val="lt1"/>
              </a:solidFill>
              <a:latin typeface="+mn-lt"/>
              <a:ea typeface="+mn-ea"/>
              <a:cs typeface="+mn-cs"/>
            </a:rPr>
            <a:t>をご欄ください。</a:t>
          </a:r>
          <a:endParaRPr kumimoji="1" lang="en-US" altLang="ja-JP" sz="1100"/>
        </a:p>
      </xdr:txBody>
    </xdr:sp>
    <xdr:clientData/>
  </xdr:twoCellAnchor>
  <xdr:twoCellAnchor>
    <xdr:from>
      <xdr:col>0</xdr:col>
      <xdr:colOff>0</xdr:colOff>
      <xdr:row>60</xdr:row>
      <xdr:rowOff>173182</xdr:rowOff>
    </xdr:from>
    <xdr:to>
      <xdr:col>1</xdr:col>
      <xdr:colOff>2213525</xdr:colOff>
      <xdr:row>60</xdr:row>
      <xdr:rowOff>1374321</xdr:rowOff>
    </xdr:to>
    <xdr:sp macro="" textlink="">
      <xdr:nvSpPr>
        <xdr:cNvPr id="6" name="角丸四角形吹き出し 5"/>
        <xdr:cNvSpPr/>
      </xdr:nvSpPr>
      <xdr:spPr>
        <a:xfrm>
          <a:off x="0" y="10460182"/>
          <a:ext cx="1375325" cy="989"/>
        </a:xfrm>
        <a:prstGeom prst="wedgeRoundRectCallout">
          <a:avLst>
            <a:gd name="adj1" fmla="val 59148"/>
            <a:gd name="adj2" fmla="val -8271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①省エネ法報告値から</a:t>
          </a:r>
          <a:endParaRPr kumimoji="1" lang="en-US" altLang="ja-JP" sz="1050"/>
        </a:p>
        <a:p>
          <a:pPr algn="l"/>
          <a:r>
            <a:rPr kumimoji="1" lang="ja-JP" altLang="en-US" sz="1050"/>
            <a:t>②スコープ</a:t>
          </a:r>
          <a:r>
            <a:rPr kumimoji="1" lang="en-US" altLang="ja-JP" sz="1050"/>
            <a:t>1,2</a:t>
          </a:r>
          <a:r>
            <a:rPr kumimoji="1" lang="ja-JP" altLang="en-US" sz="1050"/>
            <a:t>排出量との重複分を</a:t>
          </a:r>
          <a:endParaRPr kumimoji="1" lang="en-US" altLang="ja-JP" sz="1050"/>
        </a:p>
        <a:p>
          <a:pPr algn="l"/>
          <a:r>
            <a:rPr kumimoji="1" lang="ja-JP" altLang="en-US" sz="1050"/>
            <a:t>差し引く。</a:t>
          </a:r>
          <a:endParaRPr kumimoji="1" lang="en-US" altLang="ja-JP" sz="1050"/>
        </a:p>
      </xdr:txBody>
    </xdr:sp>
    <xdr:clientData/>
  </xdr:twoCellAnchor>
  <xdr:twoCellAnchor>
    <xdr:from>
      <xdr:col>13</xdr:col>
      <xdr:colOff>182212</xdr:colOff>
      <xdr:row>60</xdr:row>
      <xdr:rowOff>0</xdr:rowOff>
    </xdr:from>
    <xdr:to>
      <xdr:col>19</xdr:col>
      <xdr:colOff>604630</xdr:colOff>
      <xdr:row>60</xdr:row>
      <xdr:rowOff>2809875</xdr:rowOff>
    </xdr:to>
    <xdr:sp macro="" textlink="">
      <xdr:nvSpPr>
        <xdr:cNvPr id="7" name="角丸四角形吹き出し 6"/>
        <xdr:cNvSpPr/>
      </xdr:nvSpPr>
      <xdr:spPr>
        <a:xfrm>
          <a:off x="9097612" y="10287000"/>
          <a:ext cx="4537218" cy="171450"/>
        </a:xfrm>
        <a:prstGeom prst="wedgeRoundRectCallout">
          <a:avLst>
            <a:gd name="adj1" fmla="val -57397"/>
            <a:gd name="adj2" fmla="val -3330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調達物の重量を把握していない場合、サンプリング等により推計する方法があります。</a:t>
          </a:r>
          <a:endParaRPr kumimoji="1" lang="en-US" altLang="ja-JP" sz="1050"/>
        </a:p>
        <a:p>
          <a:pPr algn="l"/>
          <a:endParaRPr kumimoji="1" lang="en-US" altLang="ja-JP" sz="1050"/>
        </a:p>
        <a:p>
          <a:pPr algn="l"/>
          <a:r>
            <a:rPr kumimoji="1" lang="ja-JP" altLang="en-US" sz="1050"/>
            <a:t>あるいは、環境省</a:t>
          </a:r>
          <a:r>
            <a:rPr kumimoji="1" lang="en-US" altLang="ja-JP" sz="1050"/>
            <a:t>DB[5]</a:t>
          </a:r>
          <a:r>
            <a:rPr kumimoji="1" lang="ja-JP" altLang="en-US" sz="1050"/>
            <a:t>産業連関表ベースの排出原単位のなかには、参考情報として「単価」が掲載されています。例えば、化粧品・歯磨は</a:t>
          </a:r>
          <a:r>
            <a:rPr kumimoji="1" lang="en-US" altLang="ja-JP" sz="1050"/>
            <a:t>0.004000 [</a:t>
          </a:r>
          <a:r>
            <a:rPr kumimoji="1" lang="ja-JP" altLang="en-US" sz="1050"/>
            <a:t>百万円</a:t>
          </a:r>
          <a:r>
            <a:rPr kumimoji="1" lang="en-US" altLang="ja-JP" sz="1050"/>
            <a:t>/kg]</a:t>
          </a:r>
          <a:r>
            <a:rPr kumimoji="1" lang="ja-JP" altLang="en-US" sz="1050"/>
            <a:t>です。この単価で調達金額を除すと、調達重量が推計できます。なお、なかには単価情報が無いもの、単価の単位が重量以外（１台当たり、面積当たり、体積当たりなど）のものなどがあるため、注意が必要です。</a:t>
          </a:r>
          <a:endParaRPr kumimoji="1" lang="en-US" altLang="ja-JP" sz="1050"/>
        </a:p>
      </xdr:txBody>
    </xdr:sp>
    <xdr:clientData/>
  </xdr:twoCellAnchor>
  <xdr:twoCellAnchor>
    <xdr:from>
      <xdr:col>13</xdr:col>
      <xdr:colOff>207818</xdr:colOff>
      <xdr:row>85</xdr:row>
      <xdr:rowOff>51955</xdr:rowOff>
    </xdr:from>
    <xdr:to>
      <xdr:col>19</xdr:col>
      <xdr:colOff>630236</xdr:colOff>
      <xdr:row>89</xdr:row>
      <xdr:rowOff>188446</xdr:rowOff>
    </xdr:to>
    <xdr:sp macro="" textlink="">
      <xdr:nvSpPr>
        <xdr:cNvPr id="8" name="角丸四角形吹き出し 7"/>
        <xdr:cNvSpPr/>
      </xdr:nvSpPr>
      <xdr:spPr>
        <a:xfrm>
          <a:off x="9123218" y="14625205"/>
          <a:ext cx="4537218" cy="803241"/>
        </a:xfrm>
        <a:prstGeom prst="wedgeRoundRectCallout">
          <a:avLst>
            <a:gd name="adj1" fmla="val -57775"/>
            <a:gd name="adj2" fmla="val 84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テナント部におけるエネルギー消費のうち、ビルオーナーに</a:t>
          </a:r>
          <a:r>
            <a:rPr kumimoji="1" lang="ja-JP" altLang="ja-JP" sz="1100">
              <a:solidFill>
                <a:schemeClr val="lt1"/>
              </a:solidFill>
              <a:effectLst/>
              <a:latin typeface="+mn-lt"/>
              <a:ea typeface="+mn-ea"/>
              <a:cs typeface="+mn-cs"/>
            </a:rPr>
            <a:t>エネルギー管理権限</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無い</a:t>
          </a:r>
          <a:r>
            <a:rPr kumimoji="1" lang="ja-JP" altLang="en-US" sz="1100">
              <a:solidFill>
                <a:schemeClr val="lt1"/>
              </a:solidFill>
              <a:effectLst/>
              <a:latin typeface="+mn-lt"/>
              <a:ea typeface="+mn-ea"/>
              <a:cs typeface="+mn-cs"/>
            </a:rPr>
            <a:t>機器に由来するものは、算定・報告・公表制度におけるビルオーナーの算定対象範囲外です。</a:t>
          </a:r>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同機器の稼働に伴う排出量は、カテゴリ</a:t>
          </a:r>
          <a:r>
            <a:rPr kumimoji="1" lang="en-US" altLang="ja-JP" sz="1100">
              <a:solidFill>
                <a:schemeClr val="lt1"/>
              </a:solidFill>
              <a:effectLst/>
              <a:latin typeface="+mn-lt"/>
              <a:ea typeface="+mn-ea"/>
              <a:cs typeface="+mn-cs"/>
            </a:rPr>
            <a:t>13</a:t>
          </a:r>
          <a:r>
            <a:rPr kumimoji="1" lang="ja-JP" altLang="en-US" sz="1100">
              <a:solidFill>
                <a:schemeClr val="lt1"/>
              </a:solidFill>
              <a:effectLst/>
              <a:latin typeface="+mn-lt"/>
              <a:ea typeface="+mn-ea"/>
              <a:cs typeface="+mn-cs"/>
            </a:rPr>
            <a:t>に該当しえます。詳細は、算定・報告・公表制度におけるオーナー・テナントの考え方をご参照ください。</a:t>
          </a:r>
          <a:endParaRPr kumimoji="1" lang="en-US" altLang="ja-JP" sz="1050"/>
        </a:p>
      </xdr:txBody>
    </xdr:sp>
    <xdr:clientData/>
  </xdr:twoCellAnchor>
  <xdr:twoCellAnchor>
    <xdr:from>
      <xdr:col>5</xdr:col>
      <xdr:colOff>149678</xdr:colOff>
      <xdr:row>60</xdr:row>
      <xdr:rowOff>816430</xdr:rowOff>
    </xdr:from>
    <xdr:to>
      <xdr:col>7</xdr:col>
      <xdr:colOff>952500</xdr:colOff>
      <xdr:row>60</xdr:row>
      <xdr:rowOff>1292680</xdr:rowOff>
    </xdr:to>
    <xdr:sp macro="" textlink="">
      <xdr:nvSpPr>
        <xdr:cNvPr id="9" name="角丸四角形吹き出し 8"/>
        <xdr:cNvSpPr/>
      </xdr:nvSpPr>
      <xdr:spPr>
        <a:xfrm>
          <a:off x="3578678" y="10455730"/>
          <a:ext cx="1907722" cy="0"/>
        </a:xfrm>
        <a:prstGeom prst="wedgeRoundRectCallout">
          <a:avLst>
            <a:gd name="adj1" fmla="val 8519"/>
            <a:gd name="adj2" fmla="val -932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Σ</a:t>
          </a:r>
          <a:r>
            <a:rPr kumimoji="1" lang="ja-JP" altLang="en-US" sz="1050"/>
            <a:t>（重量）＋</a:t>
          </a:r>
          <a:r>
            <a:rPr kumimoji="1" lang="en-US" altLang="ja-JP" sz="1050"/>
            <a:t>Σ</a:t>
          </a:r>
          <a:r>
            <a:rPr kumimoji="1" lang="ja-JP" altLang="en-US" sz="1050"/>
            <a:t>（調達金額</a:t>
          </a:r>
          <a:r>
            <a:rPr kumimoji="1" lang="en-US" altLang="ja-JP" sz="1050"/>
            <a:t>×</a:t>
          </a:r>
          <a:r>
            <a:rPr kumimoji="1" lang="ja-JP" altLang="en-US" sz="1050"/>
            <a:t>金額当たり重量）｝</a:t>
          </a:r>
          <a:r>
            <a:rPr kumimoji="1" lang="en-US" altLang="ja-JP" sz="1050"/>
            <a:t>×</a:t>
          </a:r>
          <a:r>
            <a:rPr kumimoji="1" lang="ja-JP" altLang="en-US" sz="1050"/>
            <a:t>距離</a:t>
          </a:r>
          <a:endParaRPr kumimoji="1" lang="en-US" altLang="ja-JP"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280948</xdr:colOff>
      <xdr:row>45</xdr:row>
      <xdr:rowOff>217716</xdr:rowOff>
    </xdr:from>
    <xdr:to>
      <xdr:col>19</xdr:col>
      <xdr:colOff>616324</xdr:colOff>
      <xdr:row>59</xdr:row>
      <xdr:rowOff>231322</xdr:rowOff>
    </xdr:to>
    <xdr:sp macro="" textlink="">
      <xdr:nvSpPr>
        <xdr:cNvPr id="4" name="角丸四角形吹き出し 3"/>
        <xdr:cNvSpPr/>
      </xdr:nvSpPr>
      <xdr:spPr>
        <a:xfrm>
          <a:off x="22025162" y="11157859"/>
          <a:ext cx="4417519" cy="4231820"/>
        </a:xfrm>
        <a:prstGeom prst="wedgeRoundRectCallout">
          <a:avLst>
            <a:gd name="adj1" fmla="val -60496"/>
            <a:gd name="adj2" fmla="val 237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t>Scope3</a:t>
          </a:r>
          <a:r>
            <a:rPr kumimoji="1" lang="ja-JP" altLang="en-US" sz="1050"/>
            <a:t>基準において、中間製品は以下のような条件を満たす場合、下流カテゴリ（カテゴリ</a:t>
          </a:r>
          <a:r>
            <a:rPr kumimoji="1" lang="en-US" altLang="ja-JP" sz="1050"/>
            <a:t>9,10,11,12</a:t>
          </a:r>
          <a:r>
            <a:rPr kumimoji="1" lang="ja-JP" altLang="en-US" sz="1050"/>
            <a:t>）を算定から除外してよいとされています。</a:t>
          </a:r>
          <a:endParaRPr kumimoji="1" lang="en-US" altLang="ja-JP" sz="1050"/>
        </a:p>
        <a:p>
          <a:pPr algn="l"/>
          <a:endParaRPr kumimoji="1" lang="en-US" altLang="ja-JP" sz="1050" b="0" i="0" u="none" strike="noStrike">
            <a:solidFill>
              <a:schemeClr val="lt1"/>
            </a:solidFill>
            <a:effectLst/>
            <a:latin typeface="+mn-lt"/>
            <a:ea typeface="+mn-ea"/>
            <a:cs typeface="+mn-cs"/>
          </a:endParaRPr>
        </a:p>
        <a:p>
          <a:pPr algn="l"/>
          <a:r>
            <a:rPr lang="ja-JP" altLang="en-US" sz="1050" b="0" i="0" u="none" strike="noStrike">
              <a:solidFill>
                <a:schemeClr val="lt1"/>
              </a:solidFill>
              <a:effectLst/>
              <a:latin typeface="+mn-lt"/>
              <a:ea typeface="+mn-ea"/>
              <a:cs typeface="+mn-cs"/>
            </a:rPr>
            <a:t>「潜在的に下流側で多くの用途を持ち、また用途によって</a:t>
          </a:r>
          <a:r>
            <a:rPr lang="en-US" altLang="ja-JP" sz="1050" b="0" i="0" u="none" strike="noStrike">
              <a:solidFill>
                <a:schemeClr val="lt1"/>
              </a:solidFill>
              <a:effectLst/>
              <a:latin typeface="+mn-lt"/>
              <a:ea typeface="+mn-ea"/>
              <a:cs typeface="+mn-cs"/>
            </a:rPr>
            <a:t>GHG</a:t>
          </a:r>
          <a:r>
            <a:rPr lang="ja-JP" altLang="en-US" sz="1050" b="0" i="0" u="none" strike="noStrike">
              <a:solidFill>
                <a:schemeClr val="lt1"/>
              </a:solidFill>
              <a:effectLst/>
              <a:latin typeface="+mn-lt"/>
              <a:ea typeface="+mn-ea"/>
              <a:cs typeface="+mn-cs"/>
            </a:rPr>
            <a:t>排出が異なり、下流側排出量を合理的に見積もることが出来ない場合」</a:t>
          </a:r>
          <a:endParaRPr lang="en-US" altLang="ja-JP" sz="1050" b="0" i="0" u="none" strike="noStrike">
            <a:solidFill>
              <a:schemeClr val="lt1"/>
            </a:solidFill>
            <a:effectLst/>
            <a:latin typeface="+mn-lt"/>
            <a:ea typeface="+mn-ea"/>
            <a:cs typeface="+mn-cs"/>
          </a:endParaRPr>
        </a:p>
        <a:p>
          <a:pPr algn="l"/>
          <a:endParaRPr kumimoji="1" lang="en-US" altLang="ja-JP" sz="1050" b="0" i="0" u="none" strike="noStrike">
            <a:solidFill>
              <a:schemeClr val="lt1"/>
            </a:solidFill>
            <a:effectLst/>
            <a:latin typeface="+mn-lt"/>
            <a:ea typeface="+mn-ea"/>
            <a:cs typeface="+mn-cs"/>
          </a:endParaRPr>
        </a:p>
        <a:p>
          <a:pPr algn="l"/>
          <a:r>
            <a:rPr kumimoji="1" lang="ja-JP" altLang="en-US" sz="1050" b="0" i="0" u="none" strike="noStrike">
              <a:solidFill>
                <a:schemeClr val="lt1"/>
              </a:solidFill>
              <a:effectLst/>
              <a:latin typeface="+mn-lt"/>
              <a:ea typeface="+mn-ea"/>
              <a:cs typeface="+mn-cs"/>
            </a:rPr>
            <a:t>これを基に、素材として供給する金属銅、亜鉛の下流カテゴリにおける排出量は算定から除外しています。</a:t>
          </a:r>
          <a:endParaRPr kumimoji="1" lang="en-US" altLang="ja-JP" sz="1050" b="0" i="0" u="none" strike="noStrike">
            <a:solidFill>
              <a:schemeClr val="lt1"/>
            </a:solidFill>
            <a:effectLst/>
            <a:latin typeface="+mn-lt"/>
            <a:ea typeface="+mn-ea"/>
            <a:cs typeface="+mn-cs"/>
          </a:endParaRPr>
        </a:p>
        <a:p>
          <a:pPr algn="l"/>
          <a:endParaRPr kumimoji="1" lang="en-US" altLang="ja-JP" sz="1050" b="0" i="0" u="none" strike="noStrike">
            <a:solidFill>
              <a:schemeClr val="lt1"/>
            </a:solidFill>
            <a:effectLst/>
            <a:latin typeface="+mn-lt"/>
            <a:ea typeface="+mn-ea"/>
            <a:cs typeface="+mn-cs"/>
          </a:endParaRPr>
        </a:p>
        <a:p>
          <a:pPr algn="l"/>
          <a:r>
            <a:rPr kumimoji="1" lang="ja-JP" altLang="en-US" sz="1050" b="0" i="0" u="none" strike="noStrike">
              <a:solidFill>
                <a:schemeClr val="lt1"/>
              </a:solidFill>
              <a:effectLst/>
              <a:latin typeface="+mn-lt"/>
              <a:ea typeface="+mn-ea"/>
              <a:cs typeface="+mn-cs"/>
            </a:rPr>
            <a:t>しかし、除外根拠を裏返せば、販売先が限定されている場合、どの最終製品に用いられているかが把握できている場合、いずれの用途であれ同程度の排出量と想定できる場合等、何らかの合理的な算定が可能な場合、算定することが求められます。</a:t>
          </a:r>
          <a:endParaRPr kumimoji="1" lang="en-US" altLang="ja-JP" sz="1050" b="0" i="0" u="none" strike="noStrike">
            <a:solidFill>
              <a:schemeClr val="lt1"/>
            </a:solidFill>
            <a:effectLst/>
            <a:latin typeface="+mn-lt"/>
            <a:ea typeface="+mn-ea"/>
            <a:cs typeface="+mn-cs"/>
          </a:endParaRPr>
        </a:p>
        <a:p>
          <a:pPr algn="l"/>
          <a:endParaRPr kumimoji="1" lang="en-US" altLang="ja-JP" sz="1050" b="0" i="0" u="none" strike="noStrike">
            <a:solidFill>
              <a:schemeClr val="lt1"/>
            </a:solidFill>
            <a:effectLst/>
            <a:latin typeface="+mn-lt"/>
            <a:ea typeface="+mn-ea"/>
            <a:cs typeface="+mn-cs"/>
          </a:endParaRPr>
        </a:p>
        <a:p>
          <a:pPr algn="l"/>
          <a:r>
            <a:rPr kumimoji="1" lang="ja-JP" altLang="en-US" sz="1050" b="0" i="0" u="none" strike="noStrike">
              <a:solidFill>
                <a:schemeClr val="lt1"/>
              </a:solidFill>
              <a:effectLst/>
              <a:latin typeface="+mn-lt"/>
              <a:ea typeface="+mn-ea"/>
              <a:cs typeface="+mn-cs"/>
            </a:rPr>
            <a:t>よって、本事例においては、自グループ内で加工し用途を限定した金属製品については、カテゴリ</a:t>
          </a:r>
          <a:r>
            <a:rPr kumimoji="1" lang="en-US" altLang="ja-JP" sz="1050" b="0" i="0" u="none" strike="noStrike">
              <a:solidFill>
                <a:schemeClr val="lt1"/>
              </a:solidFill>
              <a:effectLst/>
              <a:latin typeface="+mn-lt"/>
              <a:ea typeface="+mn-ea"/>
              <a:cs typeface="+mn-cs"/>
            </a:rPr>
            <a:t>10</a:t>
          </a:r>
          <a:r>
            <a:rPr kumimoji="1" lang="ja-JP" altLang="en-US" sz="1050" b="0" i="0" u="none" strike="noStrike">
              <a:solidFill>
                <a:schemeClr val="lt1"/>
              </a:solidFill>
              <a:effectLst/>
              <a:latin typeface="+mn-lt"/>
              <a:ea typeface="+mn-ea"/>
              <a:cs typeface="+mn-cs"/>
            </a:rPr>
            <a:t>で計上しています。</a:t>
          </a:r>
          <a:endParaRPr kumimoji="1" lang="en-US" altLang="ja-JP" sz="1050"/>
        </a:p>
      </xdr:txBody>
    </xdr:sp>
    <xdr:clientData/>
  </xdr:twoCellAnchor>
  <xdr:twoCellAnchor>
    <xdr:from>
      <xdr:col>11</xdr:col>
      <xdr:colOff>885265</xdr:colOff>
      <xdr:row>0</xdr:row>
      <xdr:rowOff>34417</xdr:rowOff>
    </xdr:from>
    <xdr:to>
      <xdr:col>13</xdr:col>
      <xdr:colOff>11204</xdr:colOff>
      <xdr:row>4</xdr:row>
      <xdr:rowOff>156882</xdr:rowOff>
    </xdr:to>
    <xdr:sp macro="" textlink="">
      <xdr:nvSpPr>
        <xdr:cNvPr id="8" name="角丸四角形吹き出し 7"/>
        <xdr:cNvSpPr/>
      </xdr:nvSpPr>
      <xdr:spPr>
        <a:xfrm>
          <a:off x="14534030" y="34417"/>
          <a:ext cx="7182968" cy="794818"/>
        </a:xfrm>
        <a:prstGeom prst="wedgeRoundRectCallout">
          <a:avLst>
            <a:gd name="adj1" fmla="val -58817"/>
            <a:gd name="adj2" fmla="val 562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今回の算定で用いていない排出原単位のなかにも利用可能なものがございます。</a:t>
          </a:r>
          <a:endParaRPr kumimoji="1" lang="en-US" altLang="ja-JP" sz="1050"/>
        </a:p>
        <a:p>
          <a:pPr algn="l"/>
          <a:r>
            <a:rPr kumimoji="1" lang="ja-JP" altLang="en-US" sz="1050"/>
            <a:t>環境省</a:t>
          </a:r>
          <a:r>
            <a:rPr kumimoji="1" lang="en-US" altLang="ja-JP" sz="1050"/>
            <a:t>DB [a]</a:t>
          </a:r>
          <a:r>
            <a:rPr kumimoji="1" lang="ja-JP" altLang="en-US" sz="1050"/>
            <a:t>国内の排出原単位データベース、</a:t>
          </a:r>
          <a:r>
            <a:rPr kumimoji="1" lang="en-US" altLang="ja-JP" sz="1050"/>
            <a:t>[b]</a:t>
          </a:r>
          <a:r>
            <a:rPr kumimoji="1" lang="ja-JP" altLang="en-US" sz="1050"/>
            <a:t>海外の排出原単位データベースを参考に、データベースを利用される方ご自身が、そのデータベースの備えるデータの適合性や、品質等をご確認した上で、ご利用下さい。</a:t>
          </a:r>
          <a:endParaRPr kumimoji="1" lang="en-US" altLang="ja-JP" sz="1050"/>
        </a:p>
      </xdr:txBody>
    </xdr:sp>
    <xdr:clientData/>
  </xdr:twoCellAnchor>
  <xdr:twoCellAnchor>
    <xdr:from>
      <xdr:col>8</xdr:col>
      <xdr:colOff>930088</xdr:colOff>
      <xdr:row>82</xdr:row>
      <xdr:rowOff>22412</xdr:rowOff>
    </xdr:from>
    <xdr:to>
      <xdr:col>11</xdr:col>
      <xdr:colOff>1423147</xdr:colOff>
      <xdr:row>100</xdr:row>
      <xdr:rowOff>179293</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176892</xdr:colOff>
      <xdr:row>65</xdr:row>
      <xdr:rowOff>112058</xdr:rowOff>
    </xdr:from>
    <xdr:to>
      <xdr:col>12</xdr:col>
      <xdr:colOff>4952999</xdr:colOff>
      <xdr:row>68</xdr:row>
      <xdr:rowOff>103908</xdr:rowOff>
    </xdr:to>
    <xdr:sp macro="" textlink="">
      <xdr:nvSpPr>
        <xdr:cNvPr id="10" name="角丸四角形吹き出し 9"/>
        <xdr:cNvSpPr/>
      </xdr:nvSpPr>
      <xdr:spPr>
        <a:xfrm>
          <a:off x="16888937" y="17326331"/>
          <a:ext cx="4776107" cy="719213"/>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算定事業者が株式保有する企業のスコープ</a:t>
          </a:r>
          <a:r>
            <a:rPr kumimoji="1" lang="en-US" altLang="ja-JP" sz="1100"/>
            <a:t>1,2</a:t>
          </a:r>
          <a:r>
            <a:rPr kumimoji="1" lang="ja-JP" altLang="en-US" sz="1100"/>
            <a:t>排出量は、</a:t>
          </a:r>
          <a:endParaRPr kumimoji="1" lang="en-US" altLang="ja-JP" sz="1100"/>
        </a:p>
        <a:p>
          <a:pPr algn="l"/>
          <a:r>
            <a:rPr kumimoji="1" lang="ja-JP" altLang="en-US" sz="1100"/>
            <a:t>一般に当該企業の</a:t>
          </a:r>
          <a:r>
            <a:rPr kumimoji="1" lang="en-US" altLang="ja-JP" sz="1100"/>
            <a:t>CSR</a:t>
          </a:r>
          <a:r>
            <a:rPr kumimoji="1" lang="ja-JP" altLang="en-US" sz="1100"/>
            <a:t>報告書、環境報告書等に掲載されてます。</a:t>
          </a:r>
          <a:endParaRPr kumimoji="1" lang="en-US" altLang="ja-JP" sz="1100"/>
        </a:p>
      </xdr:txBody>
    </xdr:sp>
    <xdr:clientData/>
  </xdr:twoCellAnchor>
  <xdr:twoCellAnchor>
    <xdr:from>
      <xdr:col>13</xdr:col>
      <xdr:colOff>321106</xdr:colOff>
      <xdr:row>12</xdr:row>
      <xdr:rowOff>164224</xdr:rowOff>
    </xdr:from>
    <xdr:to>
      <xdr:col>19</xdr:col>
      <xdr:colOff>656482</xdr:colOff>
      <xdr:row>17</xdr:row>
      <xdr:rowOff>60479</xdr:rowOff>
    </xdr:to>
    <xdr:sp macro="" textlink="">
      <xdr:nvSpPr>
        <xdr:cNvPr id="7" name="角丸四角形吹き出し 6"/>
        <xdr:cNvSpPr/>
      </xdr:nvSpPr>
      <xdr:spPr>
        <a:xfrm>
          <a:off x="22038106" y="2588769"/>
          <a:ext cx="4491740" cy="1108528"/>
        </a:xfrm>
        <a:prstGeom prst="wedgeRoundRectCallout">
          <a:avLst>
            <a:gd name="adj1" fmla="val -57106"/>
            <a:gd name="adj2" fmla="val 813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該当する活動項目の細かさに対して排出原単位が荒い場合、異なる活動であるにも関わらず同じ排出原単位を適用する可能性がありうる。今回の場合、自社データを用いている「他者委託（製錬工程）」以外は、銅と亜鉛で同じ排出原単位「金属鉱物」を用いている。</a:t>
          </a:r>
          <a:endParaRPr kumimoji="1" lang="en-US" altLang="ja-JP" sz="1050"/>
        </a:p>
      </xdr:txBody>
    </xdr:sp>
    <xdr:clientData/>
  </xdr:twoCellAnchor>
  <xdr:twoCellAnchor>
    <xdr:from>
      <xdr:col>8</xdr:col>
      <xdr:colOff>612320</xdr:colOff>
      <xdr:row>14</xdr:row>
      <xdr:rowOff>190499</xdr:rowOff>
    </xdr:from>
    <xdr:to>
      <xdr:col>9</xdr:col>
      <xdr:colOff>54428</xdr:colOff>
      <xdr:row>20</xdr:row>
      <xdr:rowOff>145749</xdr:rowOff>
    </xdr:to>
    <xdr:sp macro="" textlink="">
      <xdr:nvSpPr>
        <xdr:cNvPr id="9" name="角丸四角形吹き出し 8"/>
        <xdr:cNvSpPr/>
      </xdr:nvSpPr>
      <xdr:spPr>
        <a:xfrm>
          <a:off x="9219456" y="3099954"/>
          <a:ext cx="2490108" cy="1409977"/>
        </a:xfrm>
        <a:prstGeom prst="wedgeRoundRectCallout">
          <a:avLst>
            <a:gd name="adj1" fmla="val -125089"/>
            <a:gd name="adj2" fmla="val 5799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グループ会社排出量を、中核会社の排出量と売上比率から推計する。</a:t>
          </a:r>
          <a:endParaRPr kumimoji="1" lang="en-US" altLang="ja-JP" sz="1000"/>
        </a:p>
        <a:p>
          <a:pPr algn="l"/>
          <a:endParaRPr kumimoji="1" lang="en-US" altLang="ja-JP" sz="1000"/>
        </a:p>
        <a:p>
          <a:pPr algn="l"/>
          <a:r>
            <a:rPr kumimoji="1" lang="ja-JP" altLang="en-US" sz="1000"/>
            <a:t>本事例では、</a:t>
          </a:r>
          <a:r>
            <a:rPr kumimoji="1" lang="en-US" altLang="ja-JP" sz="1000"/>
            <a:t>"</a:t>
          </a:r>
          <a:r>
            <a:rPr kumimoji="1" lang="ja-JP" altLang="en-US" sz="1000"/>
            <a:t>中核会社のカテゴリ１排出量</a:t>
          </a:r>
          <a:r>
            <a:rPr kumimoji="1" lang="en-US" altLang="ja-JP" sz="1000"/>
            <a:t>"</a:t>
          </a:r>
          <a:r>
            <a:rPr kumimoji="1" lang="ja-JP" altLang="en-US" sz="1000"/>
            <a:t>はブタンガスからリネンサプライの調達に伴う排出量の和です。</a:t>
          </a:r>
          <a:endParaRPr kumimoji="1" lang="en-US" altLang="ja-JP" sz="1000"/>
        </a:p>
      </xdr:txBody>
    </xdr:sp>
    <xdr:clientData/>
  </xdr:twoCellAnchor>
  <xdr:twoCellAnchor>
    <xdr:from>
      <xdr:col>12</xdr:col>
      <xdr:colOff>136872</xdr:colOff>
      <xdr:row>74</xdr:row>
      <xdr:rowOff>48025</xdr:rowOff>
    </xdr:from>
    <xdr:to>
      <xdr:col>12</xdr:col>
      <xdr:colOff>4953000</xdr:colOff>
      <xdr:row>77</xdr:row>
      <xdr:rowOff>39875</xdr:rowOff>
    </xdr:to>
    <xdr:sp macro="" textlink="">
      <xdr:nvSpPr>
        <xdr:cNvPr id="11" name="角丸四角形吹き出し 10"/>
        <xdr:cNvSpPr/>
      </xdr:nvSpPr>
      <xdr:spPr>
        <a:xfrm>
          <a:off x="16848917" y="19444389"/>
          <a:ext cx="4816128" cy="719213"/>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smtClean="0">
              <a:solidFill>
                <a:schemeClr val="lt1"/>
              </a:solidFill>
              <a:latin typeface="+mn-lt"/>
              <a:ea typeface="+mn-ea"/>
              <a:cs typeface="+mn-cs"/>
            </a:rPr>
            <a:t>「その他」について詳しくは、</a:t>
          </a:r>
          <a:r>
            <a:rPr lang="en-US" altLang="ja-JP" sz="1100" b="0" i="0" u="none" strike="noStrike" baseline="0" smtClean="0">
              <a:solidFill>
                <a:schemeClr val="lt1"/>
              </a:solidFill>
              <a:latin typeface="+mn-lt"/>
              <a:ea typeface="+mn-ea"/>
              <a:cs typeface="+mn-cs"/>
            </a:rPr>
            <a:t>Q&amp;A</a:t>
          </a:r>
          <a:r>
            <a:rPr lang="ja-JP" altLang="en-US" sz="1100" b="0" i="0" u="none" strike="noStrike" baseline="0" smtClean="0">
              <a:solidFill>
                <a:schemeClr val="lt1"/>
              </a:solidFill>
              <a:latin typeface="+mn-lt"/>
              <a:ea typeface="+mn-ea"/>
              <a:cs typeface="+mn-cs"/>
            </a:rPr>
            <a:t>の</a:t>
          </a:r>
          <a:r>
            <a:rPr lang="en-US" altLang="ja-JP" sz="1100" b="0" i="0" u="none" strike="noStrike" baseline="0" smtClean="0">
              <a:solidFill>
                <a:schemeClr val="lt1"/>
              </a:solidFill>
              <a:latin typeface="+mn-lt"/>
              <a:ea typeface="+mn-ea"/>
              <a:cs typeface="+mn-cs"/>
            </a:rPr>
            <a:t>P44</a:t>
          </a:r>
          <a:r>
            <a:rPr lang="ja-JP" altLang="en-US" sz="1100" b="0" i="0" u="none" strike="noStrike" baseline="0" smtClean="0">
              <a:solidFill>
                <a:schemeClr val="lt1"/>
              </a:solidFill>
              <a:latin typeface="+mn-lt"/>
              <a:ea typeface="+mn-ea"/>
              <a:cs typeface="+mn-cs"/>
            </a:rPr>
            <a:t>や参考書</a:t>
          </a:r>
          <a:r>
            <a:rPr lang="en-US" altLang="ja-JP" sz="1100" b="0" i="0" u="none" strike="noStrike" baseline="0" smtClean="0">
              <a:solidFill>
                <a:schemeClr val="lt1"/>
              </a:solidFill>
              <a:latin typeface="+mn-lt"/>
              <a:ea typeface="+mn-ea"/>
              <a:cs typeface="+mn-cs"/>
            </a:rPr>
            <a:t>P40-41</a:t>
          </a:r>
          <a:r>
            <a:rPr lang="ja-JP" altLang="en-US" sz="1100" b="0" i="0" u="none" strike="noStrike" baseline="0" smtClean="0">
              <a:solidFill>
                <a:schemeClr val="lt1"/>
              </a:solidFill>
              <a:latin typeface="+mn-lt"/>
              <a:ea typeface="+mn-ea"/>
              <a:cs typeface="+mn-cs"/>
            </a:rPr>
            <a:t>をご欄ください。</a:t>
          </a:r>
          <a:endParaRPr kumimoji="1" lang="en-US" altLang="ja-JP" sz="1100"/>
        </a:p>
      </xdr:txBody>
    </xdr:sp>
    <xdr:clientData/>
  </xdr:twoCellAnchor>
  <xdr:twoCellAnchor>
    <xdr:from>
      <xdr:col>0</xdr:col>
      <xdr:colOff>0</xdr:colOff>
      <xdr:row>37</xdr:row>
      <xdr:rowOff>145677</xdr:rowOff>
    </xdr:from>
    <xdr:to>
      <xdr:col>1</xdr:col>
      <xdr:colOff>2204357</xdr:colOff>
      <xdr:row>39</xdr:row>
      <xdr:rowOff>233726</xdr:rowOff>
    </xdr:to>
    <xdr:sp macro="" textlink="">
      <xdr:nvSpPr>
        <xdr:cNvPr id="13" name="角丸四角形吹き出し 12"/>
        <xdr:cNvSpPr/>
      </xdr:nvSpPr>
      <xdr:spPr>
        <a:xfrm>
          <a:off x="0" y="8550089"/>
          <a:ext cx="2473298" cy="850049"/>
        </a:xfrm>
        <a:prstGeom prst="wedgeRoundRectCallout">
          <a:avLst>
            <a:gd name="adj1" fmla="val 65717"/>
            <a:gd name="adj2" fmla="val -7815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①省エネ法報告値から</a:t>
          </a:r>
          <a:endParaRPr kumimoji="1" lang="en-US" altLang="ja-JP" sz="1050"/>
        </a:p>
        <a:p>
          <a:pPr algn="l"/>
          <a:r>
            <a:rPr kumimoji="1" lang="ja-JP" altLang="en-US" sz="1050"/>
            <a:t>②スコープ</a:t>
          </a:r>
          <a:r>
            <a:rPr kumimoji="1" lang="en-US" altLang="ja-JP" sz="1050"/>
            <a:t>1,2</a:t>
          </a:r>
          <a:r>
            <a:rPr kumimoji="1" lang="ja-JP" altLang="en-US" sz="1050"/>
            <a:t>排出量との重複分を</a:t>
          </a:r>
          <a:endParaRPr kumimoji="1" lang="en-US" altLang="ja-JP" sz="1050"/>
        </a:p>
        <a:p>
          <a:pPr algn="l"/>
          <a:r>
            <a:rPr kumimoji="1" lang="ja-JP" altLang="en-US" sz="1050"/>
            <a:t>差し引く。</a:t>
          </a:r>
          <a:endParaRPr kumimoji="1" lang="en-US" altLang="ja-JP"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280948</xdr:colOff>
      <xdr:row>31</xdr:row>
      <xdr:rowOff>54429</xdr:rowOff>
    </xdr:from>
    <xdr:to>
      <xdr:col>19</xdr:col>
      <xdr:colOff>616324</xdr:colOff>
      <xdr:row>52</xdr:row>
      <xdr:rowOff>373562</xdr:rowOff>
    </xdr:to>
    <xdr:sp macro="" textlink="">
      <xdr:nvSpPr>
        <xdr:cNvPr id="2" name="角丸四角形吹き出し 1"/>
        <xdr:cNvSpPr/>
      </xdr:nvSpPr>
      <xdr:spPr>
        <a:xfrm>
          <a:off x="21997948" y="7855404"/>
          <a:ext cx="4450176" cy="6605633"/>
        </a:xfrm>
        <a:prstGeom prst="wedgeRoundRectCallout">
          <a:avLst>
            <a:gd name="adj1" fmla="val -66665"/>
            <a:gd name="adj2" fmla="val 332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カテゴリ</a:t>
          </a:r>
          <a:r>
            <a:rPr kumimoji="1" lang="en-US" altLang="ja-JP" sz="1050"/>
            <a:t>11</a:t>
          </a:r>
          <a:r>
            <a:rPr kumimoji="1" lang="ja-JP" altLang="en-US" sz="1050"/>
            <a:t>の対象として、直接使用段階排出と間接使用段階排出の</a:t>
          </a:r>
          <a:r>
            <a:rPr kumimoji="1" lang="en-US" altLang="ja-JP" sz="1050"/>
            <a:t>2</a:t>
          </a:r>
          <a:r>
            <a:rPr kumimoji="1" lang="ja-JP" altLang="en-US" sz="1050"/>
            <a:t>種類の排出活動が存在します。直接使用段階排出は必須。間接使用段階排出は任意算定項目です。</a:t>
          </a:r>
          <a:endParaRPr kumimoji="1" lang="en-US" altLang="ja-JP" sz="1050"/>
        </a:p>
        <a:p>
          <a:pPr algn="l"/>
          <a:r>
            <a:rPr kumimoji="1" lang="ja-JP" altLang="en-US" sz="1050"/>
            <a:t>直接使用段階排出は、製品使用時における電気・燃料・熱の使用に伴うエネルギー起源排出（自動車、家電製品等）、使用時に</a:t>
          </a:r>
          <a:r>
            <a:rPr kumimoji="1" lang="en-US" altLang="ja-JP" sz="1050"/>
            <a:t>6.5</a:t>
          </a:r>
          <a:r>
            <a:rPr kumimoji="1" lang="ja-JP" altLang="en-US" sz="1050"/>
            <a:t>ガスを直接排出する製品における</a:t>
          </a:r>
          <a:r>
            <a:rPr kumimoji="1" lang="en-US" altLang="ja-JP" sz="1050"/>
            <a:t>6.5</a:t>
          </a:r>
          <a:r>
            <a:rPr kumimoji="1" lang="ja-JP" altLang="en-US" sz="1050"/>
            <a:t>ガス排出（エアコンの冷媒漏えい、ドライアイスの昇華等）が該当します。</a:t>
          </a:r>
          <a:endParaRPr kumimoji="1" lang="en-US" altLang="ja-JP" sz="1050"/>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50"/>
            <a:t>一方、間接使用段階排出は、</a:t>
          </a:r>
          <a:r>
            <a:rPr kumimoji="1" lang="ja-JP" altLang="ja-JP" sz="1100">
              <a:solidFill>
                <a:schemeClr val="lt1"/>
              </a:solidFill>
              <a:effectLst/>
              <a:latin typeface="+mn-lt"/>
              <a:ea typeface="+mn-ea"/>
              <a:cs typeface="+mn-cs"/>
            </a:rPr>
            <a:t>製品使用時に間接的に電気・燃料・熱を使用する製品のエネルギー起源</a:t>
          </a:r>
          <a:r>
            <a:rPr kumimoji="1" lang="en-US" altLang="ja-JP" sz="1100">
              <a:solidFill>
                <a:schemeClr val="lt1"/>
              </a:solidFill>
              <a:effectLst/>
              <a:latin typeface="+mn-lt"/>
              <a:ea typeface="+mn-ea"/>
              <a:cs typeface="+mn-cs"/>
            </a:rPr>
            <a:t>CO2</a:t>
          </a:r>
          <a:r>
            <a:rPr kumimoji="1" lang="ja-JP" altLang="ja-JP" sz="1100">
              <a:solidFill>
                <a:schemeClr val="lt1"/>
              </a:solidFill>
              <a:effectLst/>
              <a:latin typeface="+mn-lt"/>
              <a:ea typeface="+mn-ea"/>
              <a:cs typeface="+mn-cs"/>
            </a:rPr>
            <a:t>排出</a:t>
          </a:r>
          <a:r>
            <a:rPr kumimoji="1" lang="ja-JP" altLang="en-US" sz="1100">
              <a:solidFill>
                <a:schemeClr val="lt1"/>
              </a:solidFill>
              <a:effectLst/>
              <a:latin typeface="+mn-lt"/>
              <a:ea typeface="+mn-ea"/>
              <a:cs typeface="+mn-cs"/>
            </a:rPr>
            <a:t>（衣料の使用は洗濯・乾燥を要し洗濯・乾燥に伴うエネルギ－消費由来排出が該当。同様に、食料であれば調理・冷蔵等、ポットであれば加熱等に伴う排出が該当）が該当します。</a:t>
          </a:r>
          <a:endParaRPr lang="ja-JP" altLang="ja-JP" sz="1050">
            <a:effectLst/>
          </a:endParaRPr>
        </a:p>
        <a:p>
          <a:pPr algn="l"/>
          <a:endParaRPr kumimoji="1" lang="en-US" altLang="ja-JP" sz="1050"/>
        </a:p>
        <a:p>
          <a:pPr algn="l"/>
          <a:r>
            <a:rPr kumimoji="1" lang="ja-JP" altLang="en-US" sz="1050"/>
            <a:t>本業種が製造する“部品”である燃料タンクは、その使用に当たって直接的にはエネルギーを消費しません。しかし、燃料タンクの使用に当たっては車輌が稼働すると言えるため、車輌稼働時の排出は燃料タンクの間接使用段階排出と言えます。今回は、間接使用段階排出は任意算定対象であることから除外しました。算定する場合、例えば、以下のような算定をすることができます。</a:t>
          </a:r>
          <a:endParaRPr kumimoji="1" lang="en-US" altLang="ja-JP" sz="1050"/>
        </a:p>
        <a:p>
          <a:pPr algn="l"/>
          <a:endParaRPr kumimoji="1" lang="en-US" altLang="ja-JP" sz="1050"/>
        </a:p>
        <a:p>
          <a:pPr algn="l"/>
          <a:r>
            <a:rPr kumimoji="1" lang="ja-JP" altLang="en-US" sz="1050"/>
            <a:t>（車両の生涯排出量）</a:t>
          </a:r>
          <a:r>
            <a:rPr kumimoji="1" lang="en-US" altLang="ja-JP" sz="1050"/>
            <a:t>×</a:t>
          </a:r>
          <a:r>
            <a:rPr kumimoji="1" lang="ja-JP" altLang="en-US" sz="1050"/>
            <a:t>（燃料タンク重量）／（車両重量）</a:t>
          </a:r>
          <a:endParaRPr kumimoji="1" lang="en-US" altLang="ja-JP" sz="1050"/>
        </a:p>
        <a:p>
          <a:pPr algn="l"/>
          <a:endParaRPr kumimoji="1" lang="en-US" altLang="ja-JP" sz="1050"/>
        </a:p>
        <a:p>
          <a:pPr algn="l"/>
          <a:r>
            <a:rPr kumimoji="1" lang="ja-JP" altLang="en-US" sz="1050"/>
            <a:t>中間製品の使用時排出量は、最終製品の排出量のうち中間製品分の排出量を計上することから、上記のような配分をします。</a:t>
          </a:r>
          <a:endParaRPr kumimoji="1" lang="en-US" altLang="ja-JP" sz="1050"/>
        </a:p>
        <a:p>
          <a:pPr algn="l"/>
          <a:endParaRPr kumimoji="1" lang="en-US" altLang="ja-JP" sz="1050"/>
        </a:p>
        <a:p>
          <a:pPr algn="l"/>
          <a:r>
            <a:rPr kumimoji="1" lang="ja-JP" altLang="en-US" sz="1050"/>
            <a:t>なお、部品であれば全て間接使用段階排出になるわけではありません。例えば、エンジンやモーターは自動車の部品ですが、動力を取り出すためにエネルギーを消費する部品であるため、この使用は直接使用段階排出に該当し、算定が必須です。</a:t>
          </a:r>
          <a:endParaRPr kumimoji="1" lang="en-US" altLang="ja-JP" sz="1050"/>
        </a:p>
      </xdr:txBody>
    </xdr:sp>
    <xdr:clientData/>
  </xdr:twoCellAnchor>
  <xdr:twoCellAnchor>
    <xdr:from>
      <xdr:col>11</xdr:col>
      <xdr:colOff>885265</xdr:colOff>
      <xdr:row>0</xdr:row>
      <xdr:rowOff>34417</xdr:rowOff>
    </xdr:from>
    <xdr:to>
      <xdr:col>13</xdr:col>
      <xdr:colOff>11204</xdr:colOff>
      <xdr:row>4</xdr:row>
      <xdr:rowOff>156882</xdr:rowOff>
    </xdr:to>
    <xdr:sp macro="" textlink="">
      <xdr:nvSpPr>
        <xdr:cNvPr id="3" name="角丸四角形吹き出し 2"/>
        <xdr:cNvSpPr/>
      </xdr:nvSpPr>
      <xdr:spPr>
        <a:xfrm>
          <a:off x="14544115" y="34417"/>
          <a:ext cx="7184089" cy="808265"/>
        </a:xfrm>
        <a:prstGeom prst="wedgeRoundRectCallout">
          <a:avLst>
            <a:gd name="adj1" fmla="val -58817"/>
            <a:gd name="adj2" fmla="val 562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今回の算定で用いていない排出原単位のなかにも利用可能なものがございます。</a:t>
          </a:r>
          <a:endParaRPr kumimoji="1" lang="en-US" altLang="ja-JP" sz="1050"/>
        </a:p>
        <a:p>
          <a:pPr algn="l"/>
          <a:r>
            <a:rPr kumimoji="1" lang="ja-JP" altLang="en-US" sz="1050"/>
            <a:t>環境省</a:t>
          </a:r>
          <a:r>
            <a:rPr kumimoji="1" lang="en-US" altLang="ja-JP" sz="1050"/>
            <a:t>DB [a]</a:t>
          </a:r>
          <a:r>
            <a:rPr kumimoji="1" lang="ja-JP" altLang="en-US" sz="1050"/>
            <a:t>国内の排出原単位データベース、</a:t>
          </a:r>
          <a:r>
            <a:rPr kumimoji="1" lang="en-US" altLang="ja-JP" sz="1050"/>
            <a:t>[b]</a:t>
          </a:r>
          <a:r>
            <a:rPr kumimoji="1" lang="ja-JP" altLang="en-US" sz="1050"/>
            <a:t>海外の排出原単位データベースを参考に、データベースを利用される方ご自身が、そのデータベースの備えるデータの適合性や、品質等をご確認した上で、ご利用下さい。</a:t>
          </a:r>
          <a:endParaRPr kumimoji="1" lang="en-US" altLang="ja-JP" sz="1050"/>
        </a:p>
      </xdr:txBody>
    </xdr:sp>
    <xdr:clientData/>
  </xdr:twoCellAnchor>
  <xdr:twoCellAnchor>
    <xdr:from>
      <xdr:col>8</xdr:col>
      <xdr:colOff>930088</xdr:colOff>
      <xdr:row>74</xdr:row>
      <xdr:rowOff>22412</xdr:rowOff>
    </xdr:from>
    <xdr:to>
      <xdr:col>11</xdr:col>
      <xdr:colOff>1423147</xdr:colOff>
      <xdr:row>92</xdr:row>
      <xdr:rowOff>179293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176892</xdr:colOff>
      <xdr:row>57</xdr:row>
      <xdr:rowOff>112058</xdr:rowOff>
    </xdr:from>
    <xdr:to>
      <xdr:col>12</xdr:col>
      <xdr:colOff>4952999</xdr:colOff>
      <xdr:row>60</xdr:row>
      <xdr:rowOff>103908</xdr:rowOff>
    </xdr:to>
    <xdr:sp macro="" textlink="">
      <xdr:nvSpPr>
        <xdr:cNvPr id="5" name="角丸四角形吹き出し 4"/>
        <xdr:cNvSpPr/>
      </xdr:nvSpPr>
      <xdr:spPr>
        <a:xfrm>
          <a:off x="16883742" y="15675908"/>
          <a:ext cx="4776107" cy="706225"/>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算定事業者が株式保有する企業のスコープ</a:t>
          </a:r>
          <a:r>
            <a:rPr kumimoji="1" lang="en-US" altLang="ja-JP" sz="1100"/>
            <a:t>1,2</a:t>
          </a:r>
          <a:r>
            <a:rPr kumimoji="1" lang="ja-JP" altLang="en-US" sz="1100"/>
            <a:t>排出量は、</a:t>
          </a:r>
          <a:endParaRPr kumimoji="1" lang="en-US" altLang="ja-JP" sz="1100"/>
        </a:p>
        <a:p>
          <a:pPr algn="l"/>
          <a:r>
            <a:rPr kumimoji="1" lang="ja-JP" altLang="en-US" sz="1100"/>
            <a:t>一般に当該企業の</a:t>
          </a:r>
          <a:r>
            <a:rPr kumimoji="1" lang="en-US" altLang="ja-JP" sz="1100"/>
            <a:t>CSR</a:t>
          </a:r>
          <a:r>
            <a:rPr kumimoji="1" lang="ja-JP" altLang="en-US" sz="1100"/>
            <a:t>報告書、環境報告書等に掲載されてます。</a:t>
          </a:r>
          <a:endParaRPr kumimoji="1" lang="en-US" altLang="ja-JP" sz="1100"/>
        </a:p>
      </xdr:txBody>
    </xdr:sp>
    <xdr:clientData/>
  </xdr:twoCellAnchor>
  <xdr:twoCellAnchor>
    <xdr:from>
      <xdr:col>12</xdr:col>
      <xdr:colOff>136872</xdr:colOff>
      <xdr:row>66</xdr:row>
      <xdr:rowOff>48025</xdr:rowOff>
    </xdr:from>
    <xdr:to>
      <xdr:col>12</xdr:col>
      <xdr:colOff>4953000</xdr:colOff>
      <xdr:row>69</xdr:row>
      <xdr:rowOff>39875</xdr:rowOff>
    </xdr:to>
    <xdr:sp macro="" textlink="">
      <xdr:nvSpPr>
        <xdr:cNvPr id="6" name="角丸四角形吹き出し 5"/>
        <xdr:cNvSpPr/>
      </xdr:nvSpPr>
      <xdr:spPr>
        <a:xfrm>
          <a:off x="16843722" y="17755000"/>
          <a:ext cx="4816128" cy="706225"/>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smtClean="0">
              <a:solidFill>
                <a:schemeClr val="lt1"/>
              </a:solidFill>
              <a:latin typeface="+mn-lt"/>
              <a:ea typeface="+mn-ea"/>
              <a:cs typeface="+mn-cs"/>
            </a:rPr>
            <a:t>「その他」について詳しくは、</a:t>
          </a:r>
          <a:r>
            <a:rPr lang="en-US" altLang="ja-JP" sz="1100" b="0" i="0" u="none" strike="noStrike" baseline="0" smtClean="0">
              <a:solidFill>
                <a:schemeClr val="lt1"/>
              </a:solidFill>
              <a:latin typeface="+mn-lt"/>
              <a:ea typeface="+mn-ea"/>
              <a:cs typeface="+mn-cs"/>
            </a:rPr>
            <a:t>Q&amp;A</a:t>
          </a:r>
          <a:r>
            <a:rPr lang="ja-JP" altLang="en-US" sz="1100" b="0" i="0" u="none" strike="noStrike" baseline="0" smtClean="0">
              <a:solidFill>
                <a:schemeClr val="lt1"/>
              </a:solidFill>
              <a:latin typeface="+mn-lt"/>
              <a:ea typeface="+mn-ea"/>
              <a:cs typeface="+mn-cs"/>
            </a:rPr>
            <a:t>の</a:t>
          </a:r>
          <a:r>
            <a:rPr lang="en-US" altLang="ja-JP" sz="1100" b="0" i="0" u="none" strike="noStrike" baseline="0" smtClean="0">
              <a:solidFill>
                <a:schemeClr val="lt1"/>
              </a:solidFill>
              <a:latin typeface="+mn-lt"/>
              <a:ea typeface="+mn-ea"/>
              <a:cs typeface="+mn-cs"/>
            </a:rPr>
            <a:t>P44</a:t>
          </a:r>
          <a:r>
            <a:rPr lang="ja-JP" altLang="en-US" sz="1100" b="0" i="0" u="none" strike="noStrike" baseline="0" smtClean="0">
              <a:solidFill>
                <a:schemeClr val="lt1"/>
              </a:solidFill>
              <a:latin typeface="+mn-lt"/>
              <a:ea typeface="+mn-ea"/>
              <a:cs typeface="+mn-cs"/>
            </a:rPr>
            <a:t>や参考書</a:t>
          </a:r>
          <a:r>
            <a:rPr lang="en-US" altLang="ja-JP" sz="1100" b="0" i="0" u="none" strike="noStrike" baseline="0" smtClean="0">
              <a:solidFill>
                <a:schemeClr val="lt1"/>
              </a:solidFill>
              <a:latin typeface="+mn-lt"/>
              <a:ea typeface="+mn-ea"/>
              <a:cs typeface="+mn-cs"/>
            </a:rPr>
            <a:t>P40-41</a:t>
          </a:r>
          <a:r>
            <a:rPr lang="ja-JP" altLang="en-US" sz="1100" b="0" i="0" u="none" strike="noStrike" baseline="0" smtClean="0">
              <a:solidFill>
                <a:schemeClr val="lt1"/>
              </a:solidFill>
              <a:latin typeface="+mn-lt"/>
              <a:ea typeface="+mn-ea"/>
              <a:cs typeface="+mn-cs"/>
            </a:rPr>
            <a:t>をご欄ください。</a:t>
          </a:r>
          <a:endParaRPr kumimoji="1" lang="en-US" altLang="ja-JP" sz="1100"/>
        </a:p>
      </xdr:txBody>
    </xdr:sp>
    <xdr:clientData/>
  </xdr:twoCellAnchor>
  <xdr:twoCellAnchor>
    <xdr:from>
      <xdr:col>0</xdr:col>
      <xdr:colOff>0</xdr:colOff>
      <xdr:row>29</xdr:row>
      <xdr:rowOff>173181</xdr:rowOff>
    </xdr:from>
    <xdr:to>
      <xdr:col>1</xdr:col>
      <xdr:colOff>2213525</xdr:colOff>
      <xdr:row>31</xdr:row>
      <xdr:rowOff>261230</xdr:rowOff>
    </xdr:to>
    <xdr:sp macro="" textlink="">
      <xdr:nvSpPr>
        <xdr:cNvPr id="7" name="角丸四角形吹き出し 6"/>
        <xdr:cNvSpPr/>
      </xdr:nvSpPr>
      <xdr:spPr>
        <a:xfrm>
          <a:off x="0" y="7212156"/>
          <a:ext cx="2480225" cy="850049"/>
        </a:xfrm>
        <a:prstGeom prst="wedgeRoundRectCallout">
          <a:avLst>
            <a:gd name="adj1" fmla="val 65717"/>
            <a:gd name="adj2" fmla="val -7815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①省エネ法報告値から</a:t>
          </a:r>
          <a:endParaRPr kumimoji="1" lang="en-US" altLang="ja-JP" sz="1050"/>
        </a:p>
        <a:p>
          <a:pPr algn="l"/>
          <a:r>
            <a:rPr kumimoji="1" lang="ja-JP" altLang="en-US" sz="1050"/>
            <a:t>②スコープ</a:t>
          </a:r>
          <a:r>
            <a:rPr kumimoji="1" lang="en-US" altLang="ja-JP" sz="1050"/>
            <a:t>1,2</a:t>
          </a:r>
          <a:r>
            <a:rPr kumimoji="1" lang="ja-JP" altLang="en-US" sz="1050"/>
            <a:t>排出量との重複分を</a:t>
          </a:r>
          <a:endParaRPr kumimoji="1" lang="en-US" altLang="ja-JP" sz="1050"/>
        </a:p>
        <a:p>
          <a:pPr algn="l"/>
          <a:r>
            <a:rPr kumimoji="1" lang="ja-JP" altLang="en-US" sz="1050"/>
            <a:t>差し引く。</a:t>
          </a:r>
          <a:endParaRPr kumimoji="1" lang="en-US" altLang="ja-JP"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885265</xdr:colOff>
      <xdr:row>0</xdr:row>
      <xdr:rowOff>34417</xdr:rowOff>
    </xdr:from>
    <xdr:to>
      <xdr:col>13</xdr:col>
      <xdr:colOff>11204</xdr:colOff>
      <xdr:row>4</xdr:row>
      <xdr:rowOff>156882</xdr:rowOff>
    </xdr:to>
    <xdr:sp macro="" textlink="">
      <xdr:nvSpPr>
        <xdr:cNvPr id="2" name="角丸四角形吹き出し 1"/>
        <xdr:cNvSpPr/>
      </xdr:nvSpPr>
      <xdr:spPr>
        <a:xfrm>
          <a:off x="14667940" y="34417"/>
          <a:ext cx="7184089" cy="808265"/>
        </a:xfrm>
        <a:prstGeom prst="wedgeRoundRectCallout">
          <a:avLst>
            <a:gd name="adj1" fmla="val -58817"/>
            <a:gd name="adj2" fmla="val 562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今回の算定で用いていない排出原単位のなかにも利用可能なものがございます。</a:t>
          </a:r>
          <a:endParaRPr kumimoji="1" lang="en-US" altLang="ja-JP" sz="1050"/>
        </a:p>
        <a:p>
          <a:pPr algn="l"/>
          <a:r>
            <a:rPr kumimoji="1" lang="ja-JP" altLang="en-US" sz="1050"/>
            <a:t>環境省</a:t>
          </a:r>
          <a:r>
            <a:rPr kumimoji="1" lang="en-US" altLang="ja-JP" sz="1050"/>
            <a:t>DB [a]</a:t>
          </a:r>
          <a:r>
            <a:rPr kumimoji="1" lang="ja-JP" altLang="en-US" sz="1050"/>
            <a:t>国内の排出原単位データベース、</a:t>
          </a:r>
          <a:r>
            <a:rPr kumimoji="1" lang="en-US" altLang="ja-JP" sz="1050"/>
            <a:t>[b]</a:t>
          </a:r>
          <a:r>
            <a:rPr kumimoji="1" lang="ja-JP" altLang="en-US" sz="1050"/>
            <a:t>海外の排出原単位データベースを参考に、データベースを利用される方ご自身が、そのデータベースの備えるデータの適合性や、品質等をご確認した上で、ご利用下さい。</a:t>
          </a:r>
          <a:endParaRPr kumimoji="1" lang="en-US" altLang="ja-JP" sz="1050"/>
        </a:p>
      </xdr:txBody>
    </xdr:sp>
    <xdr:clientData/>
  </xdr:twoCellAnchor>
  <xdr:twoCellAnchor>
    <xdr:from>
      <xdr:col>8</xdr:col>
      <xdr:colOff>930088</xdr:colOff>
      <xdr:row>111</xdr:row>
      <xdr:rowOff>22412</xdr:rowOff>
    </xdr:from>
    <xdr:to>
      <xdr:col>11</xdr:col>
      <xdr:colOff>1423147</xdr:colOff>
      <xdr:row>129</xdr:row>
      <xdr:rowOff>179293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176893</xdr:colOff>
      <xdr:row>89</xdr:row>
      <xdr:rowOff>112058</xdr:rowOff>
    </xdr:from>
    <xdr:to>
      <xdr:col>12</xdr:col>
      <xdr:colOff>4558393</xdr:colOff>
      <xdr:row>93</xdr:row>
      <xdr:rowOff>54429</xdr:rowOff>
    </xdr:to>
    <xdr:sp macro="" textlink="">
      <xdr:nvSpPr>
        <xdr:cNvPr id="4" name="角丸四角形吹き出し 3"/>
        <xdr:cNvSpPr/>
      </xdr:nvSpPr>
      <xdr:spPr>
        <a:xfrm>
          <a:off x="17007568" y="25934333"/>
          <a:ext cx="4381500" cy="894871"/>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算定事業者が株式保有する企業のスコープ</a:t>
          </a:r>
          <a:r>
            <a:rPr kumimoji="1" lang="en-US" altLang="ja-JP" sz="1100"/>
            <a:t>1,2</a:t>
          </a:r>
          <a:r>
            <a:rPr kumimoji="1" lang="ja-JP" altLang="en-US" sz="1100"/>
            <a:t>排出量は、</a:t>
          </a:r>
          <a:endParaRPr kumimoji="1" lang="en-US" altLang="ja-JP" sz="1100"/>
        </a:p>
        <a:p>
          <a:pPr algn="l"/>
          <a:r>
            <a:rPr kumimoji="1" lang="ja-JP" altLang="en-US" sz="1100"/>
            <a:t>一般に当該企業の</a:t>
          </a:r>
          <a:r>
            <a:rPr kumimoji="1" lang="en-US" altLang="ja-JP" sz="1100"/>
            <a:t>CSR</a:t>
          </a:r>
          <a:r>
            <a:rPr kumimoji="1" lang="ja-JP" altLang="en-US" sz="1100"/>
            <a:t>報告書、環境報告書等に掲載されてます。</a:t>
          </a:r>
          <a:endParaRPr kumimoji="1" lang="en-US" altLang="ja-JP" sz="1100"/>
        </a:p>
      </xdr:txBody>
    </xdr:sp>
    <xdr:clientData/>
  </xdr:twoCellAnchor>
  <xdr:twoCellAnchor>
    <xdr:from>
      <xdr:col>12</xdr:col>
      <xdr:colOff>0</xdr:colOff>
      <xdr:row>103</xdr:row>
      <xdr:rowOff>11206</xdr:rowOff>
    </xdr:from>
    <xdr:to>
      <xdr:col>12</xdr:col>
      <xdr:colOff>4816128</xdr:colOff>
      <xdr:row>106</xdr:row>
      <xdr:rowOff>24448</xdr:rowOff>
    </xdr:to>
    <xdr:sp macro="" textlink="">
      <xdr:nvSpPr>
        <xdr:cNvPr id="5" name="角丸四角形吹き出し 4"/>
        <xdr:cNvSpPr/>
      </xdr:nvSpPr>
      <xdr:spPr>
        <a:xfrm>
          <a:off x="16830675" y="29167231"/>
          <a:ext cx="4816128" cy="727617"/>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smtClean="0">
              <a:solidFill>
                <a:schemeClr val="lt1"/>
              </a:solidFill>
              <a:latin typeface="+mn-lt"/>
              <a:ea typeface="+mn-ea"/>
              <a:cs typeface="+mn-cs"/>
            </a:rPr>
            <a:t>「その他」について詳しくは、</a:t>
          </a:r>
          <a:r>
            <a:rPr lang="en-US" altLang="ja-JP" sz="1100" b="0" i="0" u="none" strike="noStrike" baseline="0" smtClean="0">
              <a:solidFill>
                <a:schemeClr val="lt1"/>
              </a:solidFill>
              <a:latin typeface="+mn-lt"/>
              <a:ea typeface="+mn-ea"/>
              <a:cs typeface="+mn-cs"/>
            </a:rPr>
            <a:t>Q&amp;A</a:t>
          </a:r>
          <a:r>
            <a:rPr lang="ja-JP" altLang="en-US" sz="1100" b="0" i="0" u="none" strike="noStrike" baseline="0" smtClean="0">
              <a:solidFill>
                <a:schemeClr val="lt1"/>
              </a:solidFill>
              <a:latin typeface="+mn-lt"/>
              <a:ea typeface="+mn-ea"/>
              <a:cs typeface="+mn-cs"/>
            </a:rPr>
            <a:t>の</a:t>
          </a:r>
          <a:r>
            <a:rPr lang="en-US" altLang="ja-JP" sz="1100" b="0" i="0" u="none" strike="noStrike" baseline="0" smtClean="0">
              <a:solidFill>
                <a:schemeClr val="lt1"/>
              </a:solidFill>
              <a:latin typeface="+mn-lt"/>
              <a:ea typeface="+mn-ea"/>
              <a:cs typeface="+mn-cs"/>
            </a:rPr>
            <a:t>P44</a:t>
          </a:r>
          <a:r>
            <a:rPr lang="ja-JP" altLang="en-US" sz="1100" b="0" i="0" u="none" strike="noStrike" baseline="0" smtClean="0">
              <a:solidFill>
                <a:schemeClr val="lt1"/>
              </a:solidFill>
              <a:latin typeface="+mn-lt"/>
              <a:ea typeface="+mn-ea"/>
              <a:cs typeface="+mn-cs"/>
            </a:rPr>
            <a:t>や参考書</a:t>
          </a:r>
          <a:r>
            <a:rPr lang="en-US" altLang="ja-JP" sz="1100" b="0" i="0" u="none" strike="noStrike" baseline="0" smtClean="0">
              <a:solidFill>
                <a:schemeClr val="lt1"/>
              </a:solidFill>
              <a:latin typeface="+mn-lt"/>
              <a:ea typeface="+mn-ea"/>
              <a:cs typeface="+mn-cs"/>
            </a:rPr>
            <a:t>P40-41</a:t>
          </a:r>
          <a:r>
            <a:rPr lang="ja-JP" altLang="en-US" sz="1100" b="0" i="0" u="none" strike="noStrike" baseline="0" smtClean="0">
              <a:solidFill>
                <a:schemeClr val="lt1"/>
              </a:solidFill>
              <a:latin typeface="+mn-lt"/>
              <a:ea typeface="+mn-ea"/>
              <a:cs typeface="+mn-cs"/>
            </a:rPr>
            <a:t>をご欄ください。</a:t>
          </a:r>
          <a:endParaRPr kumimoji="1" lang="en-US" altLang="ja-JP" sz="1100"/>
        </a:p>
      </xdr:txBody>
    </xdr:sp>
    <xdr:clientData/>
  </xdr:twoCellAnchor>
  <xdr:twoCellAnchor>
    <xdr:from>
      <xdr:col>13</xdr:col>
      <xdr:colOff>291352</xdr:colOff>
      <xdr:row>15</xdr:row>
      <xdr:rowOff>224119</xdr:rowOff>
    </xdr:from>
    <xdr:to>
      <xdr:col>19</xdr:col>
      <xdr:colOff>626728</xdr:colOff>
      <xdr:row>22</xdr:row>
      <xdr:rowOff>537882</xdr:rowOff>
    </xdr:to>
    <xdr:sp macro="" textlink="">
      <xdr:nvSpPr>
        <xdr:cNvPr id="6" name="角丸四角形吹き出し 5"/>
        <xdr:cNvSpPr/>
      </xdr:nvSpPr>
      <xdr:spPr>
        <a:xfrm>
          <a:off x="22132177" y="3500719"/>
          <a:ext cx="4450176" cy="2113988"/>
        </a:xfrm>
        <a:prstGeom prst="wedgeRoundRectCallout">
          <a:avLst>
            <a:gd name="adj1" fmla="val -59572"/>
            <a:gd name="adj2" fmla="val 452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活動量として金額しか把握していないことから産業連関表ベースの金額ベースの排出原単位を利用する事業者は多い。一方で、購入した物品の重量や数量等の情報を把握しているにも関わらず、対応する適切な排出原単位が無いことから、</a:t>
          </a:r>
          <a:r>
            <a:rPr kumimoji="1" lang="ja-JP" altLang="ja-JP" sz="1100">
              <a:solidFill>
                <a:schemeClr val="lt1"/>
              </a:solidFill>
              <a:effectLst/>
              <a:latin typeface="+mn-lt"/>
              <a:ea typeface="+mn-ea"/>
              <a:cs typeface="+mn-cs"/>
            </a:rPr>
            <a:t>産業連関表ベースの金額ベースの排出原単位</a:t>
          </a:r>
          <a:r>
            <a:rPr kumimoji="1" lang="ja-JP" altLang="en-US" sz="1100">
              <a:solidFill>
                <a:schemeClr val="lt1"/>
              </a:solidFill>
              <a:effectLst/>
              <a:latin typeface="+mn-lt"/>
              <a:ea typeface="+mn-ea"/>
              <a:cs typeface="+mn-cs"/>
            </a:rPr>
            <a:t>を適用することも有り得る。</a:t>
          </a:r>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なお、業界団体等が</a:t>
          </a:r>
          <a:r>
            <a:rPr kumimoji="1" lang="en-US" altLang="ja-JP" sz="1100">
              <a:solidFill>
                <a:schemeClr val="lt1"/>
              </a:solidFill>
              <a:effectLst/>
              <a:latin typeface="+mn-lt"/>
              <a:ea typeface="+mn-ea"/>
              <a:cs typeface="+mn-cs"/>
            </a:rPr>
            <a:t>LCA</a:t>
          </a:r>
          <a:r>
            <a:rPr kumimoji="1" lang="ja-JP" altLang="en-US" sz="1100">
              <a:solidFill>
                <a:schemeClr val="lt1"/>
              </a:solidFill>
              <a:effectLst/>
              <a:latin typeface="+mn-lt"/>
              <a:ea typeface="+mn-ea"/>
              <a:cs typeface="+mn-cs"/>
            </a:rPr>
            <a:t>を検討・公開している場合もあるため、適切な排出原単位を検討する際には、データベースだけではなく業界団体の公開情報等を確認すると良い。</a:t>
          </a:r>
          <a:endParaRPr kumimoji="1" lang="en-US" altLang="ja-JP" sz="1050"/>
        </a:p>
      </xdr:txBody>
    </xdr:sp>
    <xdr:clientData/>
  </xdr:twoCellAnchor>
  <xdr:twoCellAnchor>
    <xdr:from>
      <xdr:col>0</xdr:col>
      <xdr:colOff>0</xdr:colOff>
      <xdr:row>46</xdr:row>
      <xdr:rowOff>75237</xdr:rowOff>
    </xdr:from>
    <xdr:to>
      <xdr:col>1</xdr:col>
      <xdr:colOff>2204357</xdr:colOff>
      <xdr:row>48</xdr:row>
      <xdr:rowOff>163286</xdr:rowOff>
    </xdr:to>
    <xdr:sp macro="" textlink="">
      <xdr:nvSpPr>
        <xdr:cNvPr id="7" name="角丸四角形吹き出し 6"/>
        <xdr:cNvSpPr/>
      </xdr:nvSpPr>
      <xdr:spPr>
        <a:xfrm>
          <a:off x="0" y="11810037"/>
          <a:ext cx="2471057" cy="1231049"/>
        </a:xfrm>
        <a:prstGeom prst="wedgeRoundRectCallout">
          <a:avLst>
            <a:gd name="adj1" fmla="val 65717"/>
            <a:gd name="adj2" fmla="val -7815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①省エネ法報告値から</a:t>
          </a:r>
          <a:endParaRPr kumimoji="1" lang="en-US" altLang="ja-JP" sz="1050"/>
        </a:p>
        <a:p>
          <a:pPr algn="l"/>
          <a:r>
            <a:rPr kumimoji="1" lang="ja-JP" altLang="en-US" sz="1050"/>
            <a:t>②スコープ</a:t>
          </a:r>
          <a:r>
            <a:rPr kumimoji="1" lang="en-US" altLang="ja-JP" sz="1050"/>
            <a:t>1,2</a:t>
          </a:r>
          <a:r>
            <a:rPr kumimoji="1" lang="ja-JP" altLang="en-US" sz="1050"/>
            <a:t>排出量との重複分を</a:t>
          </a:r>
          <a:endParaRPr kumimoji="1" lang="en-US" altLang="ja-JP" sz="1050"/>
        </a:p>
        <a:p>
          <a:pPr algn="l"/>
          <a:r>
            <a:rPr kumimoji="1" lang="ja-JP" altLang="en-US" sz="1050"/>
            <a:t>差し引く。</a:t>
          </a:r>
          <a:endParaRPr kumimoji="1" lang="en-US" altLang="ja-JP" sz="1050"/>
        </a:p>
      </xdr:txBody>
    </xdr:sp>
    <xdr:clientData/>
  </xdr:twoCellAnchor>
  <xdr:twoCellAnchor>
    <xdr:from>
      <xdr:col>13</xdr:col>
      <xdr:colOff>176894</xdr:colOff>
      <xdr:row>83</xdr:row>
      <xdr:rowOff>55226</xdr:rowOff>
    </xdr:from>
    <xdr:to>
      <xdr:col>19</xdr:col>
      <xdr:colOff>512270</xdr:colOff>
      <xdr:row>94</xdr:row>
      <xdr:rowOff>224113</xdr:rowOff>
    </xdr:to>
    <xdr:sp macro="" textlink="">
      <xdr:nvSpPr>
        <xdr:cNvPr id="8" name="角丸四角形吹き出し 7"/>
        <xdr:cNvSpPr/>
      </xdr:nvSpPr>
      <xdr:spPr>
        <a:xfrm>
          <a:off x="22017719" y="24305876"/>
          <a:ext cx="4450176" cy="2931137"/>
        </a:xfrm>
        <a:prstGeom prst="wedgeRoundRectCallout">
          <a:avLst>
            <a:gd name="adj1" fmla="val -60188"/>
            <a:gd name="adj2" fmla="val -3317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lt1"/>
              </a:solidFill>
              <a:effectLst/>
              <a:latin typeface="+mn-lt"/>
              <a:ea typeface="+mn-ea"/>
              <a:cs typeface="+mn-cs"/>
            </a:rPr>
            <a:t>顧客に販売した製品（カテゴリ </a:t>
          </a:r>
          <a:r>
            <a:rPr kumimoji="1" lang="en-US" altLang="ja-JP" sz="1100">
              <a:solidFill>
                <a:schemeClr val="lt1"/>
              </a:solidFill>
              <a:effectLst/>
              <a:latin typeface="+mn-lt"/>
              <a:ea typeface="+mn-ea"/>
              <a:cs typeface="+mn-cs"/>
            </a:rPr>
            <a:t>11 </a:t>
          </a:r>
          <a:r>
            <a:rPr kumimoji="1" lang="ja-JP" altLang="en-US" sz="1100">
              <a:solidFill>
                <a:schemeClr val="lt1"/>
              </a:solidFill>
              <a:effectLst/>
              <a:latin typeface="+mn-lt"/>
              <a:ea typeface="+mn-ea"/>
              <a:cs typeface="+mn-cs"/>
            </a:rPr>
            <a:t>として算定）と顧客にリースした製品（カテゴリ </a:t>
          </a:r>
          <a:r>
            <a:rPr kumimoji="1" lang="en-US" altLang="ja-JP" sz="1100">
              <a:solidFill>
                <a:schemeClr val="lt1"/>
              </a:solidFill>
              <a:effectLst/>
              <a:latin typeface="+mn-lt"/>
              <a:ea typeface="+mn-ea"/>
              <a:cs typeface="+mn-cs"/>
            </a:rPr>
            <a:t>13 </a:t>
          </a:r>
          <a:r>
            <a:rPr kumimoji="1" lang="ja-JP" altLang="en-US" sz="1100">
              <a:solidFill>
                <a:schemeClr val="lt1"/>
              </a:solidFill>
              <a:effectLst/>
              <a:latin typeface="+mn-lt"/>
              <a:ea typeface="+mn-ea"/>
              <a:cs typeface="+mn-cs"/>
            </a:rPr>
            <a:t>として算定）を区別することに意味がない場合は、このため顧客にリースした製品について顧客に販売した製品と同様の方法で算定することができます。</a:t>
          </a:r>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r>
            <a:rPr kumimoji="1" lang="ja-JP" altLang="ja-JP" sz="1100">
              <a:solidFill>
                <a:schemeClr val="lt1"/>
              </a:solidFill>
              <a:effectLst/>
              <a:latin typeface="+mn-lt"/>
              <a:ea typeface="+mn-ea"/>
              <a:cs typeface="+mn-cs"/>
            </a:rPr>
            <a:t>レンタカーなどの形式で自グループ会社から他者に貸し出している自家用車も存在する。ただし、利用方法・実態などについて、販売した場合とリースした場合による</a:t>
          </a:r>
          <a:r>
            <a:rPr kumimoji="1" lang="ja-JP" altLang="en-US" sz="1100">
              <a:solidFill>
                <a:schemeClr val="lt1"/>
              </a:solidFill>
              <a:effectLst/>
              <a:latin typeface="+mn-lt"/>
              <a:ea typeface="+mn-ea"/>
              <a:cs typeface="+mn-cs"/>
            </a:rPr>
            <a:t>大きな</a:t>
          </a:r>
          <a:r>
            <a:rPr kumimoji="1" lang="ja-JP" altLang="ja-JP" sz="1100">
              <a:solidFill>
                <a:schemeClr val="lt1"/>
              </a:solidFill>
              <a:effectLst/>
              <a:latin typeface="+mn-lt"/>
              <a:ea typeface="+mn-ea"/>
              <a:cs typeface="+mn-cs"/>
            </a:rPr>
            <a:t>違いは無い。このことから、カテゴリ</a:t>
          </a:r>
          <a:r>
            <a:rPr kumimoji="1" lang="en-US" altLang="ja-JP" sz="1100">
              <a:solidFill>
                <a:schemeClr val="lt1"/>
              </a:solidFill>
              <a:effectLst/>
              <a:latin typeface="+mn-lt"/>
              <a:ea typeface="+mn-ea"/>
              <a:cs typeface="+mn-cs"/>
            </a:rPr>
            <a:t>13</a:t>
          </a:r>
          <a:r>
            <a:rPr kumimoji="1" lang="ja-JP" altLang="en-US" sz="1100">
              <a:solidFill>
                <a:schemeClr val="lt1"/>
              </a:solidFill>
              <a:effectLst/>
              <a:latin typeface="+mn-lt"/>
              <a:ea typeface="+mn-ea"/>
              <a:cs typeface="+mn-cs"/>
            </a:rPr>
            <a:t>を区別して算定する意味が無いと判断し</a:t>
          </a:r>
          <a:r>
            <a:rPr kumimoji="1" lang="ja-JP" altLang="ja-JP" sz="1100">
              <a:solidFill>
                <a:schemeClr val="lt1"/>
              </a:solidFill>
              <a:effectLst/>
              <a:latin typeface="+mn-lt"/>
              <a:ea typeface="+mn-ea"/>
              <a:cs typeface="+mn-cs"/>
            </a:rPr>
            <a:t>、カテゴリ</a:t>
          </a:r>
          <a:r>
            <a:rPr kumimoji="1" lang="en-US" altLang="ja-JP" sz="1100">
              <a:solidFill>
                <a:schemeClr val="lt1"/>
              </a:solidFill>
              <a:effectLst/>
              <a:latin typeface="+mn-lt"/>
              <a:ea typeface="+mn-ea"/>
              <a:cs typeface="+mn-cs"/>
            </a:rPr>
            <a:t>11</a:t>
          </a:r>
          <a:r>
            <a:rPr kumimoji="1" lang="ja-JP" altLang="ja-JP" sz="1100">
              <a:solidFill>
                <a:schemeClr val="lt1"/>
              </a:solidFill>
              <a:effectLst/>
              <a:latin typeface="+mn-lt"/>
              <a:ea typeface="+mn-ea"/>
              <a:cs typeface="+mn-cs"/>
            </a:rPr>
            <a:t>でまとめて計上することとした。</a:t>
          </a:r>
          <a:endParaRPr kumimoji="1" lang="en-US" altLang="ja-JP" sz="1100">
            <a:solidFill>
              <a:schemeClr val="lt1"/>
            </a:solidFill>
            <a:effectLst/>
            <a:latin typeface="+mn-lt"/>
            <a:ea typeface="+mn-ea"/>
            <a:cs typeface="+mn-cs"/>
          </a:endParaRPr>
        </a:p>
      </xdr:txBody>
    </xdr:sp>
    <xdr:clientData/>
  </xdr:twoCellAnchor>
  <xdr:twoCellAnchor>
    <xdr:from>
      <xdr:col>13</xdr:col>
      <xdr:colOff>221238</xdr:colOff>
      <xdr:row>77</xdr:row>
      <xdr:rowOff>122464</xdr:rowOff>
    </xdr:from>
    <xdr:to>
      <xdr:col>19</xdr:col>
      <xdr:colOff>556614</xdr:colOff>
      <xdr:row>82</xdr:row>
      <xdr:rowOff>163601</xdr:rowOff>
    </xdr:to>
    <xdr:sp macro="" textlink="">
      <xdr:nvSpPr>
        <xdr:cNvPr id="9" name="角丸四角形吹き出し 8"/>
        <xdr:cNvSpPr/>
      </xdr:nvSpPr>
      <xdr:spPr>
        <a:xfrm>
          <a:off x="22062063" y="22020439"/>
          <a:ext cx="4450176" cy="2155687"/>
        </a:xfrm>
        <a:prstGeom prst="wedgeRoundRectCallout">
          <a:avLst>
            <a:gd name="adj1" fmla="val -62652"/>
            <a:gd name="adj2" fmla="val 5595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lt1"/>
              </a:solidFill>
              <a:effectLst/>
              <a:latin typeface="+mn-lt"/>
              <a:ea typeface="+mn-ea"/>
              <a:cs typeface="+mn-cs"/>
            </a:rPr>
            <a:t>廃棄物のリサイクル処理の排出原単位のなかには、ゼロのものも存在する。これは、廃棄物のリサイクル処理においてエネルギー消費がゼロというわけでは無い。</a:t>
          </a:r>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r>
            <a:rPr kumimoji="1" lang="ja-JP" altLang="en-US" sz="1100">
              <a:solidFill>
                <a:schemeClr val="lt1"/>
              </a:solidFill>
              <a:effectLst/>
              <a:latin typeface="+mn-lt"/>
              <a:ea typeface="+mn-ea"/>
              <a:cs typeface="+mn-cs"/>
            </a:rPr>
            <a:t>リサイクル処理は、“廃棄物の処理”と“再生材の製造”の</a:t>
          </a:r>
          <a:r>
            <a:rPr kumimoji="1" lang="en-US" altLang="ja-JP" sz="1100">
              <a:solidFill>
                <a:schemeClr val="lt1"/>
              </a:solidFill>
              <a:effectLst/>
              <a:latin typeface="+mn-lt"/>
              <a:ea typeface="+mn-ea"/>
              <a:cs typeface="+mn-cs"/>
            </a:rPr>
            <a:t>2</a:t>
          </a:r>
          <a:r>
            <a:rPr kumimoji="1" lang="ja-JP" altLang="en-US" sz="1100">
              <a:solidFill>
                <a:schemeClr val="lt1"/>
              </a:solidFill>
              <a:effectLst/>
              <a:latin typeface="+mn-lt"/>
              <a:ea typeface="+mn-ea"/>
              <a:cs typeface="+mn-cs"/>
            </a:rPr>
            <a:t>つの意味を持っており、リサイクル処理に伴い生じる排出量もこの</a:t>
          </a:r>
          <a:r>
            <a:rPr kumimoji="1" lang="en-US" altLang="ja-JP" sz="1100">
              <a:solidFill>
                <a:schemeClr val="lt1"/>
              </a:solidFill>
              <a:effectLst/>
              <a:latin typeface="+mn-lt"/>
              <a:ea typeface="+mn-ea"/>
              <a:cs typeface="+mn-cs"/>
            </a:rPr>
            <a:t>2</a:t>
          </a:r>
          <a:r>
            <a:rPr kumimoji="1" lang="ja-JP" altLang="en-US" sz="1100">
              <a:solidFill>
                <a:schemeClr val="lt1"/>
              </a:solidFill>
              <a:effectLst/>
              <a:latin typeface="+mn-lt"/>
              <a:ea typeface="+mn-ea"/>
              <a:cs typeface="+mn-cs"/>
            </a:rPr>
            <a:t>つに配分される。</a:t>
          </a:r>
          <a:r>
            <a:rPr kumimoji="1" lang="ja-JP" altLang="ja-JP" sz="1100">
              <a:solidFill>
                <a:schemeClr val="lt1"/>
              </a:solidFill>
              <a:effectLst/>
              <a:latin typeface="+mn-lt"/>
              <a:ea typeface="+mn-ea"/>
              <a:cs typeface="+mn-cs"/>
            </a:rPr>
            <a:t>廃棄物のリサイクル処理の排出原単位</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ゼロのもの</a:t>
          </a:r>
          <a:r>
            <a:rPr kumimoji="1" lang="ja-JP" altLang="en-US" sz="1100">
              <a:solidFill>
                <a:schemeClr val="lt1"/>
              </a:solidFill>
              <a:effectLst/>
              <a:latin typeface="+mn-lt"/>
              <a:ea typeface="+mn-ea"/>
              <a:cs typeface="+mn-cs"/>
            </a:rPr>
            <a:t>は、“再生材の製造”側に排出量の責任を負わせている。</a:t>
          </a:r>
          <a:endParaRPr kumimoji="1" lang="en-US" altLang="ja-JP" sz="1100">
            <a:solidFill>
              <a:schemeClr val="lt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280948</xdr:colOff>
      <xdr:row>51</xdr:row>
      <xdr:rowOff>33618</xdr:rowOff>
    </xdr:from>
    <xdr:to>
      <xdr:col>19</xdr:col>
      <xdr:colOff>616324</xdr:colOff>
      <xdr:row>59</xdr:row>
      <xdr:rowOff>4452</xdr:rowOff>
    </xdr:to>
    <xdr:sp macro="" textlink="">
      <xdr:nvSpPr>
        <xdr:cNvPr id="2" name="角丸四角形吹き出し 1"/>
        <xdr:cNvSpPr/>
      </xdr:nvSpPr>
      <xdr:spPr>
        <a:xfrm>
          <a:off x="9196348" y="8777568"/>
          <a:ext cx="4450176" cy="1342434"/>
        </a:xfrm>
        <a:prstGeom prst="wedgeRoundRectCallout">
          <a:avLst>
            <a:gd name="adj1" fmla="val -59572"/>
            <a:gd name="adj2" fmla="val 452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　食品会社のカテゴリ</a:t>
          </a:r>
          <a:r>
            <a:rPr kumimoji="1" lang="en-US" altLang="ja-JP" sz="1050"/>
            <a:t>10</a:t>
          </a:r>
          <a:r>
            <a:rPr kumimoji="1" lang="ja-JP" altLang="en-US" sz="1050"/>
            <a:t>は、</a:t>
          </a:r>
          <a:r>
            <a:rPr kumimoji="1" lang="en-US" altLang="ja-JP" sz="1050"/>
            <a:t>B</a:t>
          </a:r>
          <a:r>
            <a:rPr kumimoji="1" lang="en-US" altLang="ja-JP" sz="1050" baseline="0"/>
            <a:t> to B </a:t>
          </a:r>
          <a:r>
            <a:rPr kumimoji="1" lang="ja-JP" altLang="en-US" sz="1050" baseline="0"/>
            <a:t>製品等において該当し得ます。例えば、一般消費者向けのレトルトカレーと業務用のカレーパックを製造している場合、前者はカテゴリ</a:t>
          </a:r>
          <a:r>
            <a:rPr kumimoji="1" lang="en-US" altLang="ja-JP" sz="1050" baseline="0"/>
            <a:t>11</a:t>
          </a:r>
          <a:r>
            <a:rPr kumimoji="1" lang="ja-JP" altLang="en-US" sz="1050" baseline="0"/>
            <a:t>、後者はカテゴリ</a:t>
          </a:r>
          <a:r>
            <a:rPr kumimoji="1" lang="en-US" altLang="ja-JP" sz="1050" baseline="0"/>
            <a:t>10</a:t>
          </a:r>
          <a:r>
            <a:rPr kumimoji="1" lang="ja-JP" altLang="en-US" sz="1050" baseline="0"/>
            <a:t>に</a:t>
          </a:r>
          <a:r>
            <a:rPr kumimoji="1" lang="ja-JP" altLang="ja-JP" sz="1050" baseline="0">
              <a:solidFill>
                <a:schemeClr val="lt1"/>
              </a:solidFill>
              <a:effectLst/>
              <a:latin typeface="+mn-lt"/>
              <a:ea typeface="+mn-ea"/>
              <a:cs typeface="+mn-cs"/>
            </a:rPr>
            <a:t>調理時の排出量が、</a:t>
          </a:r>
          <a:r>
            <a:rPr kumimoji="1" lang="ja-JP" altLang="en-US" sz="1050" baseline="0"/>
            <a:t>該当し得ます。</a:t>
          </a:r>
          <a:endParaRPr kumimoji="1" lang="en-US" altLang="ja-JP" sz="1050" baseline="0"/>
        </a:p>
        <a:p>
          <a:pPr algn="l"/>
          <a:r>
            <a:rPr kumimoji="1" lang="ja-JP" altLang="en-US" sz="1050" baseline="0"/>
            <a:t>　排出量は、調理方法通りに調理した場合のエネルギー消費量から算定する方法が考えられます。例えば、１個当たりの調理方法が「電子レンジ</a:t>
          </a:r>
          <a:r>
            <a:rPr kumimoji="1" lang="en-US" altLang="ja-JP" sz="1050" baseline="0"/>
            <a:t>600W</a:t>
          </a:r>
          <a:r>
            <a:rPr kumimoji="1" lang="ja-JP" altLang="en-US" sz="1050" baseline="0"/>
            <a:t>で</a:t>
          </a:r>
          <a:r>
            <a:rPr kumimoji="1" lang="en-US" altLang="ja-JP" sz="1050" baseline="0"/>
            <a:t>30</a:t>
          </a:r>
          <a:r>
            <a:rPr kumimoji="1" lang="ja-JP" altLang="en-US" sz="1050" baseline="0"/>
            <a:t>秒加熱」であれば、</a:t>
          </a:r>
          <a:endParaRPr kumimoji="1" lang="en-US" altLang="ja-JP" sz="1050" baseline="0"/>
        </a:p>
        <a:p>
          <a:pPr algn="l"/>
          <a:r>
            <a:rPr kumimoji="1" lang="en-US" altLang="ja-JP" sz="1050" baseline="0"/>
            <a:t>600/1000 [kW] × 30/3600 [h]</a:t>
          </a:r>
          <a:r>
            <a:rPr kumimoji="1" lang="ja-JP" altLang="en-US" sz="1050" baseline="0"/>
            <a:t>＝</a:t>
          </a:r>
          <a:r>
            <a:rPr kumimoji="1" lang="en-US" altLang="ja-JP" sz="1050" baseline="0"/>
            <a:t>0.05 [kWh] </a:t>
          </a:r>
          <a:r>
            <a:rPr kumimoji="1" lang="ja-JP" altLang="en-US" sz="1050" baseline="0"/>
            <a:t>の電力を消費します。</a:t>
          </a:r>
          <a:endParaRPr kumimoji="1" lang="en-US" altLang="ja-JP" sz="1050" baseline="0"/>
        </a:p>
        <a:p>
          <a:pPr algn="l"/>
          <a:r>
            <a:rPr kumimoji="1" lang="ja-JP" altLang="en-US" sz="1050" baseline="0"/>
            <a:t>この調理時電力消費量に、出荷数、電力の排出原単位</a:t>
          </a:r>
          <a:r>
            <a:rPr kumimoji="1" lang="en-US" altLang="ja-JP" sz="1050" baseline="0"/>
            <a:t>[t-CO2/kWh]</a:t>
          </a:r>
          <a:r>
            <a:rPr kumimoji="1" lang="ja-JP" altLang="en-US" sz="1050" baseline="0"/>
            <a:t>を乗じれば、</a:t>
          </a:r>
          <a:r>
            <a:rPr kumimoji="1" lang="ja-JP" altLang="en-US" sz="1050"/>
            <a:t>該当活動に由来する排出量を算定できます。</a:t>
          </a:r>
          <a:endParaRPr kumimoji="1" lang="en-US" altLang="ja-JP" sz="1050"/>
        </a:p>
      </xdr:txBody>
    </xdr:sp>
    <xdr:clientData/>
  </xdr:twoCellAnchor>
  <xdr:twoCellAnchor>
    <xdr:from>
      <xdr:col>11</xdr:col>
      <xdr:colOff>885265</xdr:colOff>
      <xdr:row>0</xdr:row>
      <xdr:rowOff>34417</xdr:rowOff>
    </xdr:from>
    <xdr:to>
      <xdr:col>13</xdr:col>
      <xdr:colOff>11204</xdr:colOff>
      <xdr:row>4</xdr:row>
      <xdr:rowOff>156882</xdr:rowOff>
    </xdr:to>
    <xdr:sp macro="" textlink="">
      <xdr:nvSpPr>
        <xdr:cNvPr id="3" name="角丸四角形吹き出し 2"/>
        <xdr:cNvSpPr/>
      </xdr:nvSpPr>
      <xdr:spPr>
        <a:xfrm>
          <a:off x="8229040" y="34417"/>
          <a:ext cx="697564" cy="808265"/>
        </a:xfrm>
        <a:prstGeom prst="wedgeRoundRectCallout">
          <a:avLst>
            <a:gd name="adj1" fmla="val -58817"/>
            <a:gd name="adj2" fmla="val 562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今回の算定で用いていない排出原単位のなかにも利用可能なものがございます。</a:t>
          </a:r>
          <a:endParaRPr kumimoji="1" lang="en-US" altLang="ja-JP" sz="1050"/>
        </a:p>
        <a:p>
          <a:pPr algn="l"/>
          <a:r>
            <a:rPr kumimoji="1" lang="ja-JP" altLang="en-US" sz="1050"/>
            <a:t>環境省</a:t>
          </a:r>
          <a:r>
            <a:rPr kumimoji="1" lang="en-US" altLang="ja-JP" sz="1050"/>
            <a:t>DB [a]</a:t>
          </a:r>
          <a:r>
            <a:rPr kumimoji="1" lang="ja-JP" altLang="en-US" sz="1050"/>
            <a:t>国内の排出原単位データベース、</a:t>
          </a:r>
          <a:r>
            <a:rPr kumimoji="1" lang="en-US" altLang="ja-JP" sz="1050"/>
            <a:t>[b]</a:t>
          </a:r>
          <a:r>
            <a:rPr kumimoji="1" lang="ja-JP" altLang="en-US" sz="1050"/>
            <a:t>海外の排出原単位データベースを参考に、データベースを利用される方ご自身が、そのデータベースの備えるデータの適合性や、品質等をご確認した上で、ご利用下さい。</a:t>
          </a:r>
          <a:endParaRPr kumimoji="1" lang="en-US" altLang="ja-JP" sz="1050"/>
        </a:p>
      </xdr:txBody>
    </xdr:sp>
    <xdr:clientData/>
  </xdr:twoCellAnchor>
  <xdr:twoCellAnchor>
    <xdr:from>
      <xdr:col>8</xdr:col>
      <xdr:colOff>930088</xdr:colOff>
      <xdr:row>100</xdr:row>
      <xdr:rowOff>22412</xdr:rowOff>
    </xdr:from>
    <xdr:to>
      <xdr:col>11</xdr:col>
      <xdr:colOff>1423147</xdr:colOff>
      <xdr:row>118</xdr:row>
      <xdr:rowOff>179293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176892</xdr:colOff>
      <xdr:row>78</xdr:row>
      <xdr:rowOff>112058</xdr:rowOff>
    </xdr:from>
    <xdr:to>
      <xdr:col>12</xdr:col>
      <xdr:colOff>4941793</xdr:colOff>
      <xdr:row>81</xdr:row>
      <xdr:rowOff>145676</xdr:rowOff>
    </xdr:to>
    <xdr:sp macro="" textlink="">
      <xdr:nvSpPr>
        <xdr:cNvPr id="5" name="角丸四角形吹き出し 4"/>
        <xdr:cNvSpPr/>
      </xdr:nvSpPr>
      <xdr:spPr>
        <a:xfrm>
          <a:off x="8406492" y="13485158"/>
          <a:ext cx="507226" cy="547968"/>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算定事業者が株式保有する企業のスコープ</a:t>
          </a:r>
          <a:r>
            <a:rPr kumimoji="1" lang="en-US" altLang="ja-JP" sz="1100"/>
            <a:t>1,2</a:t>
          </a:r>
          <a:r>
            <a:rPr kumimoji="1" lang="ja-JP" altLang="en-US" sz="1100"/>
            <a:t>排出量は、</a:t>
          </a:r>
          <a:endParaRPr kumimoji="1" lang="en-US" altLang="ja-JP" sz="1100"/>
        </a:p>
        <a:p>
          <a:pPr algn="l"/>
          <a:r>
            <a:rPr kumimoji="1" lang="ja-JP" altLang="en-US" sz="1100"/>
            <a:t>一般に当該企業の</a:t>
          </a:r>
          <a:r>
            <a:rPr kumimoji="1" lang="en-US" altLang="ja-JP" sz="1100"/>
            <a:t>CSR</a:t>
          </a:r>
          <a:r>
            <a:rPr kumimoji="1" lang="ja-JP" altLang="en-US" sz="1100"/>
            <a:t>報告書、環境報告書等に掲載されてます。</a:t>
          </a:r>
          <a:endParaRPr kumimoji="1" lang="en-US" altLang="ja-JP" sz="1100"/>
        </a:p>
      </xdr:txBody>
    </xdr:sp>
    <xdr:clientData/>
  </xdr:twoCellAnchor>
  <xdr:twoCellAnchor>
    <xdr:from>
      <xdr:col>12</xdr:col>
      <xdr:colOff>0</xdr:colOff>
      <xdr:row>92</xdr:row>
      <xdr:rowOff>11206</xdr:rowOff>
    </xdr:from>
    <xdr:to>
      <xdr:col>12</xdr:col>
      <xdr:colOff>4816128</xdr:colOff>
      <xdr:row>95</xdr:row>
      <xdr:rowOff>24448</xdr:rowOff>
    </xdr:to>
    <xdr:sp macro="" textlink="">
      <xdr:nvSpPr>
        <xdr:cNvPr id="6" name="角丸四角形吹き出し 5"/>
        <xdr:cNvSpPr/>
      </xdr:nvSpPr>
      <xdr:spPr>
        <a:xfrm>
          <a:off x="8229600" y="15784606"/>
          <a:ext cx="682278" cy="527592"/>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smtClean="0">
              <a:solidFill>
                <a:schemeClr val="lt1"/>
              </a:solidFill>
              <a:latin typeface="+mn-lt"/>
              <a:ea typeface="+mn-ea"/>
              <a:cs typeface="+mn-cs"/>
            </a:rPr>
            <a:t>「その他」について詳しくは、</a:t>
          </a:r>
          <a:r>
            <a:rPr lang="en-US" altLang="ja-JP" sz="1100" b="0" i="0" u="none" strike="noStrike" baseline="0" smtClean="0">
              <a:solidFill>
                <a:schemeClr val="lt1"/>
              </a:solidFill>
              <a:latin typeface="+mn-lt"/>
              <a:ea typeface="+mn-ea"/>
              <a:cs typeface="+mn-cs"/>
            </a:rPr>
            <a:t>Q&amp;A</a:t>
          </a:r>
          <a:r>
            <a:rPr lang="ja-JP" altLang="en-US" sz="1100" b="0" i="0" u="none" strike="noStrike" baseline="0" smtClean="0">
              <a:solidFill>
                <a:schemeClr val="lt1"/>
              </a:solidFill>
              <a:latin typeface="+mn-lt"/>
              <a:ea typeface="+mn-ea"/>
              <a:cs typeface="+mn-cs"/>
            </a:rPr>
            <a:t>の</a:t>
          </a:r>
          <a:r>
            <a:rPr lang="en-US" altLang="ja-JP" sz="1100" b="0" i="0" u="none" strike="noStrike" baseline="0" smtClean="0">
              <a:solidFill>
                <a:schemeClr val="lt1"/>
              </a:solidFill>
              <a:latin typeface="+mn-lt"/>
              <a:ea typeface="+mn-ea"/>
              <a:cs typeface="+mn-cs"/>
            </a:rPr>
            <a:t>P44</a:t>
          </a:r>
          <a:r>
            <a:rPr lang="ja-JP" altLang="en-US" sz="1100" b="0" i="0" u="none" strike="noStrike" baseline="0" smtClean="0">
              <a:solidFill>
                <a:schemeClr val="lt1"/>
              </a:solidFill>
              <a:latin typeface="+mn-lt"/>
              <a:ea typeface="+mn-ea"/>
              <a:cs typeface="+mn-cs"/>
            </a:rPr>
            <a:t>や参考書</a:t>
          </a:r>
          <a:r>
            <a:rPr lang="en-US" altLang="ja-JP" sz="1100" b="0" i="0" u="none" strike="noStrike" baseline="0" smtClean="0">
              <a:solidFill>
                <a:schemeClr val="lt1"/>
              </a:solidFill>
              <a:latin typeface="+mn-lt"/>
              <a:ea typeface="+mn-ea"/>
              <a:cs typeface="+mn-cs"/>
            </a:rPr>
            <a:t>P40-41</a:t>
          </a:r>
          <a:r>
            <a:rPr lang="ja-JP" altLang="en-US" sz="1100" b="0" i="0" u="none" strike="noStrike" baseline="0" smtClean="0">
              <a:solidFill>
                <a:schemeClr val="lt1"/>
              </a:solidFill>
              <a:latin typeface="+mn-lt"/>
              <a:ea typeface="+mn-ea"/>
              <a:cs typeface="+mn-cs"/>
            </a:rPr>
            <a:t>をご欄ください。</a:t>
          </a:r>
          <a:endParaRPr kumimoji="1" lang="en-US" altLang="ja-JP" sz="1100"/>
        </a:p>
      </xdr:txBody>
    </xdr:sp>
    <xdr:clientData/>
  </xdr:twoCellAnchor>
  <xdr:twoCellAnchor>
    <xdr:from>
      <xdr:col>0</xdr:col>
      <xdr:colOff>0</xdr:colOff>
      <xdr:row>36</xdr:row>
      <xdr:rowOff>145676</xdr:rowOff>
    </xdr:from>
    <xdr:to>
      <xdr:col>1</xdr:col>
      <xdr:colOff>2204357</xdr:colOff>
      <xdr:row>38</xdr:row>
      <xdr:rowOff>233725</xdr:rowOff>
    </xdr:to>
    <xdr:sp macro="" textlink="">
      <xdr:nvSpPr>
        <xdr:cNvPr id="7" name="角丸四角形吹き出し 6"/>
        <xdr:cNvSpPr/>
      </xdr:nvSpPr>
      <xdr:spPr>
        <a:xfrm>
          <a:off x="0" y="6317876"/>
          <a:ext cx="1375682" cy="364274"/>
        </a:xfrm>
        <a:prstGeom prst="wedgeRoundRectCallout">
          <a:avLst>
            <a:gd name="adj1" fmla="val 65717"/>
            <a:gd name="adj2" fmla="val -7815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①省エネ法報告値から</a:t>
          </a:r>
          <a:endParaRPr kumimoji="1" lang="en-US" altLang="ja-JP" sz="1050"/>
        </a:p>
        <a:p>
          <a:pPr algn="l"/>
          <a:r>
            <a:rPr kumimoji="1" lang="ja-JP" altLang="en-US" sz="1050"/>
            <a:t>②スコープ</a:t>
          </a:r>
          <a:r>
            <a:rPr kumimoji="1" lang="en-US" altLang="ja-JP" sz="1050"/>
            <a:t>1,2</a:t>
          </a:r>
          <a:r>
            <a:rPr kumimoji="1" lang="ja-JP" altLang="en-US" sz="1050"/>
            <a:t>排出量との重複分を</a:t>
          </a:r>
          <a:endParaRPr kumimoji="1" lang="en-US" altLang="ja-JP" sz="1050"/>
        </a:p>
        <a:p>
          <a:pPr algn="l"/>
          <a:r>
            <a:rPr kumimoji="1" lang="ja-JP" altLang="en-US" sz="1050"/>
            <a:t>差し引く。</a:t>
          </a:r>
          <a:endParaRPr kumimoji="1" lang="en-US" altLang="ja-JP" sz="105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885265</xdr:colOff>
      <xdr:row>0</xdr:row>
      <xdr:rowOff>34417</xdr:rowOff>
    </xdr:from>
    <xdr:to>
      <xdr:col>13</xdr:col>
      <xdr:colOff>11204</xdr:colOff>
      <xdr:row>4</xdr:row>
      <xdr:rowOff>156882</xdr:rowOff>
    </xdr:to>
    <xdr:sp macro="" textlink="">
      <xdr:nvSpPr>
        <xdr:cNvPr id="2" name="角丸四角形吹き出し 1"/>
        <xdr:cNvSpPr/>
      </xdr:nvSpPr>
      <xdr:spPr>
        <a:xfrm>
          <a:off x="8229040" y="34417"/>
          <a:ext cx="697564" cy="808265"/>
        </a:xfrm>
        <a:prstGeom prst="wedgeRoundRectCallout">
          <a:avLst>
            <a:gd name="adj1" fmla="val -58817"/>
            <a:gd name="adj2" fmla="val 562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今回の算定で用いていない排出原単位のなかにも利用可能なものがございます。</a:t>
          </a:r>
          <a:endParaRPr kumimoji="1" lang="en-US" altLang="ja-JP" sz="1050"/>
        </a:p>
        <a:p>
          <a:pPr algn="l"/>
          <a:r>
            <a:rPr kumimoji="1" lang="ja-JP" altLang="en-US" sz="1050"/>
            <a:t>環境省</a:t>
          </a:r>
          <a:r>
            <a:rPr kumimoji="1" lang="en-US" altLang="ja-JP" sz="1050"/>
            <a:t>DB [a]</a:t>
          </a:r>
          <a:r>
            <a:rPr kumimoji="1" lang="ja-JP" altLang="en-US" sz="1050"/>
            <a:t>国内の排出原単位データベース、</a:t>
          </a:r>
          <a:r>
            <a:rPr kumimoji="1" lang="en-US" altLang="ja-JP" sz="1050"/>
            <a:t>[b]</a:t>
          </a:r>
          <a:r>
            <a:rPr kumimoji="1" lang="ja-JP" altLang="en-US" sz="1050"/>
            <a:t>海外の排出原単位データベースを参考に、データベースを利用される方ご自身が、そのデータベースの備えるデータの適合性や、品質等をご確認した上で、ご利用下さい。</a:t>
          </a:r>
          <a:endParaRPr kumimoji="1" lang="en-US" altLang="ja-JP" sz="1050"/>
        </a:p>
      </xdr:txBody>
    </xdr:sp>
    <xdr:clientData/>
  </xdr:twoCellAnchor>
  <xdr:twoCellAnchor>
    <xdr:from>
      <xdr:col>8</xdr:col>
      <xdr:colOff>930088</xdr:colOff>
      <xdr:row>90</xdr:row>
      <xdr:rowOff>22412</xdr:rowOff>
    </xdr:from>
    <xdr:to>
      <xdr:col>11</xdr:col>
      <xdr:colOff>1423147</xdr:colOff>
      <xdr:row>108</xdr:row>
      <xdr:rowOff>179293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176892</xdr:colOff>
      <xdr:row>72</xdr:row>
      <xdr:rowOff>112058</xdr:rowOff>
    </xdr:from>
    <xdr:to>
      <xdr:col>12</xdr:col>
      <xdr:colOff>4952999</xdr:colOff>
      <xdr:row>75</xdr:row>
      <xdr:rowOff>103908</xdr:rowOff>
    </xdr:to>
    <xdr:sp macro="" textlink="">
      <xdr:nvSpPr>
        <xdr:cNvPr id="4" name="角丸四角形吹き出し 3"/>
        <xdr:cNvSpPr/>
      </xdr:nvSpPr>
      <xdr:spPr>
        <a:xfrm>
          <a:off x="8406492" y="12456458"/>
          <a:ext cx="508907" cy="506200"/>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算定事業者が株式保有する企業のスコープ</a:t>
          </a:r>
          <a:r>
            <a:rPr kumimoji="1" lang="en-US" altLang="ja-JP" sz="1100"/>
            <a:t>1,2</a:t>
          </a:r>
          <a:r>
            <a:rPr kumimoji="1" lang="ja-JP" altLang="en-US" sz="1100"/>
            <a:t>排出量は、</a:t>
          </a:r>
          <a:endParaRPr kumimoji="1" lang="en-US" altLang="ja-JP" sz="1100"/>
        </a:p>
        <a:p>
          <a:pPr algn="l"/>
          <a:r>
            <a:rPr kumimoji="1" lang="ja-JP" altLang="en-US" sz="1100"/>
            <a:t>一般に当該企業の</a:t>
          </a:r>
          <a:r>
            <a:rPr kumimoji="1" lang="en-US" altLang="ja-JP" sz="1100"/>
            <a:t>CSR</a:t>
          </a:r>
          <a:r>
            <a:rPr kumimoji="1" lang="ja-JP" altLang="en-US" sz="1100"/>
            <a:t>報告書、環境報告書等に掲載されてます。</a:t>
          </a:r>
          <a:endParaRPr kumimoji="1" lang="en-US" altLang="ja-JP" sz="1100"/>
        </a:p>
      </xdr:txBody>
    </xdr:sp>
    <xdr:clientData/>
  </xdr:twoCellAnchor>
  <xdr:twoCellAnchor>
    <xdr:from>
      <xdr:col>13</xdr:col>
      <xdr:colOff>95249</xdr:colOff>
      <xdr:row>80</xdr:row>
      <xdr:rowOff>6685</xdr:rowOff>
    </xdr:from>
    <xdr:to>
      <xdr:col>19</xdr:col>
      <xdr:colOff>595311</xdr:colOff>
      <xdr:row>86</xdr:row>
      <xdr:rowOff>68041</xdr:rowOff>
    </xdr:to>
    <xdr:sp macro="" textlink="">
      <xdr:nvSpPr>
        <xdr:cNvPr id="5" name="角丸四角形吹き出し 4"/>
        <xdr:cNvSpPr/>
      </xdr:nvSpPr>
      <xdr:spPr>
        <a:xfrm>
          <a:off x="9010649" y="13722685"/>
          <a:ext cx="4614862" cy="1090056"/>
        </a:xfrm>
        <a:prstGeom prst="wedgeRoundRectCallout">
          <a:avLst>
            <a:gd name="adj1" fmla="val -58546"/>
            <a:gd name="adj2" fmla="val -962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smtClean="0">
              <a:solidFill>
                <a:schemeClr val="lt1"/>
              </a:solidFill>
              <a:latin typeface="+mn-lt"/>
              <a:ea typeface="+mn-ea"/>
              <a:cs typeface="+mn-cs"/>
            </a:rPr>
            <a:t>「その他」について詳しくは、</a:t>
          </a:r>
          <a:r>
            <a:rPr lang="en-US" altLang="ja-JP" sz="1100" b="0" i="0" u="none" strike="noStrike" baseline="0" smtClean="0">
              <a:solidFill>
                <a:schemeClr val="lt1"/>
              </a:solidFill>
              <a:latin typeface="+mn-lt"/>
              <a:ea typeface="+mn-ea"/>
              <a:cs typeface="+mn-cs"/>
            </a:rPr>
            <a:t>Q&amp;A</a:t>
          </a:r>
          <a:r>
            <a:rPr lang="ja-JP" altLang="en-US" sz="1100" b="0" i="0" u="none" strike="noStrike" baseline="0" smtClean="0">
              <a:solidFill>
                <a:schemeClr val="lt1"/>
              </a:solidFill>
              <a:latin typeface="+mn-lt"/>
              <a:ea typeface="+mn-ea"/>
              <a:cs typeface="+mn-cs"/>
            </a:rPr>
            <a:t>の</a:t>
          </a:r>
          <a:r>
            <a:rPr lang="en-US" altLang="ja-JP" sz="1100" b="0" i="0" u="none" strike="noStrike" baseline="0" smtClean="0">
              <a:solidFill>
                <a:schemeClr val="lt1"/>
              </a:solidFill>
              <a:latin typeface="+mn-lt"/>
              <a:ea typeface="+mn-ea"/>
              <a:cs typeface="+mn-cs"/>
            </a:rPr>
            <a:t>P44</a:t>
          </a:r>
          <a:r>
            <a:rPr lang="ja-JP" altLang="en-US" sz="1100" b="0" i="0" u="none" strike="noStrike" baseline="0" smtClean="0">
              <a:solidFill>
                <a:schemeClr val="lt1"/>
              </a:solidFill>
              <a:latin typeface="+mn-lt"/>
              <a:ea typeface="+mn-ea"/>
              <a:cs typeface="+mn-cs"/>
            </a:rPr>
            <a:t>や参考書</a:t>
          </a:r>
          <a:r>
            <a:rPr lang="en-US" altLang="ja-JP" sz="1100" b="0" i="0" u="none" strike="noStrike" baseline="0" smtClean="0">
              <a:solidFill>
                <a:schemeClr val="lt1"/>
              </a:solidFill>
              <a:latin typeface="+mn-lt"/>
              <a:ea typeface="+mn-ea"/>
              <a:cs typeface="+mn-cs"/>
            </a:rPr>
            <a:t>P40-41</a:t>
          </a:r>
          <a:r>
            <a:rPr lang="ja-JP" altLang="en-US" sz="1100" b="0" i="0" u="none" strike="noStrike" baseline="0" smtClean="0">
              <a:solidFill>
                <a:schemeClr val="lt1"/>
              </a:solidFill>
              <a:latin typeface="+mn-lt"/>
              <a:ea typeface="+mn-ea"/>
              <a:cs typeface="+mn-cs"/>
            </a:rPr>
            <a:t>をご欄ください。</a:t>
          </a:r>
          <a:endParaRPr lang="en-US" altLang="ja-JP" sz="1100" b="0" i="0" u="none" strike="noStrike" baseline="0" smtClean="0">
            <a:solidFill>
              <a:schemeClr val="lt1"/>
            </a:solidFill>
            <a:latin typeface="+mn-lt"/>
            <a:ea typeface="+mn-ea"/>
            <a:cs typeface="+mn-cs"/>
          </a:endParaRPr>
        </a:p>
        <a:p>
          <a:pPr algn="l"/>
          <a:endParaRPr kumimoji="1" lang="en-US" altLang="ja-JP" sz="1100" b="0" i="0" u="none" strike="noStrike" baseline="0" smtClean="0">
            <a:solidFill>
              <a:schemeClr val="lt1"/>
            </a:solidFill>
            <a:latin typeface="+mn-lt"/>
            <a:ea typeface="+mn-ea"/>
            <a:cs typeface="+mn-cs"/>
          </a:endParaRPr>
        </a:p>
        <a:p>
          <a:pPr algn="l"/>
          <a:r>
            <a:rPr kumimoji="1" lang="ja-JP" altLang="en-US" sz="1100" b="0" i="0" u="none" strike="noStrike" baseline="0" smtClean="0">
              <a:solidFill>
                <a:schemeClr val="lt1"/>
              </a:solidFill>
              <a:latin typeface="+mn-lt"/>
              <a:ea typeface="+mn-ea"/>
              <a:cs typeface="+mn-cs"/>
            </a:rPr>
            <a:t>今回の算定においては、</a:t>
          </a:r>
          <a:r>
            <a:rPr kumimoji="1" lang="en-US" altLang="ja-JP" sz="1100" b="0" i="0" u="none" strike="noStrike" baseline="0" smtClean="0">
              <a:solidFill>
                <a:schemeClr val="lt1"/>
              </a:solidFill>
              <a:latin typeface="+mn-lt"/>
              <a:ea typeface="+mn-ea"/>
              <a:cs typeface="+mn-cs"/>
            </a:rPr>
            <a:t>3</a:t>
          </a:r>
          <a:r>
            <a:rPr kumimoji="1" lang="ja-JP" altLang="en-US" sz="1100" b="0" i="0" u="none" strike="noStrike" baseline="0" smtClean="0">
              <a:solidFill>
                <a:schemeClr val="lt1"/>
              </a:solidFill>
              <a:latin typeface="+mn-lt"/>
              <a:ea typeface="+mn-ea"/>
              <a:cs typeface="+mn-cs"/>
            </a:rPr>
            <a:t>か月のキャンペーン期間分を算定した。同結果を</a:t>
          </a:r>
          <a:r>
            <a:rPr kumimoji="1" lang="en-US" altLang="ja-JP" sz="1100" b="0" i="0" u="none" strike="noStrike" baseline="0" smtClean="0">
              <a:solidFill>
                <a:schemeClr val="lt1"/>
              </a:solidFill>
              <a:latin typeface="+mn-lt"/>
              <a:ea typeface="+mn-ea"/>
              <a:cs typeface="+mn-cs"/>
            </a:rPr>
            <a:t>4</a:t>
          </a:r>
          <a:r>
            <a:rPr kumimoji="1" lang="ja-JP" altLang="en-US" sz="1100" b="0" i="0" u="none" strike="noStrike" baseline="0" smtClean="0">
              <a:solidFill>
                <a:schemeClr val="lt1"/>
              </a:solidFill>
              <a:latin typeface="+mn-lt"/>
              <a:ea typeface="+mn-ea"/>
              <a:cs typeface="+mn-cs"/>
            </a:rPr>
            <a:t>倍することで、</a:t>
          </a:r>
          <a:r>
            <a:rPr kumimoji="1" lang="en-US" altLang="ja-JP" sz="1100" b="0" i="0" u="none" strike="noStrike" baseline="0" smtClean="0">
              <a:solidFill>
                <a:schemeClr val="lt1"/>
              </a:solidFill>
              <a:latin typeface="+mn-lt"/>
              <a:ea typeface="+mn-ea"/>
              <a:cs typeface="+mn-cs"/>
            </a:rPr>
            <a:t>1</a:t>
          </a:r>
          <a:r>
            <a:rPr kumimoji="1" lang="ja-JP" altLang="en-US" sz="1100" b="0" i="0" u="none" strike="noStrike" baseline="0" smtClean="0">
              <a:solidFill>
                <a:schemeClr val="lt1"/>
              </a:solidFill>
              <a:latin typeface="+mn-lt"/>
              <a:ea typeface="+mn-ea"/>
              <a:cs typeface="+mn-cs"/>
            </a:rPr>
            <a:t>年（</a:t>
          </a:r>
          <a:r>
            <a:rPr kumimoji="1" lang="en-US" altLang="ja-JP" sz="1100" b="0" i="0" u="none" strike="noStrike" baseline="0" smtClean="0">
              <a:solidFill>
                <a:schemeClr val="lt1"/>
              </a:solidFill>
              <a:latin typeface="+mn-lt"/>
              <a:ea typeface="+mn-ea"/>
              <a:cs typeface="+mn-cs"/>
            </a:rPr>
            <a:t>12</a:t>
          </a:r>
          <a:r>
            <a:rPr kumimoji="1" lang="ja-JP" altLang="en-US" sz="1100" b="0" i="0" u="none" strike="noStrike" baseline="0" smtClean="0">
              <a:solidFill>
                <a:schemeClr val="lt1"/>
              </a:solidFill>
              <a:latin typeface="+mn-lt"/>
              <a:ea typeface="+mn-ea"/>
              <a:cs typeface="+mn-cs"/>
            </a:rPr>
            <a:t>か月）分の排出量を推計することは可能であるが、一般に夏に比べ冬のほうが電力消費量は多いとされており、前述の推計方法は必ずしも適切ではない。よって、実測値を把握している期間のみを対象に算定した。</a:t>
          </a:r>
          <a:endParaRPr kumimoji="1" lang="en-US" altLang="ja-JP" sz="1100"/>
        </a:p>
      </xdr:txBody>
    </xdr:sp>
    <xdr:clientData/>
  </xdr:twoCellAnchor>
  <xdr:twoCellAnchor>
    <xdr:from>
      <xdr:col>13</xdr:col>
      <xdr:colOff>280948</xdr:colOff>
      <xdr:row>50</xdr:row>
      <xdr:rowOff>78914</xdr:rowOff>
    </xdr:from>
    <xdr:to>
      <xdr:col>19</xdr:col>
      <xdr:colOff>616324</xdr:colOff>
      <xdr:row>54</xdr:row>
      <xdr:rowOff>6803</xdr:rowOff>
    </xdr:to>
    <xdr:sp macro="" textlink="">
      <xdr:nvSpPr>
        <xdr:cNvPr id="6" name="角丸四角形吹き出し 5"/>
        <xdr:cNvSpPr/>
      </xdr:nvSpPr>
      <xdr:spPr>
        <a:xfrm>
          <a:off x="9196348" y="8651414"/>
          <a:ext cx="4450176" cy="613689"/>
        </a:xfrm>
        <a:prstGeom prst="wedgeRoundRectCallout">
          <a:avLst>
            <a:gd name="adj1" fmla="val -58648"/>
            <a:gd name="adj2" fmla="val -3263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従業員について、嘱託社員、パート、アルバイト等は、事業者によって算定に含めるか否かの判断は異なります。本事例では、対象に含めています。</a:t>
          </a:r>
          <a:endParaRPr kumimoji="1" lang="en-US" altLang="ja-JP" sz="1050"/>
        </a:p>
      </xdr:txBody>
    </xdr:sp>
    <xdr:clientData/>
  </xdr:twoCellAnchor>
  <xdr:twoCellAnchor>
    <xdr:from>
      <xdr:col>5</xdr:col>
      <xdr:colOff>176893</xdr:colOff>
      <xdr:row>39</xdr:row>
      <xdr:rowOff>326572</xdr:rowOff>
    </xdr:from>
    <xdr:to>
      <xdr:col>7</xdr:col>
      <xdr:colOff>963708</xdr:colOff>
      <xdr:row>39</xdr:row>
      <xdr:rowOff>898072</xdr:rowOff>
    </xdr:to>
    <xdr:sp macro="" textlink="">
      <xdr:nvSpPr>
        <xdr:cNvPr id="7" name="角丸四角形吹き出し 6"/>
        <xdr:cNvSpPr/>
      </xdr:nvSpPr>
      <xdr:spPr>
        <a:xfrm>
          <a:off x="3605893" y="6860722"/>
          <a:ext cx="1882190" cy="0"/>
        </a:xfrm>
        <a:prstGeom prst="wedgeRoundRectCallout">
          <a:avLst>
            <a:gd name="adj1" fmla="val 8834"/>
            <a:gd name="adj2" fmla="val -734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調達金額</a:t>
          </a:r>
          <a:r>
            <a:rPr kumimoji="1" lang="en-US" altLang="ja-JP" sz="1050"/>
            <a:t>×</a:t>
          </a:r>
          <a:r>
            <a:rPr kumimoji="1" lang="ja-JP" altLang="en-US" sz="1050"/>
            <a:t>金額あたり重量</a:t>
          </a:r>
          <a:r>
            <a:rPr kumimoji="1" lang="en-US" altLang="ja-JP" sz="1050"/>
            <a:t>×</a:t>
          </a:r>
          <a:r>
            <a:rPr kumimoji="1" lang="ja-JP" altLang="en-US" sz="1050"/>
            <a:t>距離</a:t>
          </a:r>
          <a:endParaRPr kumimoji="1" lang="en-US" altLang="ja-JP" sz="1050"/>
        </a:p>
        <a:p>
          <a:pPr algn="l"/>
          <a:r>
            <a:rPr kumimoji="1" lang="ja-JP" altLang="en-US" sz="1050"/>
            <a:t>（</a:t>
          </a:r>
          <a:r>
            <a:rPr kumimoji="1" lang="en-US" altLang="ja-JP" sz="1050"/>
            <a:t>6000×2.5</a:t>
          </a:r>
          <a:r>
            <a:rPr kumimoji="1" lang="ja-JP" altLang="en-US" sz="1050"/>
            <a:t>＋</a:t>
          </a:r>
          <a:r>
            <a:rPr kumimoji="1" lang="en-US" altLang="ja-JP" sz="1050"/>
            <a:t>2000×4.5</a:t>
          </a:r>
          <a:r>
            <a:rPr kumimoji="1" lang="ja-JP" altLang="en-US" sz="1050"/>
            <a:t>＋</a:t>
          </a:r>
          <a:r>
            <a:rPr kumimoji="1" lang="en-US" altLang="ja-JP" sz="1050"/>
            <a:t>7000×2.00</a:t>
          </a:r>
          <a:r>
            <a:rPr kumimoji="1" lang="ja-JP" altLang="en-US" sz="1050"/>
            <a:t>）</a:t>
          </a:r>
          <a:r>
            <a:rPr kumimoji="1" lang="en-US" altLang="ja-JP" sz="1050"/>
            <a:t>×100</a:t>
          </a:r>
        </a:p>
      </xdr:txBody>
    </xdr:sp>
    <xdr:clientData/>
  </xdr:twoCellAnchor>
  <xdr:twoCellAnchor>
    <xdr:from>
      <xdr:col>5</xdr:col>
      <xdr:colOff>571500</xdr:colOff>
      <xdr:row>0</xdr:row>
      <xdr:rowOff>23812</xdr:rowOff>
    </xdr:from>
    <xdr:to>
      <xdr:col>9</xdr:col>
      <xdr:colOff>816627</xdr:colOff>
      <xdr:row>4</xdr:row>
      <xdr:rowOff>95250</xdr:rowOff>
    </xdr:to>
    <xdr:sp macro="" textlink="">
      <xdr:nvSpPr>
        <xdr:cNvPr id="8" name="角丸四角形吹き出し 7"/>
        <xdr:cNvSpPr/>
      </xdr:nvSpPr>
      <xdr:spPr>
        <a:xfrm>
          <a:off x="4000500" y="23812"/>
          <a:ext cx="2854977" cy="757238"/>
        </a:xfrm>
        <a:prstGeom prst="wedgeRoundRectCallout">
          <a:avLst>
            <a:gd name="adj1" fmla="val -56162"/>
            <a:gd name="adj2" fmla="val -162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物流業については、環境省にて「サプライチェーンを通じた温室効果ガス排出量の算定方法基本ガイドラインに関する業種別解説（物流業）」が作成されています。特にカテゴリ</a:t>
          </a:r>
          <a:r>
            <a:rPr kumimoji="1" lang="en-US" altLang="ja-JP" sz="1050"/>
            <a:t>1,2,4,5,12</a:t>
          </a:r>
          <a:r>
            <a:rPr kumimoji="1" lang="ja-JP" altLang="en-US" sz="1050"/>
            <a:t>について、「物流業における基本的な考え方」を紹介していますので、ご参考にしてください。</a:t>
          </a:r>
          <a:endParaRPr kumimoji="1" lang="en-US" altLang="ja-JP" sz="1050"/>
        </a:p>
      </xdr:txBody>
    </xdr:sp>
    <xdr:clientData/>
  </xdr:twoCellAnchor>
  <xdr:twoCellAnchor>
    <xdr:from>
      <xdr:col>13</xdr:col>
      <xdr:colOff>217716</xdr:colOff>
      <xdr:row>7</xdr:row>
      <xdr:rowOff>126544</xdr:rowOff>
    </xdr:from>
    <xdr:to>
      <xdr:col>19</xdr:col>
      <xdr:colOff>553092</xdr:colOff>
      <xdr:row>20</xdr:row>
      <xdr:rowOff>40822</xdr:rowOff>
    </xdr:to>
    <xdr:sp macro="" textlink="">
      <xdr:nvSpPr>
        <xdr:cNvPr id="9" name="角丸四角形吹き出し 8"/>
        <xdr:cNvSpPr/>
      </xdr:nvSpPr>
      <xdr:spPr>
        <a:xfrm>
          <a:off x="9133116" y="1326694"/>
          <a:ext cx="4450176" cy="2143128"/>
        </a:xfrm>
        <a:prstGeom prst="wedgeRoundRectCallout">
          <a:avLst>
            <a:gd name="adj1" fmla="val -65116"/>
            <a:gd name="adj2" fmla="val 111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業種別解説（物流業）において、カテゴリ</a:t>
          </a:r>
          <a:r>
            <a:rPr kumimoji="1" lang="en-US" altLang="ja-JP" sz="1050"/>
            <a:t>1</a:t>
          </a:r>
          <a:r>
            <a:rPr kumimoji="1" lang="ja-JP" altLang="en-US" sz="1050"/>
            <a:t>の算定対象は、自社の事業活動のうち外部に委託しているサービスの排出量、ならびに自社が直接購入し、使用または貸与している全ての物品の資源採取段階から製造段階までの排出量の</a:t>
          </a:r>
          <a:r>
            <a:rPr kumimoji="1" lang="en-US" altLang="ja-JP" sz="1050"/>
            <a:t>2</a:t>
          </a:r>
          <a:r>
            <a:rPr kumimoji="1" lang="ja-JP" altLang="en-US" sz="1050"/>
            <a:t>つを挙げています。</a:t>
          </a:r>
          <a:endParaRPr kumimoji="1" lang="en-US" altLang="ja-JP" sz="1050"/>
        </a:p>
        <a:p>
          <a:pPr algn="l"/>
          <a:r>
            <a:rPr kumimoji="1" lang="ja-JP" altLang="en-US" sz="1100">
              <a:solidFill>
                <a:schemeClr val="lt1"/>
              </a:solidFill>
              <a:effectLst/>
              <a:latin typeface="+mn-lt"/>
              <a:ea typeface="+mn-ea"/>
              <a:cs typeface="+mn-cs"/>
            </a:rPr>
            <a:t>特に、</a:t>
          </a:r>
          <a:r>
            <a:rPr kumimoji="1" lang="ja-JP" altLang="ja-JP" sz="1100">
              <a:solidFill>
                <a:schemeClr val="lt1"/>
              </a:solidFill>
              <a:effectLst/>
              <a:latin typeface="+mn-lt"/>
              <a:ea typeface="+mn-ea"/>
              <a:cs typeface="+mn-cs"/>
            </a:rPr>
            <a:t>自社の事業活動のうち外部に委託しているサービスの排出量</a:t>
          </a:r>
          <a:r>
            <a:rPr kumimoji="1" lang="ja-JP" altLang="en-US" sz="1100">
              <a:solidFill>
                <a:schemeClr val="lt1"/>
              </a:solidFill>
              <a:effectLst/>
              <a:latin typeface="+mn-lt"/>
              <a:ea typeface="+mn-ea"/>
              <a:cs typeface="+mn-cs"/>
            </a:rPr>
            <a:t>のうち、委託輸送に関しては幹線毎に輸送シナリオを設定して算定する方法とサンプリング法の</a:t>
          </a:r>
          <a:r>
            <a:rPr kumimoji="1" lang="en-US" altLang="ja-JP" sz="1100">
              <a:solidFill>
                <a:schemeClr val="lt1"/>
              </a:solidFill>
              <a:effectLst/>
              <a:latin typeface="+mn-lt"/>
              <a:ea typeface="+mn-ea"/>
              <a:cs typeface="+mn-cs"/>
            </a:rPr>
            <a:t>2</a:t>
          </a:r>
          <a:r>
            <a:rPr kumimoji="1" lang="ja-JP" altLang="en-US" sz="1100">
              <a:solidFill>
                <a:schemeClr val="lt1"/>
              </a:solidFill>
              <a:effectLst/>
              <a:latin typeface="+mn-lt"/>
              <a:ea typeface="+mn-ea"/>
              <a:cs typeface="+mn-cs"/>
            </a:rPr>
            <a:t>つの事例を示しています。</a:t>
          </a:r>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また、修繕の外部委託に関する事例として金額から算定する方法も示しています。この考え方を踏まえ、自動車修繕の排出量を金額から算定しています。</a:t>
          </a:r>
          <a:endParaRPr kumimoji="1" lang="en-US" altLang="ja-JP" sz="1100">
            <a:solidFill>
              <a:schemeClr val="lt1"/>
            </a:solidFill>
            <a:effectLst/>
            <a:latin typeface="+mn-lt"/>
            <a:ea typeface="+mn-ea"/>
            <a:cs typeface="+mn-cs"/>
          </a:endParaRPr>
        </a:p>
        <a:p>
          <a:pPr algn="l"/>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修繕費　自動車</a:t>
          </a:r>
          <a:endParaRPr kumimoji="1" lang="en-US" altLang="ja-JP" sz="1100">
            <a:solidFill>
              <a:schemeClr val="lt1"/>
            </a:solidFill>
            <a:effectLst/>
            <a:latin typeface="+mn-lt"/>
            <a:ea typeface="+mn-ea"/>
            <a:cs typeface="+mn-cs"/>
          </a:endParaRPr>
        </a:p>
        <a:p>
          <a:pPr algn="l"/>
          <a:r>
            <a:rPr kumimoji="1" lang="en-US" altLang="ja-JP" sz="1100">
              <a:solidFill>
                <a:schemeClr val="lt1"/>
              </a:solidFill>
              <a:effectLst/>
              <a:latin typeface="+mn-lt"/>
              <a:ea typeface="+mn-ea"/>
              <a:cs typeface="+mn-cs"/>
            </a:rPr>
            <a:t>79,500[t-CO2]</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30,000[</a:t>
          </a:r>
          <a:r>
            <a:rPr kumimoji="1" lang="ja-JP" altLang="en-US" sz="1100">
              <a:solidFill>
                <a:schemeClr val="lt1"/>
              </a:solidFill>
              <a:effectLst/>
              <a:latin typeface="+mn-lt"/>
              <a:ea typeface="+mn-ea"/>
              <a:cs typeface="+mn-cs"/>
            </a:rPr>
            <a:t>百万円</a:t>
          </a:r>
          <a:r>
            <a:rPr kumimoji="1" lang="en-US" altLang="ja-JP" sz="1050">
              <a:solidFill>
                <a:schemeClr val="lt1"/>
              </a:solidFill>
              <a:effectLst/>
              <a:latin typeface="+mn-lt"/>
              <a:ea typeface="+mn-ea"/>
              <a:cs typeface="+mn-cs"/>
            </a:rPr>
            <a:t>]×2.65[t-CO2/</a:t>
          </a:r>
          <a:r>
            <a:rPr kumimoji="1" lang="ja-JP" altLang="en-US" sz="1050">
              <a:solidFill>
                <a:schemeClr val="lt1"/>
              </a:solidFill>
              <a:effectLst/>
              <a:latin typeface="+mn-lt"/>
              <a:ea typeface="+mn-ea"/>
              <a:cs typeface="+mn-cs"/>
            </a:rPr>
            <a:t>百万円</a:t>
          </a:r>
          <a:r>
            <a:rPr kumimoji="1" lang="en-US" altLang="ja-JP" sz="105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xdr:txBody>
    </xdr:sp>
    <xdr:clientData/>
  </xdr:twoCellAnchor>
  <xdr:twoCellAnchor>
    <xdr:from>
      <xdr:col>13</xdr:col>
      <xdr:colOff>258536</xdr:colOff>
      <xdr:row>34</xdr:row>
      <xdr:rowOff>235318</xdr:rowOff>
    </xdr:from>
    <xdr:to>
      <xdr:col>19</xdr:col>
      <xdr:colOff>593912</xdr:colOff>
      <xdr:row>39</xdr:row>
      <xdr:rowOff>466639</xdr:rowOff>
    </xdr:to>
    <xdr:sp macro="" textlink="">
      <xdr:nvSpPr>
        <xdr:cNvPr id="10" name="角丸四角形吹き出し 9"/>
        <xdr:cNvSpPr/>
      </xdr:nvSpPr>
      <xdr:spPr>
        <a:xfrm>
          <a:off x="9173936" y="5997943"/>
          <a:ext cx="4450176" cy="859971"/>
        </a:xfrm>
        <a:prstGeom prst="wedgeRoundRectCallout">
          <a:avLst>
            <a:gd name="adj1" fmla="val -58371"/>
            <a:gd name="adj2" fmla="val 347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業種別解説（物流業）において、外部に委託しているサービスはカテゴリ</a:t>
          </a:r>
          <a:r>
            <a:rPr kumimoji="1" lang="en-US" altLang="ja-JP" sz="1050"/>
            <a:t>1</a:t>
          </a:r>
          <a:r>
            <a:rPr kumimoji="1" lang="ja-JP" altLang="en-US" sz="1050"/>
            <a:t>の対象ですが、顧客に販売するサービスの一部を構成しない物流（購入物品の調達物流等）については、カテゴリ</a:t>
          </a:r>
          <a:r>
            <a:rPr kumimoji="1" lang="en-US" altLang="ja-JP" sz="1050"/>
            <a:t>4</a:t>
          </a:r>
          <a:r>
            <a:rPr kumimoji="1" lang="ja-JP" altLang="en-US" sz="1050"/>
            <a:t>の対象範囲とするとあります。</a:t>
          </a:r>
          <a:endParaRPr kumimoji="1" lang="en-US" altLang="ja-JP" sz="1050"/>
        </a:p>
        <a:p>
          <a:pPr algn="l"/>
          <a:r>
            <a:rPr kumimoji="1" lang="ja-JP" altLang="en-US" sz="1100">
              <a:solidFill>
                <a:schemeClr val="lt1"/>
              </a:solidFill>
              <a:effectLst/>
              <a:latin typeface="+mn-lt"/>
              <a:ea typeface="+mn-ea"/>
              <a:cs typeface="+mn-cs"/>
            </a:rPr>
            <a:t>よって、外部に委託している物流のうち、一次サプライヤー以降の調達物流をカテゴリ</a:t>
          </a:r>
          <a:r>
            <a:rPr kumimoji="1" lang="en-US" altLang="ja-JP" sz="1100">
              <a:solidFill>
                <a:schemeClr val="lt1"/>
              </a:solidFill>
              <a:effectLst/>
              <a:latin typeface="+mn-lt"/>
              <a:ea typeface="+mn-ea"/>
              <a:cs typeface="+mn-cs"/>
            </a:rPr>
            <a:t>4</a:t>
          </a:r>
          <a:r>
            <a:rPr kumimoji="1" lang="ja-JP" altLang="en-US" sz="1100">
              <a:solidFill>
                <a:schemeClr val="lt1"/>
              </a:solidFill>
              <a:effectLst/>
              <a:latin typeface="+mn-lt"/>
              <a:ea typeface="+mn-ea"/>
              <a:cs typeface="+mn-cs"/>
            </a:rPr>
            <a:t>として計上します。</a:t>
          </a:r>
          <a:endParaRPr kumimoji="1" lang="en-US" altLang="ja-JP" sz="1100">
            <a:solidFill>
              <a:schemeClr val="lt1"/>
            </a:solidFill>
            <a:effectLst/>
            <a:latin typeface="+mn-lt"/>
            <a:ea typeface="+mn-ea"/>
            <a:cs typeface="+mn-cs"/>
          </a:endParaRPr>
        </a:p>
        <a:p>
          <a:pPr algn="l"/>
          <a:endParaRPr kumimoji="1" lang="en-US" altLang="ja-JP" sz="1100">
            <a:solidFill>
              <a:schemeClr val="lt1"/>
            </a:solidFill>
            <a:effectLst/>
            <a:latin typeface="+mn-lt"/>
            <a:ea typeface="+mn-ea"/>
            <a:cs typeface="+mn-cs"/>
          </a:endParaRPr>
        </a:p>
        <a:p>
          <a:pPr algn="l"/>
          <a:endParaRPr kumimoji="1" lang="en-US" altLang="ja-JP" sz="1100">
            <a:solidFill>
              <a:schemeClr val="lt1"/>
            </a:solidFill>
            <a:effectLst/>
            <a:latin typeface="+mn-lt"/>
            <a:ea typeface="+mn-ea"/>
            <a:cs typeface="+mn-cs"/>
          </a:endParaRPr>
        </a:p>
      </xdr:txBody>
    </xdr:sp>
    <xdr:clientData/>
  </xdr:twoCellAnchor>
  <xdr:twoCellAnchor>
    <xdr:from>
      <xdr:col>13</xdr:col>
      <xdr:colOff>244929</xdr:colOff>
      <xdr:row>21</xdr:row>
      <xdr:rowOff>68035</xdr:rowOff>
    </xdr:from>
    <xdr:to>
      <xdr:col>19</xdr:col>
      <xdr:colOff>580305</xdr:colOff>
      <xdr:row>34</xdr:row>
      <xdr:rowOff>95250</xdr:rowOff>
    </xdr:to>
    <xdr:sp macro="" textlink="">
      <xdr:nvSpPr>
        <xdr:cNvPr id="11" name="角丸四角形吹き出し 10"/>
        <xdr:cNvSpPr/>
      </xdr:nvSpPr>
      <xdr:spPr>
        <a:xfrm>
          <a:off x="9160329" y="3668485"/>
          <a:ext cx="4450176" cy="2256065"/>
        </a:xfrm>
        <a:prstGeom prst="wedgeRoundRectCallout">
          <a:avLst>
            <a:gd name="adj1" fmla="val -57724"/>
            <a:gd name="adj2" fmla="val -895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業種別解説（物流業）において、カテゴリ</a:t>
          </a:r>
          <a:r>
            <a:rPr kumimoji="1" lang="en-US" altLang="ja-JP" sz="1050"/>
            <a:t>2</a:t>
          </a:r>
          <a:r>
            <a:rPr kumimoji="1" lang="ja-JP" altLang="en-US" sz="1050"/>
            <a:t>の対象となる資本財は以下の通りです。これらが活動量の金額に含まれているかを確認しつつ、算定を進めます。</a:t>
          </a:r>
          <a:endParaRPr kumimoji="1" lang="en-US" altLang="ja-JP" sz="1050"/>
        </a:p>
        <a:p>
          <a:pPr algn="l"/>
          <a:endParaRPr kumimoji="1" lang="en-US" altLang="ja-JP" sz="1050"/>
        </a:p>
        <a:p>
          <a:pPr algn="l"/>
          <a:r>
            <a:rPr kumimoji="1" lang="ja-JP" altLang="en-US" sz="1050"/>
            <a:t>●自社の事業活動のために用いる資本財</a:t>
          </a:r>
        </a:p>
        <a:p>
          <a:pPr algn="l"/>
          <a:r>
            <a:rPr kumimoji="1" lang="ja-JP" altLang="en-US" sz="1050"/>
            <a:t>　・事業活動のために用いる自社保有車両</a:t>
          </a:r>
        </a:p>
        <a:p>
          <a:pPr algn="l"/>
          <a:r>
            <a:rPr kumimoji="1" lang="ja-JP" altLang="en-US" sz="1050"/>
            <a:t>　・事業活動のために用いる自社保有物流拠点</a:t>
          </a:r>
        </a:p>
        <a:p>
          <a:pPr algn="l"/>
          <a:r>
            <a:rPr kumimoji="1" lang="ja-JP" altLang="en-US" sz="1050"/>
            <a:t>　・自社内における情報システムの構築</a:t>
          </a:r>
        </a:p>
        <a:p>
          <a:pPr algn="l"/>
          <a:r>
            <a:rPr kumimoji="1" lang="ja-JP" altLang="en-US" sz="1050"/>
            <a:t>　・事業活動のために用いる物流機器・設備（フォークリフト、コンテナ）等</a:t>
          </a:r>
        </a:p>
        <a:p>
          <a:pPr algn="l"/>
          <a:r>
            <a:rPr kumimoji="1" lang="ja-JP" altLang="en-US" sz="1050"/>
            <a:t>●自社のその他の事業活動のために用いる資本財</a:t>
          </a:r>
        </a:p>
        <a:p>
          <a:pPr algn="l"/>
          <a:r>
            <a:rPr kumimoji="1" lang="ja-JP" altLang="en-US" sz="1050"/>
            <a:t>　・事業活動を実施するオフィスなどの建物</a:t>
          </a:r>
        </a:p>
        <a:p>
          <a:pPr algn="l"/>
          <a:r>
            <a:rPr kumimoji="1" lang="ja-JP" altLang="en-US" sz="1050"/>
            <a:t>　・オフィスなどに設置されている施設や設備</a:t>
          </a:r>
        </a:p>
        <a:p>
          <a:pPr algn="l"/>
          <a:r>
            <a:rPr kumimoji="1" lang="ja-JP" altLang="en-US" sz="1050"/>
            <a:t>　・営業活動のために用いる自動車</a:t>
          </a:r>
        </a:p>
      </xdr:txBody>
    </xdr:sp>
    <xdr:clientData/>
  </xdr:twoCellAnchor>
  <xdr:twoCellAnchor>
    <xdr:from>
      <xdr:col>13</xdr:col>
      <xdr:colOff>100853</xdr:colOff>
      <xdr:row>39</xdr:row>
      <xdr:rowOff>593912</xdr:rowOff>
    </xdr:from>
    <xdr:to>
      <xdr:col>19</xdr:col>
      <xdr:colOff>627529</xdr:colOff>
      <xdr:row>49</xdr:row>
      <xdr:rowOff>163285</xdr:rowOff>
    </xdr:to>
    <xdr:sp macro="" textlink="">
      <xdr:nvSpPr>
        <xdr:cNvPr id="12" name="角丸四角形吹き出し 11"/>
        <xdr:cNvSpPr/>
      </xdr:nvSpPr>
      <xdr:spPr>
        <a:xfrm>
          <a:off x="9016253" y="6861362"/>
          <a:ext cx="4641476" cy="1702973"/>
        </a:xfrm>
        <a:prstGeom prst="wedgeRoundRectCallout">
          <a:avLst>
            <a:gd name="adj1" fmla="val -59855"/>
            <a:gd name="adj2" fmla="val -62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lt1"/>
              </a:solidFill>
              <a:effectLst/>
              <a:latin typeface="+mn-lt"/>
              <a:ea typeface="+mn-ea"/>
              <a:cs typeface="+mn-cs"/>
            </a:rPr>
            <a:t>業種別解説（物流業）において、カテゴリ</a:t>
          </a:r>
          <a:r>
            <a:rPr kumimoji="1" lang="en-US" altLang="ja-JP" sz="1000">
              <a:solidFill>
                <a:schemeClr val="lt1"/>
              </a:solidFill>
              <a:effectLst/>
              <a:latin typeface="+mn-lt"/>
              <a:ea typeface="+mn-ea"/>
              <a:cs typeface="+mn-cs"/>
            </a:rPr>
            <a:t>2</a:t>
          </a:r>
          <a:r>
            <a:rPr kumimoji="1" lang="ja-JP" altLang="ja-JP" sz="1000">
              <a:solidFill>
                <a:schemeClr val="lt1"/>
              </a:solidFill>
              <a:effectLst/>
              <a:latin typeface="+mn-lt"/>
              <a:ea typeface="+mn-ea"/>
              <a:cs typeface="+mn-cs"/>
            </a:rPr>
            <a:t>の対象となる資本財は以下の通りです。これらが活動量に含まれているかを確認しつつ、算定を進めます。</a:t>
          </a:r>
          <a:endParaRPr kumimoji="1" lang="en-US" altLang="ja-JP" sz="1000"/>
        </a:p>
        <a:p>
          <a:pPr algn="l"/>
          <a:r>
            <a:rPr kumimoji="1" lang="ja-JP" altLang="en-US" sz="1000"/>
            <a:t>●自社の輸送等業務活動から発生する廃棄物</a:t>
          </a:r>
        </a:p>
        <a:p>
          <a:pPr algn="l"/>
          <a:r>
            <a:rPr kumimoji="1" lang="ja-JP" altLang="en-US" sz="1000"/>
            <a:t>　・廃棄される自社保有車両</a:t>
          </a:r>
        </a:p>
        <a:p>
          <a:pPr algn="l"/>
          <a:r>
            <a:rPr kumimoji="1" lang="ja-JP" altLang="en-US" sz="1000"/>
            <a:t>　・事業活動を行うに当たり、包装材として利用されていた段ボール、パレット等の廃棄物</a:t>
          </a:r>
        </a:p>
        <a:p>
          <a:pPr algn="l"/>
          <a:r>
            <a:rPr kumimoji="1" lang="ja-JP" altLang="en-US" sz="1000"/>
            <a:t>　・荷物の輸送にあたり貼付される伝票類のうち、自社で廃棄する部分</a:t>
          </a:r>
        </a:p>
        <a:p>
          <a:pPr algn="l"/>
          <a:r>
            <a:rPr kumimoji="1" lang="ja-JP" altLang="en-US" sz="1000"/>
            <a:t>　・ラック、フォークリフト、コンテナ等の保管設備、荷役機器などに利用されていた金属</a:t>
          </a:r>
        </a:p>
        <a:p>
          <a:pPr algn="l"/>
          <a:r>
            <a:rPr kumimoji="1" lang="ja-JP" altLang="en-US" sz="1000"/>
            <a:t>くず、廃プラスチックや紙くずなどの廃棄物</a:t>
          </a:r>
        </a:p>
        <a:p>
          <a:pPr algn="l"/>
          <a:r>
            <a:rPr kumimoji="1" lang="ja-JP" altLang="en-US" sz="1000"/>
            <a:t>　・解体された物流拠点等の建築廃棄物</a:t>
          </a:r>
        </a:p>
        <a:p>
          <a:pPr algn="l"/>
          <a:r>
            <a:rPr kumimoji="1" lang="ja-JP" altLang="en-US" sz="1000"/>
            <a:t>●自社のその他の事業活動から発生する廃棄物</a:t>
          </a:r>
        </a:p>
        <a:p>
          <a:pPr algn="l"/>
          <a:r>
            <a:rPr kumimoji="1" lang="ja-JP" altLang="en-US" sz="1000"/>
            <a:t>　・オフィスから排出される事務用品等の廃プラスチックや紙ごみなどの廃棄物</a:t>
          </a:r>
          <a:endParaRPr kumimoji="1" lang="en-US" altLang="ja-JP" sz="1000"/>
        </a:p>
      </xdr:txBody>
    </xdr:sp>
    <xdr:clientData/>
  </xdr:twoCellAnchor>
  <xdr:twoCellAnchor>
    <xdr:from>
      <xdr:col>13</xdr:col>
      <xdr:colOff>81644</xdr:colOff>
      <xdr:row>59</xdr:row>
      <xdr:rowOff>143279</xdr:rowOff>
    </xdr:from>
    <xdr:to>
      <xdr:col>19</xdr:col>
      <xdr:colOff>605118</xdr:colOff>
      <xdr:row>70</xdr:row>
      <xdr:rowOff>272143</xdr:rowOff>
    </xdr:to>
    <xdr:sp macro="" textlink="">
      <xdr:nvSpPr>
        <xdr:cNvPr id="13" name="角丸四角形吹き出し 12"/>
        <xdr:cNvSpPr/>
      </xdr:nvSpPr>
      <xdr:spPr>
        <a:xfrm>
          <a:off x="8997044" y="10258829"/>
          <a:ext cx="4638274" cy="1910039"/>
        </a:xfrm>
        <a:prstGeom prst="wedgeRoundRectCallout">
          <a:avLst>
            <a:gd name="adj1" fmla="val -59264"/>
            <a:gd name="adj2" fmla="val -1363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lt1"/>
              </a:solidFill>
              <a:effectLst/>
              <a:latin typeface="+mn-lt"/>
              <a:ea typeface="+mn-ea"/>
              <a:cs typeface="+mn-cs"/>
            </a:rPr>
            <a:t>業種別解説（物流業）において、カテゴリ</a:t>
          </a:r>
          <a:r>
            <a:rPr kumimoji="1" lang="en-US" altLang="ja-JP" sz="1000">
              <a:solidFill>
                <a:schemeClr val="lt1"/>
              </a:solidFill>
              <a:effectLst/>
              <a:latin typeface="+mn-lt"/>
              <a:ea typeface="+mn-ea"/>
              <a:cs typeface="+mn-cs"/>
            </a:rPr>
            <a:t>12</a:t>
          </a:r>
          <a:r>
            <a:rPr kumimoji="1" lang="ja-JP" altLang="ja-JP" sz="1000">
              <a:solidFill>
                <a:schemeClr val="lt1"/>
              </a:solidFill>
              <a:effectLst/>
              <a:latin typeface="+mn-lt"/>
              <a:ea typeface="+mn-ea"/>
              <a:cs typeface="+mn-cs"/>
            </a:rPr>
            <a:t>の対象と</a:t>
          </a:r>
          <a:r>
            <a:rPr kumimoji="1" lang="ja-JP" altLang="en-US" sz="1000">
              <a:solidFill>
                <a:schemeClr val="lt1"/>
              </a:solidFill>
              <a:effectLst/>
              <a:latin typeface="+mn-lt"/>
              <a:ea typeface="+mn-ea"/>
              <a:cs typeface="+mn-cs"/>
            </a:rPr>
            <a:t>して以下の包装材を例示しています。</a:t>
          </a:r>
          <a:endParaRPr kumimoji="1" lang="en-US" altLang="ja-JP" sz="1000">
            <a:solidFill>
              <a:schemeClr val="lt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00">
            <a:solidFill>
              <a:schemeClr val="lt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lt1"/>
              </a:solidFill>
              <a:effectLst/>
              <a:latin typeface="+mn-lt"/>
              <a:ea typeface="+mn-ea"/>
              <a:cs typeface="+mn-cs"/>
            </a:rPr>
            <a:t>物流業として自らが購入し、輸送のために用いた包装材のうち、届け先に提供した包装材の廃棄</a:t>
          </a:r>
          <a:endParaRPr kumimoji="1" lang="en-US" altLang="ja-JP" sz="1000">
            <a:solidFill>
              <a:schemeClr val="lt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lt1"/>
              </a:solidFill>
              <a:effectLst/>
              <a:latin typeface="+mn-lt"/>
              <a:ea typeface="+mn-ea"/>
              <a:cs typeface="+mn-cs"/>
            </a:rPr>
            <a:t>（輸送のために用いた包装材としての段ボール、ストレッチフィルムやパレット等）</a:t>
          </a:r>
          <a:endParaRPr kumimoji="1" lang="en-US" altLang="ja-JP" sz="1000">
            <a:solidFill>
              <a:schemeClr val="lt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00">
            <a:solidFill>
              <a:schemeClr val="lt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lt1"/>
              </a:solidFill>
              <a:effectLst/>
              <a:latin typeface="+mn-lt"/>
              <a:ea typeface="+mn-ea"/>
              <a:cs typeface="+mn-cs"/>
            </a:rPr>
            <a:t>これらは、届け先に提供せずに回収した場合、当該包装材の廃棄処理に伴う排出量はカテゴリ</a:t>
          </a:r>
          <a:r>
            <a:rPr kumimoji="1" lang="en-US" altLang="ja-JP" sz="1000">
              <a:solidFill>
                <a:schemeClr val="lt1"/>
              </a:solidFill>
              <a:effectLst/>
              <a:latin typeface="+mn-lt"/>
              <a:ea typeface="+mn-ea"/>
              <a:cs typeface="+mn-cs"/>
            </a:rPr>
            <a:t>5</a:t>
          </a:r>
          <a:r>
            <a:rPr kumimoji="1" lang="ja-JP" altLang="en-US" sz="1000">
              <a:solidFill>
                <a:schemeClr val="lt1"/>
              </a:solidFill>
              <a:effectLst/>
              <a:latin typeface="+mn-lt"/>
              <a:ea typeface="+mn-ea"/>
              <a:cs typeface="+mn-cs"/>
            </a:rPr>
            <a:t>に計上されるため、カテゴリ</a:t>
          </a:r>
          <a:r>
            <a:rPr kumimoji="1" lang="en-US" altLang="ja-JP" sz="1000">
              <a:solidFill>
                <a:schemeClr val="lt1"/>
              </a:solidFill>
              <a:effectLst/>
              <a:latin typeface="+mn-lt"/>
              <a:ea typeface="+mn-ea"/>
              <a:cs typeface="+mn-cs"/>
            </a:rPr>
            <a:t>12</a:t>
          </a:r>
          <a:r>
            <a:rPr kumimoji="1" lang="ja-JP" altLang="en-US" sz="1000">
              <a:solidFill>
                <a:schemeClr val="lt1"/>
              </a:solidFill>
              <a:effectLst/>
              <a:latin typeface="+mn-lt"/>
              <a:ea typeface="+mn-ea"/>
              <a:cs typeface="+mn-cs"/>
            </a:rPr>
            <a:t>には含めません。左記の段ボール箱は、送り先に荷を下ろした後に回収するという想定であるため、カテゴリ</a:t>
          </a:r>
          <a:r>
            <a:rPr kumimoji="1" lang="en-US" altLang="ja-JP" sz="1000">
              <a:solidFill>
                <a:schemeClr val="lt1"/>
              </a:solidFill>
              <a:effectLst/>
              <a:latin typeface="+mn-lt"/>
              <a:ea typeface="+mn-ea"/>
              <a:cs typeface="+mn-cs"/>
            </a:rPr>
            <a:t>12</a:t>
          </a:r>
          <a:r>
            <a:rPr kumimoji="1" lang="ja-JP" altLang="en-US" sz="1000">
              <a:solidFill>
                <a:schemeClr val="lt1"/>
              </a:solidFill>
              <a:effectLst/>
              <a:latin typeface="+mn-lt"/>
              <a:ea typeface="+mn-ea"/>
              <a:cs typeface="+mn-cs"/>
            </a:rPr>
            <a:t>においては計上していません。</a:t>
          </a:r>
          <a:endParaRPr kumimoji="1" lang="en-US" altLang="ja-JP" sz="1000">
            <a:solidFill>
              <a:schemeClr val="lt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00">
            <a:solidFill>
              <a:schemeClr val="lt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lt1"/>
              </a:solidFill>
              <a:effectLst/>
              <a:latin typeface="+mn-lt"/>
              <a:ea typeface="+mn-ea"/>
              <a:cs typeface="+mn-cs"/>
            </a:rPr>
            <a:t>また、送り状の考え方については、お客様控え分だけがカテゴリ</a:t>
          </a:r>
          <a:r>
            <a:rPr kumimoji="1" lang="en-US" altLang="ja-JP" sz="1000">
              <a:solidFill>
                <a:schemeClr val="lt1"/>
              </a:solidFill>
              <a:effectLst/>
              <a:latin typeface="+mn-lt"/>
              <a:ea typeface="+mn-ea"/>
              <a:cs typeface="+mn-cs"/>
            </a:rPr>
            <a:t>12</a:t>
          </a:r>
          <a:r>
            <a:rPr kumimoji="1" lang="ja-JP" altLang="en-US" sz="1000">
              <a:solidFill>
                <a:schemeClr val="lt1"/>
              </a:solidFill>
              <a:effectLst/>
              <a:latin typeface="+mn-lt"/>
              <a:ea typeface="+mn-ea"/>
              <a:cs typeface="+mn-cs"/>
            </a:rPr>
            <a:t>に該当</a:t>
          </a:r>
          <a:r>
            <a:rPr kumimoji="1" lang="en-US" altLang="ja-JP" sz="1000">
              <a:solidFill>
                <a:schemeClr val="lt1"/>
              </a:solidFill>
              <a:effectLst/>
              <a:latin typeface="+mn-lt"/>
              <a:ea typeface="+mn-ea"/>
              <a:cs typeface="+mn-cs"/>
            </a:rPr>
            <a:t>si</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lt1"/>
              </a:solidFill>
              <a:effectLst/>
              <a:latin typeface="+mn-lt"/>
              <a:ea typeface="+mn-ea"/>
              <a:cs typeface="+mn-cs"/>
            </a:rPr>
            <a:t>、業種別解説において事例が示されています。本資料は、同事例を踏まえて、左記のとおり算定しています。</a:t>
          </a:r>
          <a:endParaRPr kumimoji="1" lang="en-US" altLang="ja-JP" sz="1000">
            <a:solidFill>
              <a:schemeClr val="lt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885265</xdr:colOff>
      <xdr:row>0</xdr:row>
      <xdr:rowOff>34417</xdr:rowOff>
    </xdr:from>
    <xdr:to>
      <xdr:col>13</xdr:col>
      <xdr:colOff>11204</xdr:colOff>
      <xdr:row>4</xdr:row>
      <xdr:rowOff>156882</xdr:rowOff>
    </xdr:to>
    <xdr:sp macro="" textlink="">
      <xdr:nvSpPr>
        <xdr:cNvPr id="2" name="角丸四角形吹き出し 1"/>
        <xdr:cNvSpPr/>
      </xdr:nvSpPr>
      <xdr:spPr>
        <a:xfrm>
          <a:off x="8229040" y="34417"/>
          <a:ext cx="697564" cy="808265"/>
        </a:xfrm>
        <a:prstGeom prst="wedgeRoundRectCallout">
          <a:avLst>
            <a:gd name="adj1" fmla="val -58817"/>
            <a:gd name="adj2" fmla="val 562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今回の算定で用いていない排出原単位のなかにも利用可能なものがございます。</a:t>
          </a:r>
          <a:endParaRPr kumimoji="1" lang="en-US" altLang="ja-JP" sz="1050"/>
        </a:p>
        <a:p>
          <a:pPr algn="l"/>
          <a:r>
            <a:rPr kumimoji="1" lang="ja-JP" altLang="en-US" sz="1050"/>
            <a:t>環境省</a:t>
          </a:r>
          <a:r>
            <a:rPr kumimoji="1" lang="en-US" altLang="ja-JP" sz="1050"/>
            <a:t>DB [a]</a:t>
          </a:r>
          <a:r>
            <a:rPr kumimoji="1" lang="ja-JP" altLang="en-US" sz="1050"/>
            <a:t>国内の排出原単位データベース、</a:t>
          </a:r>
          <a:r>
            <a:rPr kumimoji="1" lang="en-US" altLang="ja-JP" sz="1050"/>
            <a:t>[b]</a:t>
          </a:r>
          <a:r>
            <a:rPr kumimoji="1" lang="ja-JP" altLang="en-US" sz="1050"/>
            <a:t>海外の排出原単位データベースを参考に、データベースを利用される方ご自身が、そのデータベースの備えるデータの適合性や、品質等をご確認した上で、ご利用下さい。</a:t>
          </a:r>
          <a:endParaRPr kumimoji="1" lang="en-US" altLang="ja-JP" sz="1050"/>
        </a:p>
      </xdr:txBody>
    </xdr:sp>
    <xdr:clientData/>
  </xdr:twoCellAnchor>
  <xdr:twoCellAnchor>
    <xdr:from>
      <xdr:col>8</xdr:col>
      <xdr:colOff>930088</xdr:colOff>
      <xdr:row>104</xdr:row>
      <xdr:rowOff>22412</xdr:rowOff>
    </xdr:from>
    <xdr:to>
      <xdr:col>11</xdr:col>
      <xdr:colOff>1423147</xdr:colOff>
      <xdr:row>122</xdr:row>
      <xdr:rowOff>179293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176892</xdr:colOff>
      <xdr:row>87</xdr:row>
      <xdr:rowOff>112058</xdr:rowOff>
    </xdr:from>
    <xdr:to>
      <xdr:col>12</xdr:col>
      <xdr:colOff>4952999</xdr:colOff>
      <xdr:row>90</xdr:row>
      <xdr:rowOff>103908</xdr:rowOff>
    </xdr:to>
    <xdr:sp macro="" textlink="">
      <xdr:nvSpPr>
        <xdr:cNvPr id="4" name="角丸四角形吹き出し 3"/>
        <xdr:cNvSpPr/>
      </xdr:nvSpPr>
      <xdr:spPr>
        <a:xfrm>
          <a:off x="8406492" y="15028208"/>
          <a:ext cx="508907" cy="506200"/>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算定事業者が株式保有する企業のスコープ</a:t>
          </a:r>
          <a:r>
            <a:rPr kumimoji="1" lang="en-US" altLang="ja-JP" sz="1100"/>
            <a:t>1,2</a:t>
          </a:r>
          <a:r>
            <a:rPr kumimoji="1" lang="ja-JP" altLang="en-US" sz="1100"/>
            <a:t>排出量は、</a:t>
          </a:r>
          <a:endParaRPr kumimoji="1" lang="en-US" altLang="ja-JP" sz="1100"/>
        </a:p>
        <a:p>
          <a:pPr algn="l"/>
          <a:r>
            <a:rPr kumimoji="1" lang="ja-JP" altLang="en-US" sz="1100"/>
            <a:t>一般に当該企業の</a:t>
          </a:r>
          <a:r>
            <a:rPr kumimoji="1" lang="en-US" altLang="ja-JP" sz="1100"/>
            <a:t>CSR</a:t>
          </a:r>
          <a:r>
            <a:rPr kumimoji="1" lang="ja-JP" altLang="en-US" sz="1100"/>
            <a:t>報告書、環境報告書等に掲載されてます。</a:t>
          </a:r>
          <a:endParaRPr kumimoji="1" lang="en-US" altLang="ja-JP" sz="1100"/>
        </a:p>
      </xdr:txBody>
    </xdr:sp>
    <xdr:clientData/>
  </xdr:twoCellAnchor>
  <xdr:twoCellAnchor>
    <xdr:from>
      <xdr:col>12</xdr:col>
      <xdr:colOff>136872</xdr:colOff>
      <xdr:row>96</xdr:row>
      <xdr:rowOff>48025</xdr:rowOff>
    </xdr:from>
    <xdr:to>
      <xdr:col>12</xdr:col>
      <xdr:colOff>4953000</xdr:colOff>
      <xdr:row>99</xdr:row>
      <xdr:rowOff>39875</xdr:rowOff>
    </xdr:to>
    <xdr:sp macro="" textlink="">
      <xdr:nvSpPr>
        <xdr:cNvPr id="5" name="角丸四角形吹き出し 4"/>
        <xdr:cNvSpPr/>
      </xdr:nvSpPr>
      <xdr:spPr>
        <a:xfrm>
          <a:off x="8366472" y="16507225"/>
          <a:ext cx="548928" cy="506200"/>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smtClean="0">
              <a:solidFill>
                <a:schemeClr val="lt1"/>
              </a:solidFill>
              <a:latin typeface="+mn-lt"/>
              <a:ea typeface="+mn-ea"/>
              <a:cs typeface="+mn-cs"/>
            </a:rPr>
            <a:t>「その他」について詳しくは、</a:t>
          </a:r>
          <a:r>
            <a:rPr lang="en-US" altLang="ja-JP" sz="1100" b="0" i="0" u="none" strike="noStrike" baseline="0" smtClean="0">
              <a:solidFill>
                <a:schemeClr val="lt1"/>
              </a:solidFill>
              <a:latin typeface="+mn-lt"/>
              <a:ea typeface="+mn-ea"/>
              <a:cs typeface="+mn-cs"/>
            </a:rPr>
            <a:t>Q&amp;A</a:t>
          </a:r>
          <a:r>
            <a:rPr lang="ja-JP" altLang="en-US" sz="1100" b="0" i="0" u="none" strike="noStrike" baseline="0" smtClean="0">
              <a:solidFill>
                <a:schemeClr val="lt1"/>
              </a:solidFill>
              <a:latin typeface="+mn-lt"/>
              <a:ea typeface="+mn-ea"/>
              <a:cs typeface="+mn-cs"/>
            </a:rPr>
            <a:t>の</a:t>
          </a:r>
          <a:r>
            <a:rPr lang="en-US" altLang="ja-JP" sz="1100" b="0" i="0" u="none" strike="noStrike" baseline="0" smtClean="0">
              <a:solidFill>
                <a:schemeClr val="lt1"/>
              </a:solidFill>
              <a:latin typeface="+mn-lt"/>
              <a:ea typeface="+mn-ea"/>
              <a:cs typeface="+mn-cs"/>
            </a:rPr>
            <a:t>P41</a:t>
          </a:r>
          <a:r>
            <a:rPr lang="ja-JP" altLang="en-US" sz="1100" b="0" i="0" u="none" strike="noStrike" baseline="0" smtClean="0">
              <a:solidFill>
                <a:schemeClr val="lt1"/>
              </a:solidFill>
              <a:latin typeface="+mn-lt"/>
              <a:ea typeface="+mn-ea"/>
              <a:cs typeface="+mn-cs"/>
            </a:rPr>
            <a:t>や参考書</a:t>
          </a:r>
          <a:r>
            <a:rPr lang="en-US" altLang="ja-JP" sz="1100" b="0" i="0" u="none" strike="noStrike" baseline="0" smtClean="0">
              <a:solidFill>
                <a:schemeClr val="lt1"/>
              </a:solidFill>
              <a:latin typeface="+mn-lt"/>
              <a:ea typeface="+mn-ea"/>
              <a:cs typeface="+mn-cs"/>
            </a:rPr>
            <a:t>P40-41</a:t>
          </a:r>
          <a:r>
            <a:rPr lang="ja-JP" altLang="en-US" sz="1100" b="0" i="0" u="none" strike="noStrike" baseline="0" smtClean="0">
              <a:solidFill>
                <a:schemeClr val="lt1"/>
              </a:solidFill>
              <a:latin typeface="+mn-lt"/>
              <a:ea typeface="+mn-ea"/>
              <a:cs typeface="+mn-cs"/>
            </a:rPr>
            <a:t>をご欄ください。</a:t>
          </a:r>
          <a:endParaRPr kumimoji="1" lang="en-US" altLang="ja-JP" sz="1100"/>
        </a:p>
      </xdr:txBody>
    </xdr:sp>
    <xdr:clientData/>
  </xdr:twoCellAnchor>
  <xdr:twoCellAnchor>
    <xdr:from>
      <xdr:col>0</xdr:col>
      <xdr:colOff>0</xdr:colOff>
      <xdr:row>39</xdr:row>
      <xdr:rowOff>173181</xdr:rowOff>
    </xdr:from>
    <xdr:to>
      <xdr:col>1</xdr:col>
      <xdr:colOff>2213525</xdr:colOff>
      <xdr:row>41</xdr:row>
      <xdr:rowOff>95250</xdr:rowOff>
    </xdr:to>
    <xdr:sp macro="" textlink="">
      <xdr:nvSpPr>
        <xdr:cNvPr id="6" name="角丸四角形吹き出し 5"/>
        <xdr:cNvSpPr/>
      </xdr:nvSpPr>
      <xdr:spPr>
        <a:xfrm>
          <a:off x="0" y="6859731"/>
          <a:ext cx="1375325" cy="264969"/>
        </a:xfrm>
        <a:prstGeom prst="wedgeRoundRectCallout">
          <a:avLst>
            <a:gd name="adj1" fmla="val 65717"/>
            <a:gd name="adj2" fmla="val -7815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①省エネ法報告値から</a:t>
          </a:r>
          <a:endParaRPr kumimoji="1" lang="en-US" altLang="ja-JP" sz="1050"/>
        </a:p>
        <a:p>
          <a:pPr algn="l"/>
          <a:r>
            <a:rPr kumimoji="1" lang="ja-JP" altLang="en-US" sz="1050"/>
            <a:t>②スコープ</a:t>
          </a:r>
          <a:r>
            <a:rPr kumimoji="1" lang="en-US" altLang="ja-JP" sz="1050"/>
            <a:t>1,2</a:t>
          </a:r>
          <a:r>
            <a:rPr kumimoji="1" lang="ja-JP" altLang="en-US" sz="1050"/>
            <a:t>排出量との重複分を</a:t>
          </a:r>
          <a:endParaRPr kumimoji="1" lang="en-US" altLang="ja-JP" sz="1050"/>
        </a:p>
        <a:p>
          <a:pPr algn="l"/>
          <a:r>
            <a:rPr kumimoji="1" lang="ja-JP" altLang="en-US" sz="1050"/>
            <a:t>差し引く。</a:t>
          </a:r>
          <a:endParaRPr kumimoji="1" lang="en-US" altLang="ja-JP" sz="1050"/>
        </a:p>
      </xdr:txBody>
    </xdr:sp>
    <xdr:clientData/>
  </xdr:twoCellAnchor>
  <xdr:twoCellAnchor>
    <xdr:from>
      <xdr:col>13</xdr:col>
      <xdr:colOff>182212</xdr:colOff>
      <xdr:row>35</xdr:row>
      <xdr:rowOff>16405</xdr:rowOff>
    </xdr:from>
    <xdr:to>
      <xdr:col>19</xdr:col>
      <xdr:colOff>604630</xdr:colOff>
      <xdr:row>42</xdr:row>
      <xdr:rowOff>409575</xdr:rowOff>
    </xdr:to>
    <xdr:sp macro="" textlink="">
      <xdr:nvSpPr>
        <xdr:cNvPr id="7" name="角丸四角形吹き出し 6"/>
        <xdr:cNvSpPr/>
      </xdr:nvSpPr>
      <xdr:spPr>
        <a:xfrm>
          <a:off x="9097612" y="6017155"/>
          <a:ext cx="4537218" cy="1355195"/>
        </a:xfrm>
        <a:prstGeom prst="wedgeRoundRectCallout">
          <a:avLst>
            <a:gd name="adj1" fmla="val -57397"/>
            <a:gd name="adj2" fmla="val -3330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調達物の重量を把握していない場合、サンプリング等により推計する方法があります。</a:t>
          </a:r>
          <a:endParaRPr kumimoji="1" lang="en-US" altLang="ja-JP" sz="1050"/>
        </a:p>
        <a:p>
          <a:pPr algn="l"/>
          <a:r>
            <a:rPr kumimoji="1" lang="ja-JP" altLang="en-US" sz="1050"/>
            <a:t>本資料では、ビル、道路の</a:t>
          </a:r>
          <a:r>
            <a:rPr kumimoji="1" lang="en-US" altLang="ja-JP" sz="1050"/>
            <a:t>2</a:t>
          </a:r>
          <a:r>
            <a:rPr kumimoji="1" lang="ja-JP" altLang="en-US" sz="1050"/>
            <a:t>種に分けてサンプルデータを作成していますが、例えば更に大型ビル、小型ビルで分ける等、算定事業者の目的に応じて、算定を詳細化することが望ましいです。</a:t>
          </a:r>
          <a:endParaRPr kumimoji="1" lang="en-US" altLang="ja-JP" sz="1050"/>
        </a:p>
        <a:p>
          <a:pPr algn="l"/>
          <a:endParaRPr kumimoji="1" lang="en-US" altLang="ja-JP" sz="1050"/>
        </a:p>
        <a:p>
          <a:pPr algn="l"/>
          <a:r>
            <a:rPr kumimoji="1" lang="ja-JP" altLang="en-US" sz="1050"/>
            <a:t>あるいは、環境省</a:t>
          </a:r>
          <a:r>
            <a:rPr kumimoji="1" lang="en-US" altLang="ja-JP" sz="1050"/>
            <a:t>DB[5]</a:t>
          </a:r>
          <a:r>
            <a:rPr kumimoji="1" lang="ja-JP" altLang="en-US" sz="1050"/>
            <a:t>産業連関表ベースの排出原単位のなかには、参考情報として「単価」が掲載されています。例えば、セメント製品は</a:t>
          </a:r>
          <a:r>
            <a:rPr kumimoji="1" lang="en-US" altLang="ja-JP" sz="1050"/>
            <a:t>0.02092 [</a:t>
          </a:r>
          <a:r>
            <a:rPr kumimoji="1" lang="ja-JP" altLang="en-US" sz="1050"/>
            <a:t>百万円</a:t>
          </a:r>
          <a:r>
            <a:rPr kumimoji="1" lang="en-US" altLang="ja-JP" sz="1050"/>
            <a:t>/t]</a:t>
          </a:r>
          <a:r>
            <a:rPr kumimoji="1" lang="ja-JP" altLang="en-US" sz="1050"/>
            <a:t>です。この単価で調達金額を除すと、調達重量が推計できます。なお、なかには単価情報が無いもの、単価の単位が重量以外（１台当たり、面積当たり、体積当たりなど）のものなどがあるため、注意が必要です。</a:t>
          </a:r>
          <a:endParaRPr kumimoji="1" lang="en-US" altLang="ja-JP" sz="1050"/>
        </a:p>
      </xdr:txBody>
    </xdr:sp>
    <xdr:clientData/>
  </xdr:twoCellAnchor>
  <xdr:twoCellAnchor>
    <xdr:from>
      <xdr:col>13</xdr:col>
      <xdr:colOff>229466</xdr:colOff>
      <xdr:row>10</xdr:row>
      <xdr:rowOff>233796</xdr:rowOff>
    </xdr:from>
    <xdr:to>
      <xdr:col>19</xdr:col>
      <xdr:colOff>564842</xdr:colOff>
      <xdr:row>20</xdr:row>
      <xdr:rowOff>190500</xdr:rowOff>
    </xdr:to>
    <xdr:sp macro="" textlink="">
      <xdr:nvSpPr>
        <xdr:cNvPr id="8" name="角丸四角形吹き出し 7"/>
        <xdr:cNvSpPr/>
      </xdr:nvSpPr>
      <xdr:spPr>
        <a:xfrm>
          <a:off x="9144866" y="1881621"/>
          <a:ext cx="4450176" cy="1718829"/>
        </a:xfrm>
        <a:prstGeom prst="wedgeRoundRectCallout">
          <a:avLst>
            <a:gd name="adj1" fmla="val -57551"/>
            <a:gd name="adj2" fmla="val 3314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活動量として金額しか把握していないことから産業連関表ベースの金額ベースの排出原単位を利用する事業者は多い。一方で、購入した物品の重量や数量等の情報を把握しているにも関わらず、対応する適切な排出原単位が無いことから、</a:t>
          </a:r>
          <a:r>
            <a:rPr kumimoji="1" lang="ja-JP" altLang="ja-JP" sz="1100">
              <a:solidFill>
                <a:schemeClr val="lt1"/>
              </a:solidFill>
              <a:effectLst/>
              <a:latin typeface="+mn-lt"/>
              <a:ea typeface="+mn-ea"/>
              <a:cs typeface="+mn-cs"/>
            </a:rPr>
            <a:t>産業連関表ベースの金額ベースの排出原単位</a:t>
          </a:r>
          <a:r>
            <a:rPr kumimoji="1" lang="ja-JP" altLang="en-US" sz="1100">
              <a:solidFill>
                <a:schemeClr val="lt1"/>
              </a:solidFill>
              <a:effectLst/>
              <a:latin typeface="+mn-lt"/>
              <a:ea typeface="+mn-ea"/>
              <a:cs typeface="+mn-cs"/>
            </a:rPr>
            <a:t>を適用することも有り得る。</a:t>
          </a:r>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なお、業界団体等が</a:t>
          </a:r>
          <a:r>
            <a:rPr kumimoji="1" lang="en-US" altLang="ja-JP" sz="1100">
              <a:solidFill>
                <a:schemeClr val="lt1"/>
              </a:solidFill>
              <a:effectLst/>
              <a:latin typeface="+mn-lt"/>
              <a:ea typeface="+mn-ea"/>
              <a:cs typeface="+mn-cs"/>
            </a:rPr>
            <a:t>LCA</a:t>
          </a:r>
          <a:r>
            <a:rPr kumimoji="1" lang="ja-JP" altLang="en-US" sz="1100">
              <a:solidFill>
                <a:schemeClr val="lt1"/>
              </a:solidFill>
              <a:effectLst/>
              <a:latin typeface="+mn-lt"/>
              <a:ea typeface="+mn-ea"/>
              <a:cs typeface="+mn-cs"/>
            </a:rPr>
            <a:t>を検討・公開している場合もあるため、適切な排出原単位を検討する際には、データベースだけではなく業界団体の公開情報等を確認すると良い。</a:t>
          </a:r>
          <a:endParaRPr kumimoji="1" lang="en-US" altLang="ja-JP" sz="1050"/>
        </a:p>
      </xdr:txBody>
    </xdr:sp>
    <xdr:clientData/>
  </xdr:twoCellAnchor>
  <xdr:twoCellAnchor>
    <xdr:from>
      <xdr:col>13</xdr:col>
      <xdr:colOff>176893</xdr:colOff>
      <xdr:row>52</xdr:row>
      <xdr:rowOff>40822</xdr:rowOff>
    </xdr:from>
    <xdr:to>
      <xdr:col>19</xdr:col>
      <xdr:colOff>599311</xdr:colOff>
      <xdr:row>55</xdr:row>
      <xdr:rowOff>149678</xdr:rowOff>
    </xdr:to>
    <xdr:sp macro="" textlink="">
      <xdr:nvSpPr>
        <xdr:cNvPr id="9" name="角丸四角形吹き出し 8"/>
        <xdr:cNvSpPr/>
      </xdr:nvSpPr>
      <xdr:spPr>
        <a:xfrm>
          <a:off x="9092293" y="8956222"/>
          <a:ext cx="4537218" cy="623206"/>
        </a:xfrm>
        <a:prstGeom prst="wedgeRoundRectCallout">
          <a:avLst>
            <a:gd name="adj1" fmla="val -57397"/>
            <a:gd name="adj2" fmla="val -3330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排出原単位の選択で判断に迷ったとき、恣意的に排出量を過小評価しているという非難を避けるため、排出量を大きく見積もる方法があります。</a:t>
          </a:r>
          <a:endParaRPr kumimoji="1" lang="en-US" altLang="ja-JP" sz="1050"/>
        </a:p>
        <a:p>
          <a:pPr algn="l"/>
          <a:r>
            <a:rPr kumimoji="1" lang="ja-JP" altLang="en-US" sz="1050"/>
            <a:t>ただし、</a:t>
          </a:r>
          <a:r>
            <a:rPr kumimoji="1" lang="ja-JP" altLang="ja-JP" sz="1100">
              <a:solidFill>
                <a:schemeClr val="lt1"/>
              </a:solidFill>
              <a:effectLst/>
              <a:latin typeface="+mn-lt"/>
              <a:ea typeface="+mn-ea"/>
              <a:cs typeface="+mn-cs"/>
            </a:rPr>
            <a:t>実態から明らかに乖離した算定となるとそれもまた本質的では</a:t>
          </a:r>
          <a:r>
            <a:rPr kumimoji="1" lang="ja-JP" altLang="en-US" sz="1100">
              <a:solidFill>
                <a:schemeClr val="lt1"/>
              </a:solidFill>
              <a:effectLst/>
              <a:latin typeface="+mn-lt"/>
              <a:ea typeface="+mn-ea"/>
              <a:cs typeface="+mn-cs"/>
            </a:rPr>
            <a:t>ありません。</a:t>
          </a:r>
          <a:r>
            <a:rPr kumimoji="1" lang="ja-JP" altLang="en-US" sz="1050"/>
            <a:t>オフィスごみで示しているように、原単位を選択する理由（例えば、オフィスごみの大部分が紙くずであること）を示したうえで、より実態に近い排出原単位を選択することも可能です。</a:t>
          </a:r>
          <a:endParaRPr kumimoji="1" lang="en-US" altLang="ja-JP" sz="105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885265</xdr:colOff>
      <xdr:row>0</xdr:row>
      <xdr:rowOff>34417</xdr:rowOff>
    </xdr:from>
    <xdr:to>
      <xdr:col>13</xdr:col>
      <xdr:colOff>11204</xdr:colOff>
      <xdr:row>4</xdr:row>
      <xdr:rowOff>156882</xdr:rowOff>
    </xdr:to>
    <xdr:sp macro="" textlink="">
      <xdr:nvSpPr>
        <xdr:cNvPr id="2" name="角丸四角形吹き出し 1"/>
        <xdr:cNvSpPr/>
      </xdr:nvSpPr>
      <xdr:spPr>
        <a:xfrm>
          <a:off x="8229040" y="34417"/>
          <a:ext cx="697564" cy="808265"/>
        </a:xfrm>
        <a:prstGeom prst="wedgeRoundRectCallout">
          <a:avLst>
            <a:gd name="adj1" fmla="val -58817"/>
            <a:gd name="adj2" fmla="val 562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今回の算定で用いていない排出原単位のなかにも利用可能なものがございます。</a:t>
          </a:r>
          <a:endParaRPr kumimoji="1" lang="en-US" altLang="ja-JP" sz="1050"/>
        </a:p>
        <a:p>
          <a:pPr algn="l"/>
          <a:r>
            <a:rPr kumimoji="1" lang="ja-JP" altLang="en-US" sz="1050"/>
            <a:t>環境省</a:t>
          </a:r>
          <a:r>
            <a:rPr kumimoji="1" lang="en-US" altLang="ja-JP" sz="1050"/>
            <a:t>DB [a]</a:t>
          </a:r>
          <a:r>
            <a:rPr kumimoji="1" lang="ja-JP" altLang="en-US" sz="1050"/>
            <a:t>国内の排出原単位データベース、</a:t>
          </a:r>
          <a:r>
            <a:rPr kumimoji="1" lang="en-US" altLang="ja-JP" sz="1050"/>
            <a:t>[b]</a:t>
          </a:r>
          <a:r>
            <a:rPr kumimoji="1" lang="ja-JP" altLang="en-US" sz="1050"/>
            <a:t>海外の排出原単位データベースを参考に、データベースを利用される方ご自身が、そのデータベースの備えるデータの適合性や、品質等をご確認した上で、ご利用下さい。</a:t>
          </a:r>
          <a:endParaRPr kumimoji="1" lang="en-US" altLang="ja-JP" sz="1050"/>
        </a:p>
      </xdr:txBody>
    </xdr:sp>
    <xdr:clientData/>
  </xdr:twoCellAnchor>
  <xdr:twoCellAnchor>
    <xdr:from>
      <xdr:col>8</xdr:col>
      <xdr:colOff>930088</xdr:colOff>
      <xdr:row>72</xdr:row>
      <xdr:rowOff>22412</xdr:rowOff>
    </xdr:from>
    <xdr:to>
      <xdr:col>11</xdr:col>
      <xdr:colOff>1423147</xdr:colOff>
      <xdr:row>90</xdr:row>
      <xdr:rowOff>179293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176892</xdr:colOff>
      <xdr:row>55</xdr:row>
      <xdr:rowOff>112058</xdr:rowOff>
    </xdr:from>
    <xdr:to>
      <xdr:col>12</xdr:col>
      <xdr:colOff>4952999</xdr:colOff>
      <xdr:row>58</xdr:row>
      <xdr:rowOff>103908</xdr:rowOff>
    </xdr:to>
    <xdr:sp macro="" textlink="">
      <xdr:nvSpPr>
        <xdr:cNvPr id="4" name="角丸四角形吹き出し 3"/>
        <xdr:cNvSpPr/>
      </xdr:nvSpPr>
      <xdr:spPr>
        <a:xfrm>
          <a:off x="8406492" y="9541808"/>
          <a:ext cx="508907" cy="506200"/>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算定事業者が株式保有する企業のスコープ</a:t>
          </a:r>
          <a:r>
            <a:rPr kumimoji="1" lang="en-US" altLang="ja-JP" sz="1100"/>
            <a:t>1,2</a:t>
          </a:r>
          <a:r>
            <a:rPr kumimoji="1" lang="ja-JP" altLang="en-US" sz="1100"/>
            <a:t>排出量は、</a:t>
          </a:r>
          <a:endParaRPr kumimoji="1" lang="en-US" altLang="ja-JP" sz="1100"/>
        </a:p>
        <a:p>
          <a:pPr algn="l"/>
          <a:r>
            <a:rPr kumimoji="1" lang="ja-JP" altLang="en-US" sz="1100"/>
            <a:t>一般に当該企業の</a:t>
          </a:r>
          <a:r>
            <a:rPr kumimoji="1" lang="en-US" altLang="ja-JP" sz="1100"/>
            <a:t>CSR</a:t>
          </a:r>
          <a:r>
            <a:rPr kumimoji="1" lang="ja-JP" altLang="en-US" sz="1100"/>
            <a:t>報告書、環境報告書等に掲載されてます。</a:t>
          </a:r>
          <a:endParaRPr kumimoji="1" lang="en-US" altLang="ja-JP" sz="1100"/>
        </a:p>
      </xdr:txBody>
    </xdr:sp>
    <xdr:clientData/>
  </xdr:twoCellAnchor>
  <xdr:twoCellAnchor>
    <xdr:from>
      <xdr:col>12</xdr:col>
      <xdr:colOff>136872</xdr:colOff>
      <xdr:row>64</xdr:row>
      <xdr:rowOff>48025</xdr:rowOff>
    </xdr:from>
    <xdr:to>
      <xdr:col>12</xdr:col>
      <xdr:colOff>4953000</xdr:colOff>
      <xdr:row>67</xdr:row>
      <xdr:rowOff>39875</xdr:rowOff>
    </xdr:to>
    <xdr:sp macro="" textlink="">
      <xdr:nvSpPr>
        <xdr:cNvPr id="5" name="角丸四角形吹き出し 4"/>
        <xdr:cNvSpPr/>
      </xdr:nvSpPr>
      <xdr:spPr>
        <a:xfrm>
          <a:off x="8366472" y="11020825"/>
          <a:ext cx="548928" cy="506200"/>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smtClean="0">
              <a:solidFill>
                <a:schemeClr val="lt1"/>
              </a:solidFill>
              <a:latin typeface="+mn-lt"/>
              <a:ea typeface="+mn-ea"/>
              <a:cs typeface="+mn-cs"/>
            </a:rPr>
            <a:t>「その他」について詳しくは、</a:t>
          </a:r>
          <a:r>
            <a:rPr lang="en-US" altLang="ja-JP" sz="1100" b="0" i="0" u="none" strike="noStrike" baseline="0" smtClean="0">
              <a:solidFill>
                <a:schemeClr val="lt1"/>
              </a:solidFill>
              <a:latin typeface="+mn-lt"/>
              <a:ea typeface="+mn-ea"/>
              <a:cs typeface="+mn-cs"/>
            </a:rPr>
            <a:t>Q&amp;A</a:t>
          </a:r>
          <a:r>
            <a:rPr lang="ja-JP" altLang="en-US" sz="1100" b="0" i="0" u="none" strike="noStrike" baseline="0" smtClean="0">
              <a:solidFill>
                <a:schemeClr val="lt1"/>
              </a:solidFill>
              <a:latin typeface="+mn-lt"/>
              <a:ea typeface="+mn-ea"/>
              <a:cs typeface="+mn-cs"/>
            </a:rPr>
            <a:t>の</a:t>
          </a:r>
          <a:r>
            <a:rPr lang="en-US" altLang="ja-JP" sz="1100" b="0" i="0" u="none" strike="noStrike" baseline="0" smtClean="0">
              <a:solidFill>
                <a:schemeClr val="lt1"/>
              </a:solidFill>
              <a:latin typeface="+mn-lt"/>
              <a:ea typeface="+mn-ea"/>
              <a:cs typeface="+mn-cs"/>
            </a:rPr>
            <a:t>P44</a:t>
          </a:r>
          <a:r>
            <a:rPr lang="ja-JP" altLang="en-US" sz="1100" b="0" i="0" u="none" strike="noStrike" baseline="0" smtClean="0">
              <a:solidFill>
                <a:schemeClr val="lt1"/>
              </a:solidFill>
              <a:latin typeface="+mn-lt"/>
              <a:ea typeface="+mn-ea"/>
              <a:cs typeface="+mn-cs"/>
            </a:rPr>
            <a:t>や参考書</a:t>
          </a:r>
          <a:r>
            <a:rPr lang="en-US" altLang="ja-JP" sz="1100" b="0" i="0" u="none" strike="noStrike" baseline="0" smtClean="0">
              <a:solidFill>
                <a:schemeClr val="lt1"/>
              </a:solidFill>
              <a:latin typeface="+mn-lt"/>
              <a:ea typeface="+mn-ea"/>
              <a:cs typeface="+mn-cs"/>
            </a:rPr>
            <a:t>P40-41</a:t>
          </a:r>
          <a:r>
            <a:rPr lang="ja-JP" altLang="en-US" sz="1100" b="0" i="0" u="none" strike="noStrike" baseline="0" smtClean="0">
              <a:solidFill>
                <a:schemeClr val="lt1"/>
              </a:solidFill>
              <a:latin typeface="+mn-lt"/>
              <a:ea typeface="+mn-ea"/>
              <a:cs typeface="+mn-cs"/>
            </a:rPr>
            <a:t>をご欄ください。</a:t>
          </a:r>
          <a:endParaRPr kumimoji="1" lang="en-US" altLang="ja-JP" sz="1100"/>
        </a:p>
      </xdr:txBody>
    </xdr:sp>
    <xdr:clientData/>
  </xdr:twoCellAnchor>
  <xdr:twoCellAnchor>
    <xdr:from>
      <xdr:col>5</xdr:col>
      <xdr:colOff>22411</xdr:colOff>
      <xdr:row>27</xdr:row>
      <xdr:rowOff>244929</xdr:rowOff>
    </xdr:from>
    <xdr:to>
      <xdr:col>6</xdr:col>
      <xdr:colOff>896469</xdr:colOff>
      <xdr:row>27</xdr:row>
      <xdr:rowOff>739587</xdr:rowOff>
    </xdr:to>
    <xdr:sp macro="" textlink="">
      <xdr:nvSpPr>
        <xdr:cNvPr id="6" name="角丸四角形吹き出し 5"/>
        <xdr:cNvSpPr/>
      </xdr:nvSpPr>
      <xdr:spPr>
        <a:xfrm>
          <a:off x="3451411" y="4797879"/>
          <a:ext cx="1350308" cy="0"/>
        </a:xfrm>
        <a:prstGeom prst="wedgeRoundRectCallout">
          <a:avLst>
            <a:gd name="adj1" fmla="val 52076"/>
            <a:gd name="adj2" fmla="val -4872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t>Σ</a:t>
          </a:r>
          <a:r>
            <a:rPr kumimoji="1" lang="ja-JP" altLang="en-US" sz="1050"/>
            <a:t>（調達金額</a:t>
          </a:r>
          <a:r>
            <a:rPr kumimoji="1" lang="en-US" altLang="ja-JP" sz="1050"/>
            <a:t>×</a:t>
          </a:r>
          <a:r>
            <a:rPr kumimoji="1" lang="ja-JP" altLang="en-US" sz="1050"/>
            <a:t>金額あたり重量）</a:t>
          </a:r>
          <a:r>
            <a:rPr kumimoji="1" lang="en-US" altLang="ja-JP" sz="1050"/>
            <a:t>×</a:t>
          </a:r>
          <a:r>
            <a:rPr kumimoji="1" lang="ja-JP" altLang="en-US" sz="1050"/>
            <a:t>距離</a:t>
          </a:r>
          <a:endParaRPr kumimoji="1" lang="en-US" altLang="ja-JP" sz="1050"/>
        </a:p>
        <a:p>
          <a:pPr algn="l"/>
          <a:r>
            <a:rPr kumimoji="1" lang="ja-JP" altLang="en-US" sz="1050"/>
            <a:t>（</a:t>
          </a:r>
          <a:r>
            <a:rPr kumimoji="1" lang="en-US" altLang="ja-JP" sz="1050"/>
            <a:t>5000×0.0625</a:t>
          </a:r>
          <a:r>
            <a:rPr kumimoji="1" lang="ja-JP" altLang="en-US" sz="1050"/>
            <a:t>＋</a:t>
          </a:r>
          <a:r>
            <a:rPr kumimoji="1" lang="en-US" altLang="ja-JP" sz="1050"/>
            <a:t>1200×0.05</a:t>
          </a:r>
          <a:r>
            <a:rPr kumimoji="1" lang="ja-JP" altLang="en-US" sz="1050"/>
            <a:t>）</a:t>
          </a:r>
          <a:r>
            <a:rPr kumimoji="1" lang="en-US" altLang="ja-JP" sz="1050"/>
            <a:t>×2111</a:t>
          </a:r>
        </a:p>
      </xdr:txBody>
    </xdr:sp>
    <xdr:clientData/>
  </xdr:twoCellAnchor>
  <xdr:twoCellAnchor>
    <xdr:from>
      <xdr:col>5</xdr:col>
      <xdr:colOff>29135</xdr:colOff>
      <xdr:row>28</xdr:row>
      <xdr:rowOff>231322</xdr:rowOff>
    </xdr:from>
    <xdr:to>
      <xdr:col>6</xdr:col>
      <xdr:colOff>896470</xdr:colOff>
      <xdr:row>28</xdr:row>
      <xdr:rowOff>735107</xdr:rowOff>
    </xdr:to>
    <xdr:sp macro="" textlink="">
      <xdr:nvSpPr>
        <xdr:cNvPr id="7" name="角丸四角形吹き出し 6"/>
        <xdr:cNvSpPr/>
      </xdr:nvSpPr>
      <xdr:spPr>
        <a:xfrm>
          <a:off x="3458135" y="4974772"/>
          <a:ext cx="1343585" cy="0"/>
        </a:xfrm>
        <a:prstGeom prst="wedgeRoundRectCallout">
          <a:avLst>
            <a:gd name="adj1" fmla="val 52477"/>
            <a:gd name="adj2" fmla="val -5072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t>Σ</a:t>
          </a:r>
          <a:r>
            <a:rPr kumimoji="1" lang="ja-JP" altLang="en-US" sz="1050"/>
            <a:t>（調達金額</a:t>
          </a:r>
          <a:r>
            <a:rPr kumimoji="1" lang="en-US" altLang="ja-JP" sz="1050"/>
            <a:t>×</a:t>
          </a:r>
          <a:r>
            <a:rPr kumimoji="1" lang="ja-JP" altLang="en-US" sz="1050"/>
            <a:t>金額あたり重量）</a:t>
          </a:r>
          <a:r>
            <a:rPr kumimoji="1" lang="en-US" altLang="ja-JP" sz="1050"/>
            <a:t>×</a:t>
          </a:r>
          <a:r>
            <a:rPr kumimoji="1" lang="ja-JP" altLang="en-US" sz="1050"/>
            <a:t>距離</a:t>
          </a:r>
          <a:endParaRPr kumimoji="1" lang="en-US" altLang="ja-JP" sz="1050"/>
        </a:p>
        <a:p>
          <a:pPr algn="l"/>
          <a:r>
            <a:rPr kumimoji="1" lang="ja-JP" altLang="en-US" sz="1050"/>
            <a:t>（</a:t>
          </a:r>
          <a:r>
            <a:rPr kumimoji="1" lang="en-US" altLang="ja-JP" sz="1050"/>
            <a:t>5000×0.0625</a:t>
          </a:r>
          <a:r>
            <a:rPr kumimoji="1" lang="ja-JP" altLang="en-US" sz="1050"/>
            <a:t>＋</a:t>
          </a:r>
          <a:r>
            <a:rPr kumimoji="1" lang="en-US" altLang="ja-JP" sz="1050"/>
            <a:t>1200×0.05</a:t>
          </a:r>
          <a:r>
            <a:rPr kumimoji="1" lang="ja-JP" altLang="en-US" sz="1050"/>
            <a:t>）</a:t>
          </a:r>
          <a:r>
            <a:rPr kumimoji="1" lang="en-US" altLang="ja-JP" sz="1050"/>
            <a:t>×500</a:t>
          </a:r>
        </a:p>
      </xdr:txBody>
    </xdr:sp>
    <xdr:clientData/>
  </xdr:twoCellAnchor>
  <xdr:twoCellAnchor>
    <xdr:from>
      <xdr:col>5</xdr:col>
      <xdr:colOff>22409</xdr:colOff>
      <xdr:row>25</xdr:row>
      <xdr:rowOff>217715</xdr:rowOff>
    </xdr:from>
    <xdr:to>
      <xdr:col>6</xdr:col>
      <xdr:colOff>874055</xdr:colOff>
      <xdr:row>25</xdr:row>
      <xdr:rowOff>739584</xdr:rowOff>
    </xdr:to>
    <xdr:sp macro="" textlink="">
      <xdr:nvSpPr>
        <xdr:cNvPr id="8" name="角丸四角形吹き出し 7"/>
        <xdr:cNvSpPr/>
      </xdr:nvSpPr>
      <xdr:spPr>
        <a:xfrm>
          <a:off x="3451409" y="4456340"/>
          <a:ext cx="1346946" cy="0"/>
        </a:xfrm>
        <a:prstGeom prst="wedgeRoundRectCallout">
          <a:avLst>
            <a:gd name="adj1" fmla="val 54515"/>
            <a:gd name="adj2" fmla="val -5072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t>Σ</a:t>
          </a:r>
          <a:r>
            <a:rPr kumimoji="1" lang="ja-JP" altLang="en-US" sz="1050"/>
            <a:t>（調達金額</a:t>
          </a:r>
          <a:r>
            <a:rPr kumimoji="1" lang="en-US" altLang="ja-JP" sz="1050"/>
            <a:t>×</a:t>
          </a:r>
          <a:r>
            <a:rPr kumimoji="1" lang="ja-JP" altLang="en-US" sz="1050"/>
            <a:t>金額あたり重量）</a:t>
          </a:r>
          <a:r>
            <a:rPr kumimoji="1" lang="en-US" altLang="ja-JP" sz="1050"/>
            <a:t>×</a:t>
          </a:r>
          <a:r>
            <a:rPr kumimoji="1" lang="ja-JP" altLang="en-US" sz="1050"/>
            <a:t>距離</a:t>
          </a:r>
          <a:endParaRPr kumimoji="1" lang="en-US" altLang="ja-JP" sz="1050"/>
        </a:p>
        <a:p>
          <a:pPr algn="l"/>
          <a:r>
            <a:rPr kumimoji="1" lang="ja-JP" altLang="en-US" sz="1050"/>
            <a:t>（</a:t>
          </a:r>
          <a:r>
            <a:rPr kumimoji="1" lang="en-US" altLang="ja-JP" sz="1050"/>
            <a:t>5000×0.0625</a:t>
          </a:r>
          <a:r>
            <a:rPr kumimoji="1" lang="ja-JP" altLang="en-US" sz="1050"/>
            <a:t>＋</a:t>
          </a:r>
          <a:r>
            <a:rPr kumimoji="1" lang="en-US" altLang="ja-JP" sz="1050"/>
            <a:t>1200×0.05</a:t>
          </a:r>
          <a:r>
            <a:rPr kumimoji="1" lang="ja-JP" altLang="en-US" sz="1050"/>
            <a:t>）</a:t>
          </a:r>
          <a:r>
            <a:rPr kumimoji="1" lang="en-US" altLang="ja-JP" sz="1050"/>
            <a:t>×500</a:t>
          </a:r>
        </a:p>
      </xdr:txBody>
    </xdr:sp>
    <xdr:clientData/>
  </xdr:twoCellAnchor>
  <xdr:twoCellAnchor>
    <xdr:from>
      <xdr:col>5</xdr:col>
      <xdr:colOff>22410</xdr:colOff>
      <xdr:row>26</xdr:row>
      <xdr:rowOff>244929</xdr:rowOff>
    </xdr:from>
    <xdr:to>
      <xdr:col>6</xdr:col>
      <xdr:colOff>874056</xdr:colOff>
      <xdr:row>26</xdr:row>
      <xdr:rowOff>739587</xdr:rowOff>
    </xdr:to>
    <xdr:sp macro="" textlink="">
      <xdr:nvSpPr>
        <xdr:cNvPr id="9" name="角丸四角形吹き出し 8"/>
        <xdr:cNvSpPr/>
      </xdr:nvSpPr>
      <xdr:spPr>
        <a:xfrm>
          <a:off x="3451410" y="4626429"/>
          <a:ext cx="1346946" cy="0"/>
        </a:xfrm>
        <a:prstGeom prst="wedgeRoundRectCallout">
          <a:avLst>
            <a:gd name="adj1" fmla="val 54515"/>
            <a:gd name="adj2" fmla="val -5072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t>Σ</a:t>
          </a:r>
          <a:r>
            <a:rPr kumimoji="1" lang="ja-JP" altLang="en-US" sz="1050"/>
            <a:t>（調達金額</a:t>
          </a:r>
          <a:r>
            <a:rPr kumimoji="1" lang="en-US" altLang="ja-JP" sz="1050"/>
            <a:t>×</a:t>
          </a:r>
          <a:r>
            <a:rPr kumimoji="1" lang="ja-JP" altLang="en-US" sz="1050"/>
            <a:t>金額あたり重量）</a:t>
          </a:r>
          <a:r>
            <a:rPr kumimoji="1" lang="en-US" altLang="ja-JP" sz="1050"/>
            <a:t>×</a:t>
          </a:r>
          <a:r>
            <a:rPr kumimoji="1" lang="ja-JP" altLang="en-US" sz="1050"/>
            <a:t>距離</a:t>
          </a:r>
          <a:endParaRPr kumimoji="1" lang="en-US" altLang="ja-JP" sz="1050"/>
        </a:p>
        <a:p>
          <a:pPr algn="l"/>
          <a:r>
            <a:rPr kumimoji="1" lang="ja-JP" altLang="en-US" sz="1050"/>
            <a:t>（</a:t>
          </a:r>
          <a:r>
            <a:rPr kumimoji="1" lang="en-US" altLang="ja-JP" sz="1050"/>
            <a:t>5000×0.0625</a:t>
          </a:r>
          <a:r>
            <a:rPr kumimoji="1" lang="ja-JP" altLang="en-US" sz="1050"/>
            <a:t>＋</a:t>
          </a:r>
          <a:r>
            <a:rPr kumimoji="1" lang="en-US" altLang="ja-JP" sz="1050"/>
            <a:t>1200×0.05</a:t>
          </a:r>
          <a:r>
            <a:rPr kumimoji="1" lang="ja-JP" altLang="en-US" sz="1050"/>
            <a:t>）</a:t>
          </a:r>
          <a:r>
            <a:rPr kumimoji="1" lang="en-US" altLang="ja-JP" sz="1050"/>
            <a:t>×100</a:t>
          </a:r>
        </a:p>
      </xdr:txBody>
    </xdr:sp>
    <xdr:clientData/>
  </xdr:twoCellAnchor>
  <xdr:twoCellAnchor>
    <xdr:from>
      <xdr:col>13</xdr:col>
      <xdr:colOff>231320</xdr:colOff>
      <xdr:row>51</xdr:row>
      <xdr:rowOff>29687</xdr:rowOff>
    </xdr:from>
    <xdr:to>
      <xdr:col>19</xdr:col>
      <xdr:colOff>566696</xdr:colOff>
      <xdr:row>61</xdr:row>
      <xdr:rowOff>69272</xdr:rowOff>
    </xdr:to>
    <xdr:sp macro="" textlink="">
      <xdr:nvSpPr>
        <xdr:cNvPr id="10" name="角丸四角形吹き出し 9"/>
        <xdr:cNvSpPr/>
      </xdr:nvSpPr>
      <xdr:spPr>
        <a:xfrm>
          <a:off x="9146720" y="8773637"/>
          <a:ext cx="4450176" cy="1754085"/>
        </a:xfrm>
        <a:prstGeom prst="wedgeRoundRectCallout">
          <a:avLst>
            <a:gd name="adj1" fmla="val -62960"/>
            <a:gd name="adj2" fmla="val -4111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kumimoji="1" lang="ja-JP" altLang="en-US" sz="1100">
              <a:solidFill>
                <a:schemeClr val="lt1"/>
              </a:solidFill>
              <a:latin typeface="+mn-lt"/>
              <a:ea typeface="+mn-ea"/>
              <a:cs typeface="+mn-cs"/>
            </a:rPr>
            <a:t>顧客に販売した製品（カテゴリ </a:t>
          </a:r>
          <a:r>
            <a:rPr kumimoji="1" lang="en-US" altLang="ja-JP" sz="1100">
              <a:solidFill>
                <a:schemeClr val="lt1"/>
              </a:solidFill>
              <a:latin typeface="+mn-lt"/>
              <a:ea typeface="+mn-ea"/>
              <a:cs typeface="+mn-cs"/>
            </a:rPr>
            <a:t>11 </a:t>
          </a:r>
          <a:r>
            <a:rPr kumimoji="1" lang="ja-JP" altLang="en-US" sz="1100">
              <a:solidFill>
                <a:schemeClr val="lt1"/>
              </a:solidFill>
              <a:latin typeface="+mn-lt"/>
              <a:ea typeface="+mn-ea"/>
              <a:cs typeface="+mn-cs"/>
            </a:rPr>
            <a:t>として算定）と顧客にリースした製品（カテゴリ </a:t>
          </a:r>
          <a:r>
            <a:rPr kumimoji="1" lang="en-US" altLang="ja-JP" sz="1100">
              <a:solidFill>
                <a:schemeClr val="lt1"/>
              </a:solidFill>
              <a:latin typeface="+mn-lt"/>
              <a:ea typeface="+mn-ea"/>
              <a:cs typeface="+mn-cs"/>
            </a:rPr>
            <a:t>13 </a:t>
          </a:r>
          <a:r>
            <a:rPr kumimoji="1" lang="ja-JP" altLang="en-US" sz="1100">
              <a:solidFill>
                <a:schemeClr val="lt1"/>
              </a:solidFill>
              <a:latin typeface="+mn-lt"/>
              <a:ea typeface="+mn-ea"/>
              <a:cs typeface="+mn-cs"/>
            </a:rPr>
            <a:t>として算定）を区別することに意味がない場合は、このため顧客にリースした製品について顧客に販売した製品と同様の方法で算定することができます。</a:t>
          </a:r>
          <a:endParaRPr kumimoji="1" lang="en-US" altLang="ja-JP" sz="1100">
            <a:solidFill>
              <a:schemeClr val="lt1"/>
            </a:solidFill>
            <a:latin typeface="+mn-lt"/>
            <a:ea typeface="+mn-ea"/>
            <a:cs typeface="+mn-cs"/>
          </a:endParaRPr>
        </a:p>
        <a:p>
          <a:pPr marL="0" indent="0" algn="l"/>
          <a:endParaRPr kumimoji="1" lang="en-US" altLang="ja-JP" sz="1100">
            <a:solidFill>
              <a:schemeClr val="lt1"/>
            </a:solidFill>
            <a:latin typeface="+mn-lt"/>
            <a:ea typeface="+mn-ea"/>
            <a:cs typeface="+mn-cs"/>
          </a:endParaRPr>
        </a:p>
        <a:p>
          <a:pPr marL="0" indent="0" algn="l"/>
          <a:r>
            <a:rPr kumimoji="1" lang="ja-JP" altLang="en-US" sz="1100">
              <a:solidFill>
                <a:schemeClr val="lt1"/>
              </a:solidFill>
              <a:latin typeface="+mn-lt"/>
              <a:ea typeface="+mn-ea"/>
              <a:cs typeface="+mn-cs"/>
            </a:rPr>
            <a:t>リース</a:t>
          </a:r>
          <a:r>
            <a:rPr kumimoji="1" lang="ja-JP" altLang="ja-JP" sz="1100">
              <a:solidFill>
                <a:schemeClr val="lt1"/>
              </a:solidFill>
              <a:latin typeface="+mn-lt"/>
              <a:ea typeface="+mn-ea"/>
              <a:cs typeface="+mn-cs"/>
            </a:rPr>
            <a:t>で自グループ会社から他者に貸し出している</a:t>
          </a:r>
          <a:r>
            <a:rPr kumimoji="1" lang="ja-JP" altLang="en-US" sz="1100">
              <a:solidFill>
                <a:schemeClr val="lt1"/>
              </a:solidFill>
              <a:latin typeface="+mn-lt"/>
              <a:ea typeface="+mn-ea"/>
              <a:cs typeface="+mn-cs"/>
            </a:rPr>
            <a:t>コンピュータ</a:t>
          </a:r>
          <a:r>
            <a:rPr kumimoji="1" lang="ja-JP" altLang="ja-JP" sz="1100">
              <a:solidFill>
                <a:schemeClr val="lt1"/>
              </a:solidFill>
              <a:latin typeface="+mn-lt"/>
              <a:ea typeface="+mn-ea"/>
              <a:cs typeface="+mn-cs"/>
            </a:rPr>
            <a:t>も存在する。ただし、利用方法・実態などについて、販売した場合とリースした場合による</a:t>
          </a:r>
          <a:r>
            <a:rPr kumimoji="1" lang="ja-JP" altLang="en-US" sz="1100">
              <a:solidFill>
                <a:schemeClr val="lt1"/>
              </a:solidFill>
              <a:latin typeface="+mn-lt"/>
              <a:ea typeface="+mn-ea"/>
              <a:cs typeface="+mn-cs"/>
            </a:rPr>
            <a:t>大きな</a:t>
          </a:r>
          <a:r>
            <a:rPr kumimoji="1" lang="ja-JP" altLang="ja-JP" sz="1100">
              <a:solidFill>
                <a:schemeClr val="lt1"/>
              </a:solidFill>
              <a:latin typeface="+mn-lt"/>
              <a:ea typeface="+mn-ea"/>
              <a:cs typeface="+mn-cs"/>
            </a:rPr>
            <a:t>違いは無い。このことから、カテゴリ</a:t>
          </a:r>
          <a:r>
            <a:rPr kumimoji="1" lang="en-US" altLang="ja-JP" sz="1100">
              <a:solidFill>
                <a:schemeClr val="lt1"/>
              </a:solidFill>
              <a:latin typeface="+mn-lt"/>
              <a:ea typeface="+mn-ea"/>
              <a:cs typeface="+mn-cs"/>
            </a:rPr>
            <a:t>13</a:t>
          </a:r>
          <a:r>
            <a:rPr kumimoji="1" lang="ja-JP" altLang="en-US" sz="1100">
              <a:solidFill>
                <a:schemeClr val="lt1"/>
              </a:solidFill>
              <a:latin typeface="+mn-lt"/>
              <a:ea typeface="+mn-ea"/>
              <a:cs typeface="+mn-cs"/>
            </a:rPr>
            <a:t>を区別して算定する意味が無いと判断し</a:t>
          </a:r>
          <a:r>
            <a:rPr kumimoji="1" lang="ja-JP" altLang="ja-JP" sz="1100">
              <a:solidFill>
                <a:schemeClr val="lt1"/>
              </a:solidFill>
              <a:latin typeface="+mn-lt"/>
              <a:ea typeface="+mn-ea"/>
              <a:cs typeface="+mn-cs"/>
            </a:rPr>
            <a:t>、カテゴリ</a:t>
          </a:r>
          <a:r>
            <a:rPr kumimoji="1" lang="en-US" altLang="ja-JP" sz="1100">
              <a:solidFill>
                <a:schemeClr val="lt1"/>
              </a:solidFill>
              <a:latin typeface="+mn-lt"/>
              <a:ea typeface="+mn-ea"/>
              <a:cs typeface="+mn-cs"/>
            </a:rPr>
            <a:t>11</a:t>
          </a:r>
          <a:r>
            <a:rPr kumimoji="1" lang="ja-JP" altLang="ja-JP" sz="1100">
              <a:solidFill>
                <a:schemeClr val="lt1"/>
              </a:solidFill>
              <a:latin typeface="+mn-lt"/>
              <a:ea typeface="+mn-ea"/>
              <a:cs typeface="+mn-cs"/>
            </a:rPr>
            <a:t>でまとめて計上することとした。</a:t>
          </a:r>
          <a:endParaRPr kumimoji="1" lang="en-US" altLang="ja-JP" sz="1100">
            <a:solidFill>
              <a:schemeClr val="lt1"/>
            </a:solidFill>
            <a:latin typeface="+mn-lt"/>
            <a:ea typeface="+mn-ea"/>
            <a:cs typeface="+mn-cs"/>
          </a:endParaRPr>
        </a:p>
      </xdr:txBody>
    </xdr:sp>
    <xdr:clientData/>
  </xdr:twoCellAnchor>
  <xdr:twoCellAnchor>
    <xdr:from>
      <xdr:col>13</xdr:col>
      <xdr:colOff>142875</xdr:colOff>
      <xdr:row>28</xdr:row>
      <xdr:rowOff>554180</xdr:rowOff>
    </xdr:from>
    <xdr:to>
      <xdr:col>19</xdr:col>
      <xdr:colOff>554181</xdr:colOff>
      <xdr:row>46</xdr:row>
      <xdr:rowOff>259772</xdr:rowOff>
    </xdr:to>
    <xdr:sp macro="" textlink="">
      <xdr:nvSpPr>
        <xdr:cNvPr id="11" name="四角形吹き出し 10"/>
        <xdr:cNvSpPr/>
      </xdr:nvSpPr>
      <xdr:spPr>
        <a:xfrm>
          <a:off x="9058275" y="4973780"/>
          <a:ext cx="4526106" cy="3086967"/>
        </a:xfrm>
        <a:prstGeom prst="wedgeRectCallout">
          <a:avLst>
            <a:gd name="adj1" fmla="val -61853"/>
            <a:gd name="adj2" fmla="val 376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カテゴリ</a:t>
          </a:r>
          <a:r>
            <a:rPr kumimoji="1" lang="en-US" altLang="ja-JP" sz="1100">
              <a:solidFill>
                <a:schemeClr val="lt1"/>
              </a:solidFill>
              <a:effectLst/>
              <a:latin typeface="+mn-lt"/>
              <a:ea typeface="+mn-ea"/>
              <a:cs typeface="+mn-cs"/>
            </a:rPr>
            <a:t>11</a:t>
          </a:r>
          <a:r>
            <a:rPr kumimoji="1" lang="ja-JP" altLang="ja-JP" sz="1100">
              <a:solidFill>
                <a:schemeClr val="lt1"/>
              </a:solidFill>
              <a:effectLst/>
              <a:latin typeface="+mn-lt"/>
              <a:ea typeface="+mn-ea"/>
              <a:cs typeface="+mn-cs"/>
            </a:rPr>
            <a:t>の対象として、直接使用段階排出と間接使用段階排出の</a:t>
          </a:r>
          <a:r>
            <a:rPr kumimoji="1" lang="en-US" altLang="ja-JP" sz="1100">
              <a:solidFill>
                <a:schemeClr val="lt1"/>
              </a:solidFill>
              <a:effectLst/>
              <a:latin typeface="+mn-lt"/>
              <a:ea typeface="+mn-ea"/>
              <a:cs typeface="+mn-cs"/>
            </a:rPr>
            <a:t>2</a:t>
          </a:r>
          <a:r>
            <a:rPr kumimoji="1" lang="ja-JP" altLang="ja-JP" sz="1100">
              <a:solidFill>
                <a:schemeClr val="lt1"/>
              </a:solidFill>
              <a:effectLst/>
              <a:latin typeface="+mn-lt"/>
              <a:ea typeface="+mn-ea"/>
              <a:cs typeface="+mn-cs"/>
            </a:rPr>
            <a:t>種類の排出活動が存在します。直接使用段階排出は必須。間接使用段階排出は任意算定項目です。</a:t>
          </a:r>
          <a:endParaRPr lang="ja-JP" altLang="ja-JP">
            <a:effectLst/>
          </a:endParaRPr>
        </a:p>
        <a:p>
          <a:r>
            <a:rPr kumimoji="1" lang="ja-JP" altLang="ja-JP" sz="1100">
              <a:solidFill>
                <a:schemeClr val="lt1"/>
              </a:solidFill>
              <a:effectLst/>
              <a:latin typeface="+mn-lt"/>
              <a:ea typeface="+mn-ea"/>
              <a:cs typeface="+mn-cs"/>
            </a:rPr>
            <a:t>直接使用段階排出は、製品使用時における電気・燃料・熱の使用に伴うエネルギー起源排出（自動車、家電製品等）、使用時に</a:t>
          </a:r>
          <a:r>
            <a:rPr kumimoji="1" lang="en-US" altLang="ja-JP" sz="1100">
              <a:solidFill>
                <a:schemeClr val="lt1"/>
              </a:solidFill>
              <a:effectLst/>
              <a:latin typeface="+mn-lt"/>
              <a:ea typeface="+mn-ea"/>
              <a:cs typeface="+mn-cs"/>
            </a:rPr>
            <a:t>6.5</a:t>
          </a:r>
          <a:r>
            <a:rPr kumimoji="1" lang="ja-JP" altLang="ja-JP" sz="1100">
              <a:solidFill>
                <a:schemeClr val="lt1"/>
              </a:solidFill>
              <a:effectLst/>
              <a:latin typeface="+mn-lt"/>
              <a:ea typeface="+mn-ea"/>
              <a:cs typeface="+mn-cs"/>
            </a:rPr>
            <a:t>ガスを直接排出する製品における</a:t>
          </a:r>
          <a:r>
            <a:rPr kumimoji="1" lang="en-US" altLang="ja-JP" sz="1100">
              <a:solidFill>
                <a:schemeClr val="lt1"/>
              </a:solidFill>
              <a:effectLst/>
              <a:latin typeface="+mn-lt"/>
              <a:ea typeface="+mn-ea"/>
              <a:cs typeface="+mn-cs"/>
            </a:rPr>
            <a:t>6.5</a:t>
          </a:r>
          <a:r>
            <a:rPr kumimoji="1" lang="ja-JP" altLang="ja-JP" sz="1100">
              <a:solidFill>
                <a:schemeClr val="lt1"/>
              </a:solidFill>
              <a:effectLst/>
              <a:latin typeface="+mn-lt"/>
              <a:ea typeface="+mn-ea"/>
              <a:cs typeface="+mn-cs"/>
            </a:rPr>
            <a:t>ガス排出（エアコンの冷媒漏えい、ドライアイスの昇華等）が該当します。</a:t>
          </a:r>
          <a:endParaRPr lang="ja-JP" altLang="ja-JP">
            <a:effectLst/>
          </a:endParaRPr>
        </a:p>
        <a:p>
          <a:pPr rtl="0" eaLnBrk="1" fontAlgn="auto" latinLnBrk="0" hangingPunct="1"/>
          <a:r>
            <a:rPr kumimoji="1" lang="ja-JP" altLang="ja-JP" sz="1100">
              <a:solidFill>
                <a:schemeClr val="lt1"/>
              </a:solidFill>
              <a:effectLst/>
              <a:latin typeface="+mn-lt"/>
              <a:ea typeface="+mn-ea"/>
              <a:cs typeface="+mn-cs"/>
            </a:rPr>
            <a:t>一方、間接使用段階排出は、製品使用時に間接的に電気・燃料・熱を使用する製品のエネルギー起源</a:t>
          </a:r>
          <a:r>
            <a:rPr kumimoji="1" lang="en-US" altLang="ja-JP" sz="1100">
              <a:solidFill>
                <a:schemeClr val="lt1"/>
              </a:solidFill>
              <a:effectLst/>
              <a:latin typeface="+mn-lt"/>
              <a:ea typeface="+mn-ea"/>
              <a:cs typeface="+mn-cs"/>
            </a:rPr>
            <a:t>CO2</a:t>
          </a:r>
          <a:r>
            <a:rPr kumimoji="1" lang="ja-JP" altLang="ja-JP" sz="1100">
              <a:solidFill>
                <a:schemeClr val="lt1"/>
              </a:solidFill>
              <a:effectLst/>
              <a:latin typeface="+mn-lt"/>
              <a:ea typeface="+mn-ea"/>
              <a:cs typeface="+mn-cs"/>
            </a:rPr>
            <a:t>排出（衣料の使用は洗濯・乾燥を要し洗濯・乾燥に伴うエネルギ－消費由来排出が該当。同様に、食料であれば調理・冷蔵等、ポットであれば加熱等に伴う排出が該当）が該当します。</a:t>
          </a:r>
          <a:endParaRPr lang="ja-JP" altLang="ja-JP">
            <a:effectLst/>
          </a:endParaRPr>
        </a:p>
        <a:p>
          <a:r>
            <a:rPr kumimoji="1" lang="ja-JP" altLang="ja-JP" sz="1100">
              <a:solidFill>
                <a:schemeClr val="lt1"/>
              </a:solidFill>
              <a:effectLst/>
              <a:latin typeface="+mn-lt"/>
              <a:ea typeface="+mn-ea"/>
              <a:cs typeface="+mn-cs"/>
            </a:rPr>
            <a:t>本業種が製造する“情報通信製品”であるソフトウェアは、その使用に当たって直接的にはエネルギーを消費しません。しかし、ソフトウェアの使用に当たってはコンピュータが稼働すると言えるため、コンピュータ稼働時の排出はソフトウェアの間接使用段階排出と言えます。今回は、間接使用段階排出は任意算定対象であり、また、</a:t>
          </a:r>
          <a:r>
            <a:rPr kumimoji="1" lang="ja-JP" altLang="en-US" sz="1100">
              <a:solidFill>
                <a:schemeClr val="lt1"/>
              </a:solidFill>
              <a:effectLst/>
              <a:latin typeface="+mn-lt"/>
              <a:ea typeface="+mn-ea"/>
              <a:cs typeface="+mn-cs"/>
            </a:rPr>
            <a:t>妥当</a:t>
          </a:r>
          <a:r>
            <a:rPr kumimoji="1" lang="ja-JP" altLang="ja-JP" sz="1100">
              <a:solidFill>
                <a:schemeClr val="lt1"/>
              </a:solidFill>
              <a:effectLst/>
              <a:latin typeface="+mn-lt"/>
              <a:ea typeface="+mn-ea"/>
              <a:cs typeface="+mn-cs"/>
            </a:rPr>
            <a:t>な配分が困難なことから除外しました。算定する場合、例えば、以下のような算定をすることができます。</a:t>
          </a:r>
          <a:endParaRPr kumimoji="1" lang="en-US" altLang="ja-JP" sz="1100">
            <a:solidFill>
              <a:schemeClr val="lt1"/>
            </a:solidFill>
            <a:effectLst/>
            <a:latin typeface="+mn-lt"/>
            <a:ea typeface="+mn-ea"/>
            <a:cs typeface="+mn-cs"/>
          </a:endParaRPr>
        </a:p>
        <a:p>
          <a:endParaRPr lang="ja-JP" altLang="ja-JP">
            <a:effectLst/>
          </a:endParaRPr>
        </a:p>
        <a:p>
          <a:r>
            <a:rPr kumimoji="1" lang="ja-JP" altLang="ja-JP" sz="1100">
              <a:solidFill>
                <a:schemeClr val="lt1"/>
              </a:solidFill>
              <a:effectLst/>
              <a:latin typeface="+mn-lt"/>
              <a:ea typeface="+mn-ea"/>
              <a:cs typeface="+mn-cs"/>
            </a:rPr>
            <a:t>（コンピュータの生涯排出量）</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（ソフトウェア金額）／（コンピュータ金額）</a:t>
          </a:r>
          <a:endParaRPr lang="ja-JP" altLang="ja-JP">
            <a:effectLst/>
          </a:endParaRPr>
        </a:p>
        <a:p>
          <a:endParaRPr kumimoji="1" lang="en-US" altLang="ja-JP" sz="1100">
            <a:solidFill>
              <a:schemeClr val="lt1"/>
            </a:solidFill>
            <a:effectLst/>
            <a:latin typeface="+mn-lt"/>
            <a:ea typeface="+mn-ea"/>
            <a:cs typeface="+mn-cs"/>
          </a:endParaRPr>
        </a:p>
        <a:p>
          <a:r>
            <a:rPr kumimoji="1" lang="ja-JP" altLang="ja-JP" sz="1100">
              <a:solidFill>
                <a:schemeClr val="lt1"/>
              </a:solidFill>
              <a:effectLst/>
              <a:latin typeface="+mn-lt"/>
              <a:ea typeface="+mn-ea"/>
              <a:cs typeface="+mn-cs"/>
            </a:rPr>
            <a:t>中間製品の使用時排出量は、最終製品の排出量のうち中間製品分の排出量を計上することから、上記のような配分をします。</a:t>
          </a:r>
          <a:endParaRPr lang="ja-JP" altLang="ja-JP">
            <a:effectLst/>
          </a:endParaRPr>
        </a:p>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2166797</xdr:colOff>
      <xdr:row>0</xdr:row>
      <xdr:rowOff>34417</xdr:rowOff>
    </xdr:from>
    <xdr:to>
      <xdr:col>14</xdr:col>
      <xdr:colOff>600009</xdr:colOff>
      <xdr:row>4</xdr:row>
      <xdr:rowOff>156882</xdr:rowOff>
    </xdr:to>
    <xdr:sp macro="" textlink="">
      <xdr:nvSpPr>
        <xdr:cNvPr id="2" name="角丸四角形吹き出し 1"/>
        <xdr:cNvSpPr/>
      </xdr:nvSpPr>
      <xdr:spPr>
        <a:xfrm>
          <a:off x="8234222" y="34417"/>
          <a:ext cx="1966987" cy="808265"/>
        </a:xfrm>
        <a:prstGeom prst="wedgeRoundRectCallout">
          <a:avLst>
            <a:gd name="adj1" fmla="val -62436"/>
            <a:gd name="adj2" fmla="val 604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今回の算定で用いていない排出原単位のなかにも利用可能なものがございます。</a:t>
          </a:r>
          <a:endParaRPr kumimoji="1" lang="en-US" altLang="ja-JP" sz="1050"/>
        </a:p>
        <a:p>
          <a:pPr algn="l"/>
          <a:r>
            <a:rPr kumimoji="1" lang="ja-JP" altLang="en-US" sz="1050"/>
            <a:t>環境省</a:t>
          </a:r>
          <a:r>
            <a:rPr kumimoji="1" lang="en-US" altLang="ja-JP" sz="1050"/>
            <a:t>DB [a]</a:t>
          </a:r>
          <a:r>
            <a:rPr kumimoji="1" lang="ja-JP" altLang="en-US" sz="1050"/>
            <a:t>国内の排出原単位データベース、</a:t>
          </a:r>
          <a:r>
            <a:rPr kumimoji="1" lang="en-US" altLang="ja-JP" sz="1050"/>
            <a:t>[b]</a:t>
          </a:r>
          <a:r>
            <a:rPr kumimoji="1" lang="ja-JP" altLang="en-US" sz="1050"/>
            <a:t>海外の排出原単位データベースを参考に、データベースを利用される方ご自身が、そのデータベースの備えるデータの適合性や、品質等をご確認した上で、ご利用下さい。</a:t>
          </a:r>
          <a:endParaRPr kumimoji="1" lang="en-US" altLang="ja-JP" sz="1050"/>
        </a:p>
      </xdr:txBody>
    </xdr:sp>
    <xdr:clientData/>
  </xdr:twoCellAnchor>
  <xdr:twoCellAnchor>
    <xdr:from>
      <xdr:col>8</xdr:col>
      <xdr:colOff>930088</xdr:colOff>
      <xdr:row>112</xdr:row>
      <xdr:rowOff>22412</xdr:rowOff>
    </xdr:from>
    <xdr:to>
      <xdr:col>11</xdr:col>
      <xdr:colOff>1423147</xdr:colOff>
      <xdr:row>130</xdr:row>
      <xdr:rowOff>179293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176892</xdr:colOff>
      <xdr:row>95</xdr:row>
      <xdr:rowOff>112058</xdr:rowOff>
    </xdr:from>
    <xdr:to>
      <xdr:col>12</xdr:col>
      <xdr:colOff>4952999</xdr:colOff>
      <xdr:row>98</xdr:row>
      <xdr:rowOff>103908</xdr:rowOff>
    </xdr:to>
    <xdr:sp macro="" textlink="">
      <xdr:nvSpPr>
        <xdr:cNvPr id="4" name="角丸四角形吹き出し 3"/>
        <xdr:cNvSpPr/>
      </xdr:nvSpPr>
      <xdr:spPr>
        <a:xfrm>
          <a:off x="8406492" y="16399808"/>
          <a:ext cx="508907" cy="506200"/>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算定事業者が株式保有する企業のスコープ</a:t>
          </a:r>
          <a:r>
            <a:rPr kumimoji="1" lang="en-US" altLang="ja-JP" sz="1100"/>
            <a:t>1,2</a:t>
          </a:r>
          <a:r>
            <a:rPr kumimoji="1" lang="ja-JP" altLang="en-US" sz="1100"/>
            <a:t>排出量は、</a:t>
          </a:r>
          <a:endParaRPr kumimoji="1" lang="en-US" altLang="ja-JP" sz="1100"/>
        </a:p>
        <a:p>
          <a:pPr algn="l"/>
          <a:r>
            <a:rPr kumimoji="1" lang="ja-JP" altLang="en-US" sz="1100"/>
            <a:t>一般に当該企業の</a:t>
          </a:r>
          <a:r>
            <a:rPr kumimoji="1" lang="en-US" altLang="ja-JP" sz="1100"/>
            <a:t>CSR</a:t>
          </a:r>
          <a:r>
            <a:rPr kumimoji="1" lang="ja-JP" altLang="en-US" sz="1100"/>
            <a:t>報告書、環境報告書等に掲載されてます。</a:t>
          </a:r>
          <a:endParaRPr kumimoji="1" lang="en-US" altLang="ja-JP" sz="1100"/>
        </a:p>
      </xdr:txBody>
    </xdr:sp>
    <xdr:clientData/>
  </xdr:twoCellAnchor>
  <xdr:twoCellAnchor>
    <xdr:from>
      <xdr:col>12</xdr:col>
      <xdr:colOff>136872</xdr:colOff>
      <xdr:row>104</xdr:row>
      <xdr:rowOff>48025</xdr:rowOff>
    </xdr:from>
    <xdr:to>
      <xdr:col>12</xdr:col>
      <xdr:colOff>4953000</xdr:colOff>
      <xdr:row>107</xdr:row>
      <xdr:rowOff>39875</xdr:rowOff>
    </xdr:to>
    <xdr:sp macro="" textlink="">
      <xdr:nvSpPr>
        <xdr:cNvPr id="5" name="角丸四角形吹き出し 4"/>
        <xdr:cNvSpPr/>
      </xdr:nvSpPr>
      <xdr:spPr>
        <a:xfrm>
          <a:off x="8366472" y="17878825"/>
          <a:ext cx="548928" cy="506200"/>
        </a:xfrm>
        <a:prstGeom prst="wedgeRoundRectCallout">
          <a:avLst>
            <a:gd name="adj1" fmla="val -59572"/>
            <a:gd name="adj2" fmla="val 311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smtClean="0">
              <a:solidFill>
                <a:schemeClr val="lt1"/>
              </a:solidFill>
              <a:latin typeface="+mn-lt"/>
              <a:ea typeface="+mn-ea"/>
              <a:cs typeface="+mn-cs"/>
            </a:rPr>
            <a:t>「その他」について詳しくは、</a:t>
          </a:r>
          <a:r>
            <a:rPr lang="en-US" altLang="ja-JP" sz="1100" b="0" i="0" u="none" strike="noStrike" baseline="0" smtClean="0">
              <a:solidFill>
                <a:schemeClr val="lt1"/>
              </a:solidFill>
              <a:latin typeface="+mn-lt"/>
              <a:ea typeface="+mn-ea"/>
              <a:cs typeface="+mn-cs"/>
            </a:rPr>
            <a:t>Q&amp;A</a:t>
          </a:r>
          <a:r>
            <a:rPr lang="ja-JP" altLang="en-US" sz="1100" b="0" i="0" u="none" strike="noStrike" baseline="0" smtClean="0">
              <a:solidFill>
                <a:schemeClr val="lt1"/>
              </a:solidFill>
              <a:latin typeface="+mn-lt"/>
              <a:ea typeface="+mn-ea"/>
              <a:cs typeface="+mn-cs"/>
            </a:rPr>
            <a:t>の</a:t>
          </a:r>
          <a:r>
            <a:rPr lang="en-US" altLang="ja-JP" sz="1100" b="0" i="0" u="none" strike="noStrike" baseline="0" smtClean="0">
              <a:solidFill>
                <a:schemeClr val="lt1"/>
              </a:solidFill>
              <a:latin typeface="+mn-lt"/>
              <a:ea typeface="+mn-ea"/>
              <a:cs typeface="+mn-cs"/>
            </a:rPr>
            <a:t>P44</a:t>
          </a:r>
          <a:r>
            <a:rPr lang="ja-JP" altLang="en-US" sz="1100" b="0" i="0" u="none" strike="noStrike" baseline="0" smtClean="0">
              <a:solidFill>
                <a:schemeClr val="lt1"/>
              </a:solidFill>
              <a:latin typeface="+mn-lt"/>
              <a:ea typeface="+mn-ea"/>
              <a:cs typeface="+mn-cs"/>
            </a:rPr>
            <a:t>や参考書</a:t>
          </a:r>
          <a:r>
            <a:rPr lang="en-US" altLang="ja-JP" sz="1100" b="0" i="0" u="none" strike="noStrike" baseline="0" smtClean="0">
              <a:solidFill>
                <a:schemeClr val="lt1"/>
              </a:solidFill>
              <a:latin typeface="+mn-lt"/>
              <a:ea typeface="+mn-ea"/>
              <a:cs typeface="+mn-cs"/>
            </a:rPr>
            <a:t>P40-41</a:t>
          </a:r>
          <a:r>
            <a:rPr lang="ja-JP" altLang="en-US" sz="1100" b="0" i="0" u="none" strike="noStrike" baseline="0" smtClean="0">
              <a:solidFill>
                <a:schemeClr val="lt1"/>
              </a:solidFill>
              <a:latin typeface="+mn-lt"/>
              <a:ea typeface="+mn-ea"/>
              <a:cs typeface="+mn-cs"/>
            </a:rPr>
            <a:t>をご欄ください。</a:t>
          </a:r>
          <a:endParaRPr kumimoji="1" lang="en-US" altLang="ja-JP" sz="1100"/>
        </a:p>
      </xdr:txBody>
    </xdr:sp>
    <xdr:clientData/>
  </xdr:twoCellAnchor>
  <xdr:twoCellAnchor>
    <xdr:from>
      <xdr:col>0</xdr:col>
      <xdr:colOff>0</xdr:colOff>
      <xdr:row>42</xdr:row>
      <xdr:rowOff>173181</xdr:rowOff>
    </xdr:from>
    <xdr:to>
      <xdr:col>1</xdr:col>
      <xdr:colOff>2213525</xdr:colOff>
      <xdr:row>43</xdr:row>
      <xdr:rowOff>95250</xdr:rowOff>
    </xdr:to>
    <xdr:sp macro="" textlink="">
      <xdr:nvSpPr>
        <xdr:cNvPr id="6" name="角丸四角形吹き出し 5"/>
        <xdr:cNvSpPr/>
      </xdr:nvSpPr>
      <xdr:spPr>
        <a:xfrm>
          <a:off x="0" y="7374081"/>
          <a:ext cx="1375325" cy="93519"/>
        </a:xfrm>
        <a:prstGeom prst="wedgeRoundRectCallout">
          <a:avLst>
            <a:gd name="adj1" fmla="val 65717"/>
            <a:gd name="adj2" fmla="val -7815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①省エネ法報告値から</a:t>
          </a:r>
          <a:endParaRPr kumimoji="1" lang="en-US" altLang="ja-JP" sz="1050"/>
        </a:p>
        <a:p>
          <a:pPr algn="l"/>
          <a:r>
            <a:rPr kumimoji="1" lang="ja-JP" altLang="en-US" sz="1050"/>
            <a:t>②スコープ</a:t>
          </a:r>
          <a:r>
            <a:rPr kumimoji="1" lang="en-US" altLang="ja-JP" sz="1050"/>
            <a:t>1,2</a:t>
          </a:r>
          <a:r>
            <a:rPr kumimoji="1" lang="ja-JP" altLang="en-US" sz="1050"/>
            <a:t>排出量との重複分を</a:t>
          </a:r>
          <a:endParaRPr kumimoji="1" lang="en-US" altLang="ja-JP" sz="1050"/>
        </a:p>
        <a:p>
          <a:pPr algn="l"/>
          <a:r>
            <a:rPr kumimoji="1" lang="ja-JP" altLang="en-US" sz="1050"/>
            <a:t>差し引く。</a:t>
          </a:r>
          <a:endParaRPr kumimoji="1" lang="en-US" altLang="ja-JP" sz="1050"/>
        </a:p>
      </xdr:txBody>
    </xdr:sp>
    <xdr:clientData/>
  </xdr:twoCellAnchor>
  <xdr:twoCellAnchor>
    <xdr:from>
      <xdr:col>11</xdr:col>
      <xdr:colOff>2980764</xdr:colOff>
      <xdr:row>42</xdr:row>
      <xdr:rowOff>762000</xdr:rowOff>
    </xdr:from>
    <xdr:to>
      <xdr:col>12</xdr:col>
      <xdr:colOff>4951495</xdr:colOff>
      <xdr:row>42</xdr:row>
      <xdr:rowOff>3186546</xdr:rowOff>
    </xdr:to>
    <xdr:sp macro="" textlink="">
      <xdr:nvSpPr>
        <xdr:cNvPr id="7" name="角丸四角形吹き出し 6"/>
        <xdr:cNvSpPr/>
      </xdr:nvSpPr>
      <xdr:spPr>
        <a:xfrm>
          <a:off x="8229039" y="7372350"/>
          <a:ext cx="684856" cy="0"/>
        </a:xfrm>
        <a:prstGeom prst="wedgeRoundRectCallout">
          <a:avLst>
            <a:gd name="adj1" fmla="val 5589"/>
            <a:gd name="adj2" fmla="val -5618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調達物の重量を把握していない場合、サンプリング等により推計する方法があります。</a:t>
          </a:r>
          <a:endParaRPr kumimoji="1" lang="en-US" altLang="ja-JP" sz="1000"/>
        </a:p>
        <a:p>
          <a:pPr algn="l"/>
          <a:r>
            <a:rPr kumimoji="1" lang="ja-JP" altLang="en-US" sz="1000"/>
            <a:t>本資料では、カテゴリ</a:t>
          </a:r>
          <a:r>
            <a:rPr kumimoji="1" lang="en-US" altLang="ja-JP" sz="1000"/>
            <a:t>1</a:t>
          </a:r>
          <a:r>
            <a:rPr kumimoji="1" lang="ja-JP" altLang="en-US" sz="1000"/>
            <a:t>の算定に用いた分類をについてそれぞれサンプルデータを作成していますが、クール便の利用有無による分類など、算定事業者の目的に応じて更に算定を詳細化することが望ましいです。</a:t>
          </a:r>
          <a:endParaRPr kumimoji="1" lang="en-US" altLang="ja-JP" sz="1000"/>
        </a:p>
        <a:p>
          <a:pPr algn="l"/>
          <a:endParaRPr kumimoji="1" lang="en-US" altLang="ja-JP" sz="1000"/>
        </a:p>
        <a:p>
          <a:pPr algn="l"/>
          <a:r>
            <a:rPr kumimoji="1" lang="ja-JP" altLang="en-US" sz="1000"/>
            <a:t>あるいは、環境省</a:t>
          </a:r>
          <a:r>
            <a:rPr kumimoji="1" lang="en-US" altLang="ja-JP" sz="1000"/>
            <a:t>DB[5]</a:t>
          </a:r>
          <a:r>
            <a:rPr kumimoji="1" lang="ja-JP" altLang="en-US" sz="1000"/>
            <a:t>産業連関表ベースの排出原単位のなかには、参考情報として「単価」が掲載されています。例えば、パン類は</a:t>
          </a:r>
          <a:r>
            <a:rPr kumimoji="1" lang="en-US" altLang="ja-JP" sz="1000"/>
            <a:t>0.8327 [</a:t>
          </a:r>
          <a:r>
            <a:rPr kumimoji="1" lang="ja-JP" altLang="en-US" sz="1000"/>
            <a:t>百万円</a:t>
          </a:r>
          <a:r>
            <a:rPr kumimoji="1" lang="en-US" altLang="ja-JP" sz="1000"/>
            <a:t>/t]</a:t>
          </a:r>
          <a:r>
            <a:rPr kumimoji="1" lang="ja-JP" altLang="en-US" sz="1000"/>
            <a:t>です。この単価で調達金額を除すと、調達重量が推計できます。なお、なかには単価情報が無いもの、単価の単位が重量以外（１台当たり、面積当たり、体積当たりなど）のものなどがあるため、注意が必要です。</a:t>
          </a:r>
          <a:endParaRPr kumimoji="1" lang="en-US" altLang="ja-JP" sz="1000"/>
        </a:p>
      </xdr:txBody>
    </xdr:sp>
    <xdr:clientData/>
  </xdr:twoCellAnchor>
  <xdr:twoCellAnchor>
    <xdr:from>
      <xdr:col>13</xdr:col>
      <xdr:colOff>190500</xdr:colOff>
      <xdr:row>87</xdr:row>
      <xdr:rowOff>19051</xdr:rowOff>
    </xdr:from>
    <xdr:to>
      <xdr:col>19</xdr:col>
      <xdr:colOff>612918</xdr:colOff>
      <xdr:row>90</xdr:row>
      <xdr:rowOff>493246</xdr:rowOff>
    </xdr:to>
    <xdr:sp macro="" textlink="">
      <xdr:nvSpPr>
        <xdr:cNvPr id="8" name="角丸四角形吹き出し 7"/>
        <xdr:cNvSpPr/>
      </xdr:nvSpPr>
      <xdr:spPr>
        <a:xfrm>
          <a:off x="9105900" y="14935201"/>
          <a:ext cx="4537218" cy="664695"/>
        </a:xfrm>
        <a:prstGeom prst="wedgeRoundRectCallout">
          <a:avLst>
            <a:gd name="adj1" fmla="val -55676"/>
            <a:gd name="adj2" fmla="val 333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テナント部におけるエネルギー消費のうち、ビルオーナーに</a:t>
          </a:r>
          <a:r>
            <a:rPr kumimoji="1" lang="ja-JP" altLang="ja-JP" sz="1100">
              <a:solidFill>
                <a:schemeClr val="lt1"/>
              </a:solidFill>
              <a:effectLst/>
              <a:latin typeface="+mn-lt"/>
              <a:ea typeface="+mn-ea"/>
              <a:cs typeface="+mn-cs"/>
            </a:rPr>
            <a:t>エネルギー管理権限</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無い</a:t>
          </a:r>
          <a:r>
            <a:rPr kumimoji="1" lang="ja-JP" altLang="en-US" sz="1100">
              <a:solidFill>
                <a:schemeClr val="lt1"/>
              </a:solidFill>
              <a:effectLst/>
              <a:latin typeface="+mn-lt"/>
              <a:ea typeface="+mn-ea"/>
              <a:cs typeface="+mn-cs"/>
            </a:rPr>
            <a:t>機器に由来するものは、算定・報告・公表制度におけるビルオーナーの算定対象範囲外です。</a:t>
          </a:r>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同機器の稼働に伴う排出量は、カテゴリ</a:t>
          </a:r>
          <a:r>
            <a:rPr kumimoji="1" lang="en-US" altLang="ja-JP" sz="1100">
              <a:solidFill>
                <a:schemeClr val="lt1"/>
              </a:solidFill>
              <a:effectLst/>
              <a:latin typeface="+mn-lt"/>
              <a:ea typeface="+mn-ea"/>
              <a:cs typeface="+mn-cs"/>
            </a:rPr>
            <a:t>13</a:t>
          </a:r>
          <a:r>
            <a:rPr kumimoji="1" lang="ja-JP" altLang="en-US" sz="1100">
              <a:solidFill>
                <a:schemeClr val="lt1"/>
              </a:solidFill>
              <a:effectLst/>
              <a:latin typeface="+mn-lt"/>
              <a:ea typeface="+mn-ea"/>
              <a:cs typeface="+mn-cs"/>
            </a:rPr>
            <a:t>に該当しえます。詳細は、算定・報告・公表制度におけるオーナー・テナントの考え方をご参照ください。</a:t>
          </a:r>
          <a:endParaRPr kumimoji="1" lang="en-US" altLang="ja-JP" sz="1050"/>
        </a:p>
      </xdr:txBody>
    </xdr:sp>
    <xdr:clientData/>
  </xdr:twoCellAnchor>
  <xdr:twoCellAnchor>
    <xdr:from>
      <xdr:col>7</xdr:col>
      <xdr:colOff>0</xdr:colOff>
      <xdr:row>0</xdr:row>
      <xdr:rowOff>51956</xdr:rowOff>
    </xdr:from>
    <xdr:to>
      <xdr:col>11</xdr:col>
      <xdr:colOff>1129591</xdr:colOff>
      <xdr:row>4</xdr:row>
      <xdr:rowOff>123394</xdr:rowOff>
    </xdr:to>
    <xdr:sp macro="" textlink="">
      <xdr:nvSpPr>
        <xdr:cNvPr id="9" name="角丸四角形吹き出し 8"/>
        <xdr:cNvSpPr/>
      </xdr:nvSpPr>
      <xdr:spPr>
        <a:xfrm>
          <a:off x="4800600" y="51956"/>
          <a:ext cx="3425116" cy="757238"/>
        </a:xfrm>
        <a:prstGeom prst="wedgeRoundRectCallout">
          <a:avLst>
            <a:gd name="adj1" fmla="val -56162"/>
            <a:gd name="adj2" fmla="val -162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物流業については、環境省にて「サプライチェーンを通じた温室効果ガス排出量の算定方法基本ガイドラインに関する業種別解説（小売業）」が作成されています。特にカテゴリ</a:t>
          </a:r>
          <a:r>
            <a:rPr kumimoji="1" lang="en-US" altLang="ja-JP" sz="1050"/>
            <a:t>1,2,4,5,9,11,12,14</a:t>
          </a:r>
          <a:r>
            <a:rPr kumimoji="1" lang="ja-JP" altLang="en-US" sz="1050"/>
            <a:t>について、「小売業における基本的な考え方」を紹介していますので、ご参考にしてください。</a:t>
          </a:r>
          <a:endParaRPr kumimoji="1" lang="en-US" altLang="ja-JP" sz="1050"/>
        </a:p>
      </xdr:txBody>
    </xdr:sp>
    <xdr:clientData/>
  </xdr:twoCellAnchor>
  <xdr:twoCellAnchor>
    <xdr:from>
      <xdr:col>13</xdr:col>
      <xdr:colOff>67235</xdr:colOff>
      <xdr:row>7</xdr:row>
      <xdr:rowOff>78442</xdr:rowOff>
    </xdr:from>
    <xdr:to>
      <xdr:col>19</xdr:col>
      <xdr:colOff>615523</xdr:colOff>
      <xdr:row>22</xdr:row>
      <xdr:rowOff>163285</xdr:rowOff>
    </xdr:to>
    <xdr:sp macro="" textlink="">
      <xdr:nvSpPr>
        <xdr:cNvPr id="10" name="角丸四角形吹き出し 9"/>
        <xdr:cNvSpPr/>
      </xdr:nvSpPr>
      <xdr:spPr>
        <a:xfrm>
          <a:off x="8982635" y="1278592"/>
          <a:ext cx="4663088" cy="2656593"/>
        </a:xfrm>
        <a:prstGeom prst="wedgeRoundRectCallout">
          <a:avLst>
            <a:gd name="adj1" fmla="val -57108"/>
            <a:gd name="adj2" fmla="val -810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業種別解説（小売業）において、カテゴリ</a:t>
          </a:r>
          <a:r>
            <a:rPr kumimoji="1" lang="en-US" altLang="ja-JP" sz="1050"/>
            <a:t>1</a:t>
          </a:r>
          <a:r>
            <a:rPr kumimoji="1" lang="ja-JP" altLang="en-US" sz="1050"/>
            <a:t>の対象となる製品・サービスは自社が直接購入・取得し、販売あるいは使用している全ての製品及びサービスです。自社が販売するために仕入れた商品、自社が事業活動において使用する物品、広告・宣伝（チラシ、テレビ</a:t>
          </a:r>
          <a:r>
            <a:rPr kumimoji="1" lang="en-US" altLang="ja-JP" sz="1050"/>
            <a:t>CM</a:t>
          </a:r>
          <a:r>
            <a:rPr kumimoji="1" lang="ja-JP" altLang="en-US" sz="1050"/>
            <a:t>、イベント海上の賃貸）等が該当します。</a:t>
          </a:r>
          <a:r>
            <a:rPr kumimoji="1" lang="ja-JP" altLang="ja-JP" sz="1100">
              <a:solidFill>
                <a:schemeClr val="lt1"/>
              </a:solidFill>
              <a:effectLst/>
              <a:latin typeface="+mn-lt"/>
              <a:ea typeface="+mn-ea"/>
              <a:cs typeface="+mn-cs"/>
            </a:rPr>
            <a:t>業種別解説（小売業）</a:t>
          </a:r>
          <a:r>
            <a:rPr kumimoji="1" lang="ja-JP" altLang="en-US" sz="1100">
              <a:solidFill>
                <a:schemeClr val="lt1"/>
              </a:solidFill>
              <a:effectLst/>
              <a:latin typeface="+mn-lt"/>
              <a:ea typeface="+mn-ea"/>
              <a:cs typeface="+mn-cs"/>
            </a:rPr>
            <a:t>には、更に具体的な算定対象活動</a:t>
          </a:r>
          <a:r>
            <a:rPr kumimoji="1" lang="ja-JP" altLang="en-US" sz="1050"/>
            <a:t>が例示されています。</a:t>
          </a:r>
          <a:endParaRPr kumimoji="1" lang="en-US" altLang="ja-JP" sz="1050"/>
        </a:p>
        <a:p>
          <a:pPr algn="l"/>
          <a:r>
            <a:rPr kumimoji="1" lang="ja-JP" altLang="en-US" sz="1050"/>
            <a:t>これを踏まえ、</a:t>
          </a:r>
          <a:r>
            <a:rPr kumimoji="1" lang="ja-JP" altLang="ja-JP" sz="1100">
              <a:solidFill>
                <a:schemeClr val="lt1"/>
              </a:solidFill>
              <a:effectLst/>
              <a:latin typeface="+mn-lt"/>
              <a:ea typeface="+mn-ea"/>
              <a:cs typeface="+mn-cs"/>
            </a:rPr>
            <a:t>自社が販売するために仕入れた商品</a:t>
          </a:r>
          <a:r>
            <a:rPr kumimoji="1" lang="ja-JP" altLang="en-US" sz="1100">
              <a:solidFill>
                <a:schemeClr val="lt1"/>
              </a:solidFill>
              <a:effectLst/>
              <a:latin typeface="+mn-lt"/>
              <a:ea typeface="+mn-ea"/>
              <a:cs typeface="+mn-cs"/>
            </a:rPr>
            <a:t>として各種商品（野菜、魚介、食肉、コート類など）、</a:t>
          </a:r>
          <a:r>
            <a:rPr kumimoji="1" lang="ja-JP" altLang="ja-JP" sz="1100">
              <a:solidFill>
                <a:schemeClr val="lt1"/>
              </a:solidFill>
              <a:effectLst/>
              <a:latin typeface="+mn-lt"/>
              <a:ea typeface="+mn-ea"/>
              <a:cs typeface="+mn-cs"/>
            </a:rPr>
            <a:t>自社が事業活動において使用する物品</a:t>
          </a:r>
          <a:r>
            <a:rPr kumimoji="1" lang="ja-JP" altLang="en-US" sz="1100">
              <a:solidFill>
                <a:schemeClr val="lt1"/>
              </a:solidFill>
              <a:effectLst/>
              <a:latin typeface="+mn-lt"/>
              <a:ea typeface="+mn-ea"/>
              <a:cs typeface="+mn-cs"/>
            </a:rPr>
            <a:t>としてドライアイス、包装資材、事務用品など、購入したサービスとして広告・宣伝、データセンター利用、ネット通販サイト運営などを対象としています。</a:t>
          </a:r>
          <a:endParaRPr kumimoji="1" lang="en-US" altLang="ja-JP" sz="1100">
            <a:solidFill>
              <a:schemeClr val="lt1"/>
            </a:solidFill>
            <a:effectLst/>
            <a:latin typeface="+mn-lt"/>
            <a:ea typeface="+mn-ea"/>
            <a:cs typeface="+mn-cs"/>
          </a:endParaRPr>
        </a:p>
        <a:p>
          <a:pPr algn="l"/>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小売業におけるカテゴリ</a:t>
          </a:r>
          <a:r>
            <a:rPr kumimoji="1" lang="en-US" altLang="ja-JP" sz="1100">
              <a:solidFill>
                <a:schemeClr val="lt1"/>
              </a:solidFill>
              <a:effectLst/>
              <a:latin typeface="+mn-lt"/>
              <a:ea typeface="+mn-ea"/>
              <a:cs typeface="+mn-cs"/>
            </a:rPr>
            <a:t>1</a:t>
          </a:r>
          <a:r>
            <a:rPr kumimoji="1" lang="ja-JP" altLang="en-US" sz="1100">
              <a:solidFill>
                <a:schemeClr val="lt1"/>
              </a:solidFill>
              <a:effectLst/>
              <a:latin typeface="+mn-lt"/>
              <a:ea typeface="+mn-ea"/>
              <a:cs typeface="+mn-cs"/>
            </a:rPr>
            <a:t>の基本的な考え方も示されているので、カテゴリ</a:t>
          </a:r>
          <a:r>
            <a:rPr kumimoji="1" lang="en-US" altLang="ja-JP" sz="1100">
              <a:solidFill>
                <a:schemeClr val="lt1"/>
              </a:solidFill>
              <a:effectLst/>
              <a:latin typeface="+mn-lt"/>
              <a:ea typeface="+mn-ea"/>
              <a:cs typeface="+mn-cs"/>
            </a:rPr>
            <a:t>1</a:t>
          </a:r>
          <a:r>
            <a:rPr kumimoji="1" lang="ja-JP" altLang="en-US" sz="1100">
              <a:solidFill>
                <a:schemeClr val="lt1"/>
              </a:solidFill>
              <a:effectLst/>
              <a:latin typeface="+mn-lt"/>
              <a:ea typeface="+mn-ea"/>
              <a:cs typeface="+mn-cs"/>
            </a:rPr>
            <a:t>に該当するか判断に迷うものがありましたら、</a:t>
          </a:r>
          <a:r>
            <a:rPr kumimoji="1" lang="ja-JP" altLang="ja-JP" sz="1100">
              <a:solidFill>
                <a:schemeClr val="lt1"/>
              </a:solidFill>
              <a:effectLst/>
              <a:latin typeface="+mn-lt"/>
              <a:ea typeface="+mn-ea"/>
              <a:cs typeface="+mn-cs"/>
            </a:rPr>
            <a:t>業種別解説（小売業）</a:t>
          </a:r>
          <a:r>
            <a:rPr kumimoji="1" lang="ja-JP" altLang="en-US" sz="1100">
              <a:solidFill>
                <a:schemeClr val="lt1"/>
              </a:solidFill>
              <a:effectLst/>
              <a:latin typeface="+mn-lt"/>
              <a:ea typeface="+mn-ea"/>
              <a:cs typeface="+mn-cs"/>
            </a:rPr>
            <a:t>をご確認ください。</a:t>
          </a:r>
          <a:endParaRPr kumimoji="1" lang="en-US" altLang="ja-JP" sz="1100">
            <a:solidFill>
              <a:schemeClr val="lt1"/>
            </a:solidFill>
            <a:effectLst/>
            <a:latin typeface="+mn-lt"/>
            <a:ea typeface="+mn-ea"/>
            <a:cs typeface="+mn-cs"/>
          </a:endParaRPr>
        </a:p>
      </xdr:txBody>
    </xdr:sp>
    <xdr:clientData/>
  </xdr:twoCellAnchor>
  <xdr:twoCellAnchor>
    <xdr:from>
      <xdr:col>13</xdr:col>
      <xdr:colOff>95250</xdr:colOff>
      <xdr:row>26</xdr:row>
      <xdr:rowOff>224917</xdr:rowOff>
    </xdr:from>
    <xdr:to>
      <xdr:col>19</xdr:col>
      <xdr:colOff>643538</xdr:colOff>
      <xdr:row>35</xdr:row>
      <xdr:rowOff>212911</xdr:rowOff>
    </xdr:to>
    <xdr:sp macro="" textlink="">
      <xdr:nvSpPr>
        <xdr:cNvPr id="11" name="角丸四角形吹き出し 10"/>
        <xdr:cNvSpPr/>
      </xdr:nvSpPr>
      <xdr:spPr>
        <a:xfrm>
          <a:off x="9010650" y="4625467"/>
          <a:ext cx="4663088" cy="1550094"/>
        </a:xfrm>
        <a:prstGeom prst="wedgeRoundRectCallout">
          <a:avLst>
            <a:gd name="adj1" fmla="val -57108"/>
            <a:gd name="adj2" fmla="val -810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t>業種別解説（小売業）において、カテゴリ</a:t>
          </a:r>
          <a:r>
            <a:rPr kumimoji="1" lang="en-US" altLang="ja-JP" sz="1050"/>
            <a:t>2</a:t>
          </a:r>
          <a:r>
            <a:rPr kumimoji="1" lang="ja-JP" altLang="en-US" sz="1050"/>
            <a:t>の対象として、自社の販売活動のために用いる資本財、自社のその他の事業活動のために用いる資本財が例示されています。具体的には、店舗などの建物及び設備、販売活動のために用いる自動車、事業活動を実施する事務所などの建物などが該当します。</a:t>
          </a:r>
          <a:endParaRPr kumimoji="1" lang="en-US" altLang="ja-JP" sz="105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5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小売業におけるカテゴリ</a:t>
          </a:r>
          <a:r>
            <a:rPr kumimoji="1" lang="en-US" altLang="ja-JP" sz="1100">
              <a:solidFill>
                <a:schemeClr val="lt1"/>
              </a:solidFill>
              <a:effectLst/>
              <a:latin typeface="+mn-lt"/>
              <a:ea typeface="+mn-ea"/>
              <a:cs typeface="+mn-cs"/>
            </a:rPr>
            <a:t>2</a:t>
          </a:r>
          <a:r>
            <a:rPr kumimoji="1" lang="ja-JP" altLang="ja-JP" sz="1100">
              <a:solidFill>
                <a:schemeClr val="lt1"/>
              </a:solidFill>
              <a:effectLst/>
              <a:latin typeface="+mn-lt"/>
              <a:ea typeface="+mn-ea"/>
              <a:cs typeface="+mn-cs"/>
            </a:rPr>
            <a:t>の基本的な考え方も示されているので、カテゴリ</a:t>
          </a:r>
          <a:r>
            <a:rPr kumimoji="1" lang="en-US" altLang="ja-JP" sz="1100">
              <a:solidFill>
                <a:schemeClr val="lt1"/>
              </a:solidFill>
              <a:effectLst/>
              <a:latin typeface="+mn-lt"/>
              <a:ea typeface="+mn-ea"/>
              <a:cs typeface="+mn-cs"/>
            </a:rPr>
            <a:t>2</a:t>
          </a:r>
          <a:r>
            <a:rPr kumimoji="1" lang="ja-JP" altLang="ja-JP" sz="1100">
              <a:solidFill>
                <a:schemeClr val="lt1"/>
              </a:solidFill>
              <a:effectLst/>
              <a:latin typeface="+mn-lt"/>
              <a:ea typeface="+mn-ea"/>
              <a:cs typeface="+mn-cs"/>
            </a:rPr>
            <a:t>に該当するか判断に迷う</a:t>
          </a:r>
          <a:r>
            <a:rPr kumimoji="1" lang="ja-JP" altLang="en-US" sz="1100">
              <a:solidFill>
                <a:schemeClr val="lt1"/>
              </a:solidFill>
              <a:effectLst/>
              <a:latin typeface="+mn-lt"/>
              <a:ea typeface="+mn-ea"/>
              <a:cs typeface="+mn-cs"/>
            </a:rPr>
            <a:t>活動</a:t>
          </a:r>
          <a:r>
            <a:rPr kumimoji="1" lang="ja-JP" altLang="ja-JP" sz="1100">
              <a:solidFill>
                <a:schemeClr val="lt1"/>
              </a:solidFill>
              <a:effectLst/>
              <a:latin typeface="+mn-lt"/>
              <a:ea typeface="+mn-ea"/>
              <a:cs typeface="+mn-cs"/>
            </a:rPr>
            <a:t>がありましたら、業種別解説（小売業）をご確認ください。</a:t>
          </a:r>
          <a:endParaRPr kumimoji="1" lang="en-US" altLang="ja-JP" sz="1050"/>
        </a:p>
      </xdr:txBody>
    </xdr:sp>
    <xdr:clientData/>
  </xdr:twoCellAnchor>
  <xdr:twoCellAnchor>
    <xdr:from>
      <xdr:col>13</xdr:col>
      <xdr:colOff>84364</xdr:colOff>
      <xdr:row>38</xdr:row>
      <xdr:rowOff>68035</xdr:rowOff>
    </xdr:from>
    <xdr:to>
      <xdr:col>19</xdr:col>
      <xdr:colOff>632652</xdr:colOff>
      <xdr:row>42</xdr:row>
      <xdr:rowOff>1646465</xdr:rowOff>
    </xdr:to>
    <xdr:sp macro="" textlink="">
      <xdr:nvSpPr>
        <xdr:cNvPr id="12" name="角丸四角形吹き出し 11"/>
        <xdr:cNvSpPr/>
      </xdr:nvSpPr>
      <xdr:spPr>
        <a:xfrm>
          <a:off x="8999764" y="6583135"/>
          <a:ext cx="4663088" cy="787855"/>
        </a:xfrm>
        <a:prstGeom prst="wedgeRoundRectCallout">
          <a:avLst>
            <a:gd name="adj1" fmla="val -58284"/>
            <a:gd name="adj2" fmla="val -328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t>業種別解説（小売業）において、カテゴリ</a:t>
          </a:r>
          <a:r>
            <a:rPr kumimoji="1" lang="en-US" altLang="ja-JP" sz="1050"/>
            <a:t>4</a:t>
          </a:r>
          <a:r>
            <a:rPr kumimoji="1" lang="ja-JP" altLang="en-US" sz="1050"/>
            <a:t>の対象として、取引先（メーカー、卸売業者、納入先として「指定する物流センター等）から店舗までの配送、倉庫での保管・荷役などが例示されています。</a:t>
          </a:r>
          <a:endParaRPr kumimoji="1" lang="en-US" altLang="ja-JP" sz="105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t>左記のように、海外から調達していれば海上輸送等も含めて計上します。</a:t>
          </a:r>
          <a:endParaRPr kumimoji="1" lang="en-US" altLang="ja-JP" sz="105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5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小売業におけるカテゴリ</a:t>
          </a:r>
          <a:r>
            <a:rPr kumimoji="1" lang="en-US" altLang="ja-JP" sz="1100">
              <a:solidFill>
                <a:schemeClr val="lt1"/>
              </a:solidFill>
              <a:effectLst/>
              <a:latin typeface="+mn-lt"/>
              <a:ea typeface="+mn-ea"/>
              <a:cs typeface="+mn-cs"/>
            </a:rPr>
            <a:t>4</a:t>
          </a:r>
          <a:r>
            <a:rPr kumimoji="1" lang="ja-JP" altLang="ja-JP" sz="1100">
              <a:solidFill>
                <a:schemeClr val="lt1"/>
              </a:solidFill>
              <a:effectLst/>
              <a:latin typeface="+mn-lt"/>
              <a:ea typeface="+mn-ea"/>
              <a:cs typeface="+mn-cs"/>
            </a:rPr>
            <a:t>の基本的な考え方も示されているので、カテゴリ</a:t>
          </a:r>
          <a:r>
            <a:rPr kumimoji="1" lang="en-US" altLang="ja-JP" sz="1100">
              <a:solidFill>
                <a:schemeClr val="lt1"/>
              </a:solidFill>
              <a:effectLst/>
              <a:latin typeface="+mn-lt"/>
              <a:ea typeface="+mn-ea"/>
              <a:cs typeface="+mn-cs"/>
            </a:rPr>
            <a:t>4</a:t>
          </a:r>
          <a:r>
            <a:rPr kumimoji="1" lang="ja-JP" altLang="ja-JP" sz="1100">
              <a:solidFill>
                <a:schemeClr val="lt1"/>
              </a:solidFill>
              <a:effectLst/>
              <a:latin typeface="+mn-lt"/>
              <a:ea typeface="+mn-ea"/>
              <a:cs typeface="+mn-cs"/>
            </a:rPr>
            <a:t>に該当するか判断に迷う</a:t>
          </a:r>
          <a:r>
            <a:rPr kumimoji="1" lang="ja-JP" altLang="en-US" sz="1100">
              <a:solidFill>
                <a:schemeClr val="lt1"/>
              </a:solidFill>
              <a:effectLst/>
              <a:latin typeface="+mn-lt"/>
              <a:ea typeface="+mn-ea"/>
              <a:cs typeface="+mn-cs"/>
            </a:rPr>
            <a:t>活動</a:t>
          </a:r>
          <a:r>
            <a:rPr kumimoji="1" lang="ja-JP" altLang="ja-JP" sz="1100">
              <a:solidFill>
                <a:schemeClr val="lt1"/>
              </a:solidFill>
              <a:effectLst/>
              <a:latin typeface="+mn-lt"/>
              <a:ea typeface="+mn-ea"/>
              <a:cs typeface="+mn-cs"/>
            </a:rPr>
            <a:t>がありましたら、業種別解説（小売業）をご確認ください。</a:t>
          </a:r>
          <a:endParaRPr kumimoji="1" lang="en-US" altLang="ja-JP" sz="1100">
            <a:solidFill>
              <a:schemeClr val="lt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特に特殊なケースとして、百貨店におけるテナント分の物流の取り扱い、フランチャイズチェーンにおける特定物流センターからの仕入れの考え方を個別に整理していますので、該当する算定事業者はご確認ください。</a:t>
          </a:r>
          <a:endParaRPr kumimoji="1" lang="en-US" altLang="ja-JP" sz="1050"/>
        </a:p>
      </xdr:txBody>
    </xdr:sp>
    <xdr:clientData/>
  </xdr:twoCellAnchor>
  <xdr:twoCellAnchor>
    <xdr:from>
      <xdr:col>13</xdr:col>
      <xdr:colOff>69272</xdr:colOff>
      <xdr:row>42</xdr:row>
      <xdr:rowOff>2786997</xdr:rowOff>
    </xdr:from>
    <xdr:to>
      <xdr:col>19</xdr:col>
      <xdr:colOff>617560</xdr:colOff>
      <xdr:row>49</xdr:row>
      <xdr:rowOff>190501</xdr:rowOff>
    </xdr:to>
    <xdr:sp macro="" textlink="">
      <xdr:nvSpPr>
        <xdr:cNvPr id="13" name="角丸四角形吹き出し 12"/>
        <xdr:cNvSpPr/>
      </xdr:nvSpPr>
      <xdr:spPr>
        <a:xfrm>
          <a:off x="8984672" y="7368522"/>
          <a:ext cx="4663088" cy="1203979"/>
        </a:xfrm>
        <a:prstGeom prst="wedgeRoundRectCallout">
          <a:avLst>
            <a:gd name="adj1" fmla="val -55639"/>
            <a:gd name="adj2" fmla="val 87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業種別解説（小売業）において、カテゴリ</a:t>
          </a:r>
          <a:r>
            <a:rPr kumimoji="1" lang="en-US" altLang="ja-JP" sz="1100">
              <a:solidFill>
                <a:schemeClr val="lt1"/>
              </a:solidFill>
              <a:effectLst/>
              <a:latin typeface="+mn-lt"/>
              <a:ea typeface="+mn-ea"/>
              <a:cs typeface="+mn-cs"/>
            </a:rPr>
            <a:t>5</a:t>
          </a:r>
          <a:r>
            <a:rPr kumimoji="1" lang="ja-JP" altLang="ja-JP" sz="1100">
              <a:solidFill>
                <a:schemeClr val="lt1"/>
              </a:solidFill>
              <a:effectLst/>
              <a:latin typeface="+mn-lt"/>
              <a:ea typeface="+mn-ea"/>
              <a:cs typeface="+mn-cs"/>
            </a:rPr>
            <a:t>の対象となる</a:t>
          </a:r>
          <a:r>
            <a:rPr kumimoji="1" lang="ja-JP" altLang="en-US" sz="1100">
              <a:solidFill>
                <a:schemeClr val="lt1"/>
              </a:solidFill>
              <a:effectLst/>
              <a:latin typeface="+mn-lt"/>
              <a:ea typeface="+mn-ea"/>
              <a:cs typeface="+mn-cs"/>
            </a:rPr>
            <a:t>廃棄物は、自社の販売活動から発生する廃棄物、自社のその他の事業活動から発生する廃棄物が該当します。</a:t>
          </a:r>
          <a:endParaRPr kumimoji="1" lang="en-US" altLang="ja-JP" sz="1100">
            <a:solidFill>
              <a:schemeClr val="lt1"/>
            </a:solidFill>
            <a:effectLst/>
            <a:latin typeface="+mn-lt"/>
            <a:ea typeface="+mn-ea"/>
            <a:cs typeface="+mn-cs"/>
          </a:endParaRPr>
        </a:p>
        <a:p>
          <a:r>
            <a:rPr kumimoji="1" lang="ja-JP" altLang="en-US" sz="1100">
              <a:solidFill>
                <a:schemeClr val="lt1"/>
              </a:solidFill>
              <a:effectLst/>
              <a:latin typeface="+mn-lt"/>
              <a:ea typeface="+mn-ea"/>
              <a:cs typeface="+mn-cs"/>
            </a:rPr>
            <a:t>これを踏まえ、左記のとおり、売れなくなった商品、レシートや段ボール箱などの廃棄、オフィス由来の廃棄物等を対象としている。</a:t>
          </a:r>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pPr eaLnBrk="1" fontAlgn="auto" latinLnBrk="0" hangingPunct="1"/>
          <a:r>
            <a:rPr kumimoji="1" lang="ja-JP" altLang="ja-JP" sz="1100">
              <a:solidFill>
                <a:schemeClr val="lt1"/>
              </a:solidFill>
              <a:effectLst/>
              <a:latin typeface="+mn-lt"/>
              <a:ea typeface="+mn-ea"/>
              <a:cs typeface="+mn-cs"/>
            </a:rPr>
            <a:t>小売業におけるカテゴリ</a:t>
          </a:r>
          <a:r>
            <a:rPr kumimoji="1" lang="en-US" altLang="ja-JP" sz="1100">
              <a:solidFill>
                <a:schemeClr val="lt1"/>
              </a:solidFill>
              <a:effectLst/>
              <a:latin typeface="+mn-lt"/>
              <a:ea typeface="+mn-ea"/>
              <a:cs typeface="+mn-cs"/>
            </a:rPr>
            <a:t>5</a:t>
          </a:r>
          <a:r>
            <a:rPr kumimoji="1" lang="ja-JP" altLang="ja-JP" sz="1100">
              <a:solidFill>
                <a:schemeClr val="lt1"/>
              </a:solidFill>
              <a:effectLst/>
              <a:latin typeface="+mn-lt"/>
              <a:ea typeface="+mn-ea"/>
              <a:cs typeface="+mn-cs"/>
            </a:rPr>
            <a:t>の基本的な考え方も示されているので、カテゴリ</a:t>
          </a:r>
          <a:r>
            <a:rPr kumimoji="1" lang="en-US" altLang="ja-JP" sz="1100">
              <a:solidFill>
                <a:schemeClr val="lt1"/>
              </a:solidFill>
              <a:effectLst/>
              <a:latin typeface="+mn-lt"/>
              <a:ea typeface="+mn-ea"/>
              <a:cs typeface="+mn-cs"/>
            </a:rPr>
            <a:t>5</a:t>
          </a:r>
          <a:r>
            <a:rPr kumimoji="1" lang="ja-JP" altLang="ja-JP" sz="1100">
              <a:solidFill>
                <a:schemeClr val="lt1"/>
              </a:solidFill>
              <a:effectLst/>
              <a:latin typeface="+mn-lt"/>
              <a:ea typeface="+mn-ea"/>
              <a:cs typeface="+mn-cs"/>
            </a:rPr>
            <a:t>に該当するか判断に迷う活動がありましたら、業種別解説（小売業）をご確認ください。</a:t>
          </a:r>
          <a:endParaRPr lang="ja-JP" altLang="ja-JP">
            <a:effectLst/>
          </a:endParaRPr>
        </a:p>
        <a:p>
          <a:pPr eaLnBrk="1" fontAlgn="auto" latinLnBrk="0" hangingPunct="1"/>
          <a:r>
            <a:rPr kumimoji="1" lang="ja-JP" altLang="ja-JP" sz="1100">
              <a:solidFill>
                <a:schemeClr val="lt1"/>
              </a:solidFill>
              <a:effectLst/>
              <a:latin typeface="+mn-lt"/>
              <a:ea typeface="+mn-ea"/>
              <a:cs typeface="+mn-cs"/>
            </a:rPr>
            <a:t>特に</a:t>
          </a:r>
          <a:r>
            <a:rPr kumimoji="1" lang="ja-JP" altLang="en-US" sz="1100">
              <a:solidFill>
                <a:schemeClr val="lt1"/>
              </a:solidFill>
              <a:effectLst/>
              <a:latin typeface="+mn-lt"/>
              <a:ea typeface="+mn-ea"/>
              <a:cs typeface="+mn-cs"/>
            </a:rPr>
            <a:t>、家庭から持ち込まれる廃棄物の取り扱い、テナントから生じた廃棄物の取り扱い等が整理されています。</a:t>
          </a:r>
          <a:endParaRPr kumimoji="1" lang="en-US" altLang="ja-JP" sz="1100">
            <a:solidFill>
              <a:schemeClr val="lt1"/>
            </a:solidFill>
            <a:effectLst/>
            <a:latin typeface="+mn-lt"/>
            <a:ea typeface="+mn-ea"/>
            <a:cs typeface="+mn-cs"/>
          </a:endParaRPr>
        </a:p>
      </xdr:txBody>
    </xdr:sp>
    <xdr:clientData/>
  </xdr:twoCellAnchor>
  <xdr:twoCellAnchor>
    <xdr:from>
      <xdr:col>13</xdr:col>
      <xdr:colOff>81644</xdr:colOff>
      <xdr:row>57</xdr:row>
      <xdr:rowOff>299369</xdr:rowOff>
    </xdr:from>
    <xdr:to>
      <xdr:col>19</xdr:col>
      <xdr:colOff>629932</xdr:colOff>
      <xdr:row>61</xdr:row>
      <xdr:rowOff>1415155</xdr:rowOff>
    </xdr:to>
    <xdr:sp macro="" textlink="">
      <xdr:nvSpPr>
        <xdr:cNvPr id="14" name="角丸四角形吹き出し 13"/>
        <xdr:cNvSpPr/>
      </xdr:nvSpPr>
      <xdr:spPr>
        <a:xfrm>
          <a:off x="8997044" y="9948194"/>
          <a:ext cx="4663088" cy="677636"/>
        </a:xfrm>
        <a:prstGeom prst="wedgeRoundRectCallout">
          <a:avLst>
            <a:gd name="adj1" fmla="val -56227"/>
            <a:gd name="adj2" fmla="val -77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業種別解説（小売業）において、カテゴリ</a:t>
          </a:r>
          <a:r>
            <a:rPr kumimoji="1" lang="en-US" altLang="ja-JP" sz="1100">
              <a:solidFill>
                <a:schemeClr val="lt1"/>
              </a:solidFill>
              <a:effectLst/>
              <a:latin typeface="+mn-lt"/>
              <a:ea typeface="+mn-ea"/>
              <a:cs typeface="+mn-cs"/>
            </a:rPr>
            <a:t>9</a:t>
          </a:r>
          <a:r>
            <a:rPr kumimoji="1" lang="ja-JP" altLang="ja-JP" sz="1100">
              <a:solidFill>
                <a:schemeClr val="lt1"/>
              </a:solidFill>
              <a:effectLst/>
              <a:latin typeface="+mn-lt"/>
              <a:ea typeface="+mn-ea"/>
              <a:cs typeface="+mn-cs"/>
            </a:rPr>
            <a:t>の対象と</a:t>
          </a:r>
          <a:r>
            <a:rPr kumimoji="1" lang="ja-JP" altLang="en-US" sz="1100">
              <a:solidFill>
                <a:schemeClr val="lt1"/>
              </a:solidFill>
              <a:effectLst/>
              <a:latin typeface="+mn-lt"/>
              <a:ea typeface="+mn-ea"/>
              <a:cs typeface="+mn-cs"/>
            </a:rPr>
            <a:t>して、輸送に伴うもの、顧客の移動が例示されています。</a:t>
          </a:r>
          <a:endParaRPr kumimoji="1" lang="en-US" altLang="ja-JP" sz="1100">
            <a:solidFill>
              <a:schemeClr val="lt1"/>
            </a:solidFill>
            <a:effectLst/>
            <a:latin typeface="+mn-lt"/>
            <a:ea typeface="+mn-ea"/>
            <a:cs typeface="+mn-cs"/>
          </a:endParaRPr>
        </a:p>
        <a:p>
          <a:r>
            <a:rPr kumimoji="1" lang="ja-JP" altLang="en-US" sz="1100">
              <a:solidFill>
                <a:schemeClr val="lt1"/>
              </a:solidFill>
              <a:effectLst/>
              <a:latin typeface="+mn-lt"/>
              <a:ea typeface="+mn-ea"/>
              <a:cs typeface="+mn-cs"/>
            </a:rPr>
            <a:t>これを踏まえ、左記のとおり、ネット通販の輸送、顧客の移動を対象としている。</a:t>
          </a:r>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r>
            <a:rPr kumimoji="1" lang="ja-JP" altLang="en-US" sz="1100">
              <a:solidFill>
                <a:schemeClr val="lt1"/>
              </a:solidFill>
              <a:effectLst/>
              <a:latin typeface="+mn-lt"/>
              <a:ea typeface="+mn-ea"/>
              <a:cs typeface="+mn-cs"/>
            </a:rPr>
            <a:t>なお、顧客の移動がカテゴリ</a:t>
          </a:r>
          <a:r>
            <a:rPr kumimoji="1" lang="en-US" altLang="ja-JP" sz="1100">
              <a:solidFill>
                <a:schemeClr val="lt1"/>
              </a:solidFill>
              <a:effectLst/>
              <a:latin typeface="+mn-lt"/>
              <a:ea typeface="+mn-ea"/>
              <a:cs typeface="+mn-cs"/>
            </a:rPr>
            <a:t>9</a:t>
          </a:r>
          <a:r>
            <a:rPr kumimoji="1" lang="ja-JP" altLang="en-US" sz="1100">
              <a:solidFill>
                <a:schemeClr val="lt1"/>
              </a:solidFill>
              <a:effectLst/>
              <a:latin typeface="+mn-lt"/>
              <a:ea typeface="+mn-ea"/>
              <a:cs typeface="+mn-cs"/>
            </a:rPr>
            <a:t>に該当するのは、商品</a:t>
          </a:r>
          <a:r>
            <a:rPr kumimoji="1" lang="ja-JP" altLang="ja-JP" sz="1100">
              <a:solidFill>
                <a:schemeClr val="lt1"/>
              </a:solidFill>
              <a:effectLst/>
              <a:latin typeface="+mn-lt"/>
              <a:ea typeface="+mn-ea"/>
              <a:cs typeface="+mn-cs"/>
            </a:rPr>
            <a:t>購入者が</a:t>
          </a:r>
          <a:r>
            <a:rPr kumimoji="1" lang="ja-JP" altLang="en-US" sz="1100">
              <a:solidFill>
                <a:schemeClr val="lt1"/>
              </a:solidFill>
              <a:effectLst/>
              <a:latin typeface="+mn-lt"/>
              <a:ea typeface="+mn-ea"/>
              <a:cs typeface="+mn-cs"/>
            </a:rPr>
            <a:t>管理者が自社以外になった後の</a:t>
          </a:r>
          <a:r>
            <a:rPr kumimoji="1" lang="ja-JP" altLang="ja-JP" sz="1100">
              <a:solidFill>
                <a:schemeClr val="lt1"/>
              </a:solidFill>
              <a:effectLst/>
              <a:latin typeface="+mn-lt"/>
              <a:ea typeface="+mn-ea"/>
              <a:cs typeface="+mn-cs"/>
            </a:rPr>
            <a:t>輸送</a:t>
          </a:r>
          <a:r>
            <a:rPr kumimoji="1" lang="ja-JP" altLang="en-US" sz="1100">
              <a:solidFill>
                <a:schemeClr val="lt1"/>
              </a:solidFill>
              <a:effectLst/>
              <a:latin typeface="+mn-lt"/>
              <a:ea typeface="+mn-ea"/>
              <a:cs typeface="+mn-cs"/>
            </a:rPr>
            <a:t>（購入者宅への輸送）</a:t>
          </a:r>
          <a:r>
            <a:rPr kumimoji="1" lang="ja-JP" altLang="ja-JP" sz="1100">
              <a:solidFill>
                <a:schemeClr val="lt1"/>
              </a:solidFill>
              <a:effectLst/>
              <a:latin typeface="+mn-lt"/>
              <a:ea typeface="+mn-ea"/>
              <a:cs typeface="+mn-cs"/>
            </a:rPr>
            <a:t>を担うため</a:t>
          </a:r>
          <a:r>
            <a:rPr kumimoji="1" lang="ja-JP" altLang="en-US" sz="1100">
              <a:solidFill>
                <a:schemeClr val="lt1"/>
              </a:solidFill>
              <a:effectLst/>
              <a:latin typeface="+mn-lt"/>
              <a:ea typeface="+mn-ea"/>
              <a:cs typeface="+mn-cs"/>
            </a:rPr>
            <a:t>です。</a:t>
          </a:r>
          <a:r>
            <a:rPr kumimoji="1" lang="ja-JP" altLang="ja-JP" sz="1100">
              <a:solidFill>
                <a:schemeClr val="lt1"/>
              </a:solidFill>
              <a:effectLst/>
              <a:latin typeface="+mn-lt"/>
              <a:ea typeface="+mn-ea"/>
              <a:cs typeface="+mn-cs"/>
            </a:rPr>
            <a:t>なお、</a:t>
          </a:r>
          <a:r>
            <a:rPr kumimoji="1" lang="ja-JP" altLang="en-US" sz="1100">
              <a:solidFill>
                <a:schemeClr val="lt1"/>
              </a:solidFill>
              <a:effectLst/>
              <a:latin typeface="+mn-lt"/>
              <a:ea typeface="+mn-ea"/>
              <a:cs typeface="+mn-cs"/>
            </a:rPr>
            <a:t>持ち帰るためには来訪する必要があるため、顧客の移動は</a:t>
          </a:r>
          <a:r>
            <a:rPr kumimoji="1" lang="ja-JP" altLang="ja-JP" sz="1100">
              <a:solidFill>
                <a:schemeClr val="lt1"/>
              </a:solidFill>
              <a:effectLst/>
              <a:latin typeface="+mn-lt"/>
              <a:ea typeface="+mn-ea"/>
              <a:cs typeface="+mn-cs"/>
            </a:rPr>
            <a:t>往復が対象です。算定方法</a:t>
          </a:r>
          <a:r>
            <a:rPr kumimoji="1" lang="ja-JP" altLang="en-US" sz="1100">
              <a:solidFill>
                <a:schemeClr val="lt1"/>
              </a:solidFill>
              <a:effectLst/>
              <a:latin typeface="+mn-lt"/>
              <a:ea typeface="+mn-ea"/>
              <a:cs typeface="+mn-cs"/>
            </a:rPr>
            <a:t>は</a:t>
          </a:r>
          <a:r>
            <a:rPr kumimoji="1" lang="ja-JP" altLang="ja-JP" sz="1100">
              <a:solidFill>
                <a:schemeClr val="lt1"/>
              </a:solidFill>
              <a:effectLst/>
              <a:latin typeface="+mn-lt"/>
              <a:ea typeface="+mn-ea"/>
              <a:cs typeface="+mn-cs"/>
            </a:rPr>
            <a:t>、業種別解説（小売業）</a:t>
          </a:r>
          <a:r>
            <a:rPr kumimoji="1" lang="ja-JP" altLang="en-US" sz="1100">
              <a:solidFill>
                <a:schemeClr val="lt1"/>
              </a:solidFill>
              <a:effectLst/>
              <a:latin typeface="+mn-lt"/>
              <a:ea typeface="+mn-ea"/>
              <a:cs typeface="+mn-cs"/>
            </a:rPr>
            <a:t>に紹介されています。</a:t>
          </a:r>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xdr:txBody>
    </xdr:sp>
    <xdr:clientData/>
  </xdr:twoCellAnchor>
  <xdr:twoCellAnchor>
    <xdr:from>
      <xdr:col>13</xdr:col>
      <xdr:colOff>190500</xdr:colOff>
      <xdr:row>91</xdr:row>
      <xdr:rowOff>9525</xdr:rowOff>
    </xdr:from>
    <xdr:to>
      <xdr:col>19</xdr:col>
      <xdr:colOff>612918</xdr:colOff>
      <xdr:row>97</xdr:row>
      <xdr:rowOff>224118</xdr:rowOff>
    </xdr:to>
    <xdr:sp macro="" textlink="">
      <xdr:nvSpPr>
        <xdr:cNvPr id="15" name="角丸四角形吹き出し 14"/>
        <xdr:cNvSpPr/>
      </xdr:nvSpPr>
      <xdr:spPr>
        <a:xfrm>
          <a:off x="9105900" y="15611475"/>
          <a:ext cx="4537218" cy="1186143"/>
        </a:xfrm>
        <a:prstGeom prst="wedgeRoundRectCallout">
          <a:avLst>
            <a:gd name="adj1" fmla="val -56726"/>
            <a:gd name="adj2" fmla="val -4633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業種別解説（小売業）において、カテゴリ</a:t>
          </a:r>
          <a:r>
            <a:rPr kumimoji="1" lang="en-US" altLang="ja-JP" sz="1100">
              <a:solidFill>
                <a:schemeClr val="lt1"/>
              </a:solidFill>
              <a:effectLst/>
              <a:latin typeface="+mn-lt"/>
              <a:ea typeface="+mn-ea"/>
              <a:cs typeface="+mn-cs"/>
            </a:rPr>
            <a:t>14</a:t>
          </a:r>
          <a:r>
            <a:rPr kumimoji="1" lang="ja-JP" altLang="ja-JP" sz="1100">
              <a:solidFill>
                <a:schemeClr val="lt1"/>
              </a:solidFill>
              <a:effectLst/>
              <a:latin typeface="+mn-lt"/>
              <a:ea typeface="+mn-ea"/>
              <a:cs typeface="+mn-cs"/>
            </a:rPr>
            <a:t>の対象として、</a:t>
          </a:r>
          <a:r>
            <a:rPr kumimoji="1" lang="ja-JP" altLang="en-US" sz="1100">
              <a:solidFill>
                <a:schemeClr val="lt1"/>
              </a:solidFill>
              <a:effectLst/>
              <a:latin typeface="+mn-lt"/>
              <a:ea typeface="+mn-ea"/>
              <a:cs typeface="+mn-cs"/>
            </a:rPr>
            <a:t>算定・報告・公表制度で算定対象としている特定連鎖化事業者の排出量のうちスコープ</a:t>
          </a:r>
          <a:r>
            <a:rPr kumimoji="1" lang="en-US" altLang="ja-JP" sz="1100">
              <a:solidFill>
                <a:schemeClr val="lt1"/>
              </a:solidFill>
              <a:effectLst/>
              <a:latin typeface="+mn-lt"/>
              <a:ea typeface="+mn-ea"/>
              <a:cs typeface="+mn-cs"/>
            </a:rPr>
            <a:t>1</a:t>
          </a:r>
          <a:r>
            <a:rPr kumimoji="1" lang="ja-JP" altLang="en-US" sz="1100">
              <a:solidFill>
                <a:schemeClr val="lt1"/>
              </a:solidFill>
              <a:effectLst/>
              <a:latin typeface="+mn-lt"/>
              <a:ea typeface="+mn-ea"/>
              <a:cs typeface="+mn-cs"/>
            </a:rPr>
            <a:t>又は</a:t>
          </a:r>
          <a:r>
            <a:rPr kumimoji="1" lang="en-US" altLang="ja-JP" sz="1100">
              <a:solidFill>
                <a:schemeClr val="lt1"/>
              </a:solidFill>
              <a:effectLst/>
              <a:latin typeface="+mn-lt"/>
              <a:ea typeface="+mn-ea"/>
              <a:cs typeface="+mn-cs"/>
            </a:rPr>
            <a:t>2</a:t>
          </a:r>
          <a:r>
            <a:rPr kumimoji="1" lang="ja-JP" altLang="en-US" sz="1100">
              <a:solidFill>
                <a:schemeClr val="lt1"/>
              </a:solidFill>
              <a:effectLst/>
              <a:latin typeface="+mn-lt"/>
              <a:ea typeface="+mn-ea"/>
              <a:cs typeface="+mn-cs"/>
            </a:rPr>
            <a:t>に該当する排出量を除いた範囲に加え、算定・報告・公表制度で</a:t>
          </a:r>
          <a:r>
            <a:rPr lang="ja-JP" altLang="en-US" sz="1100" b="0" i="0" u="none" strike="noStrike" baseline="0" smtClean="0">
              <a:solidFill>
                <a:schemeClr val="lt1"/>
              </a:solidFill>
              <a:latin typeface="+mn-lt"/>
              <a:ea typeface="+mn-ea"/>
              <a:cs typeface="+mn-cs"/>
            </a:rPr>
            <a:t>算定対象外としている活動（空調機やショールームの通常使用時における</a:t>
          </a:r>
          <a:r>
            <a:rPr lang="en-US" altLang="ja-JP" sz="1100" b="0" i="0" u="none" strike="noStrike" baseline="0" smtClean="0">
              <a:solidFill>
                <a:schemeClr val="lt1"/>
              </a:solidFill>
              <a:latin typeface="+mn-lt"/>
              <a:ea typeface="+mn-ea"/>
              <a:cs typeface="+mn-cs"/>
            </a:rPr>
            <a:t>HFC</a:t>
          </a:r>
          <a:r>
            <a:rPr lang="ja-JP" altLang="en-US" sz="1100" b="0" i="0" u="none" strike="noStrike" baseline="0" smtClean="0">
              <a:solidFill>
                <a:schemeClr val="lt1"/>
              </a:solidFill>
              <a:latin typeface="+mn-lt"/>
              <a:ea typeface="+mn-ea"/>
              <a:cs typeface="+mn-cs"/>
            </a:rPr>
            <a:t>漏出等）や同制度で算定対象外としている範囲（自社所有の自家用乗用車のガソリン使用による排出等）が含まれことを示しています。</a:t>
          </a:r>
          <a:endParaRPr lang="en-US" altLang="ja-JP" sz="1100" b="0" i="0" u="none" strike="noStrike" baseline="0" smtClean="0">
            <a:solidFill>
              <a:schemeClr val="lt1"/>
            </a:solidFill>
            <a:latin typeface="+mn-lt"/>
            <a:ea typeface="+mn-ea"/>
            <a:cs typeface="+mn-cs"/>
          </a:endParaRPr>
        </a:p>
      </xdr:txBody>
    </xdr:sp>
    <xdr:clientData/>
  </xdr:twoCellAnchor>
  <xdr:twoCellAnchor>
    <xdr:from>
      <xdr:col>13</xdr:col>
      <xdr:colOff>68035</xdr:colOff>
      <xdr:row>67</xdr:row>
      <xdr:rowOff>302758</xdr:rowOff>
    </xdr:from>
    <xdr:to>
      <xdr:col>19</xdr:col>
      <xdr:colOff>616323</xdr:colOff>
      <xdr:row>86</xdr:row>
      <xdr:rowOff>85444</xdr:rowOff>
    </xdr:to>
    <xdr:sp macro="" textlink="">
      <xdr:nvSpPr>
        <xdr:cNvPr id="16" name="角丸四角形吹き出し 15"/>
        <xdr:cNvSpPr/>
      </xdr:nvSpPr>
      <xdr:spPr>
        <a:xfrm>
          <a:off x="8983435" y="11656558"/>
          <a:ext cx="4663088" cy="3173586"/>
        </a:xfrm>
        <a:prstGeom prst="wedgeRoundRectCallout">
          <a:avLst>
            <a:gd name="adj1" fmla="val -59119"/>
            <a:gd name="adj2" fmla="val -2559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lt1"/>
              </a:solidFill>
              <a:effectLst/>
              <a:latin typeface="+mn-lt"/>
              <a:ea typeface="+mn-ea"/>
              <a:cs typeface="+mn-cs"/>
            </a:rPr>
            <a:t>小売業の場合、カテゴリ</a:t>
          </a:r>
          <a:r>
            <a:rPr kumimoji="1" lang="en-US" altLang="ja-JP" sz="1100">
              <a:solidFill>
                <a:schemeClr val="lt1"/>
              </a:solidFill>
              <a:effectLst/>
              <a:latin typeface="+mn-lt"/>
              <a:ea typeface="+mn-ea"/>
              <a:cs typeface="+mn-cs"/>
            </a:rPr>
            <a:t>12</a:t>
          </a:r>
          <a:r>
            <a:rPr kumimoji="1" lang="ja-JP" altLang="en-US" sz="1100">
              <a:solidFill>
                <a:schemeClr val="lt1"/>
              </a:solidFill>
              <a:effectLst/>
              <a:latin typeface="+mn-lt"/>
              <a:ea typeface="+mn-ea"/>
              <a:cs typeface="+mn-cs"/>
            </a:rPr>
            <a:t>を算定するために必要な廃棄部分の重量を把握することが困難です。これは、小売事業者が調達している重量と小売事業者がカテゴリ</a:t>
          </a:r>
          <a:r>
            <a:rPr kumimoji="1" lang="en-US" altLang="ja-JP" sz="1100">
              <a:solidFill>
                <a:schemeClr val="lt1"/>
              </a:solidFill>
              <a:effectLst/>
              <a:latin typeface="+mn-lt"/>
              <a:ea typeface="+mn-ea"/>
              <a:cs typeface="+mn-cs"/>
            </a:rPr>
            <a:t>12</a:t>
          </a:r>
          <a:r>
            <a:rPr kumimoji="1" lang="ja-JP" altLang="en-US" sz="1100">
              <a:solidFill>
                <a:schemeClr val="lt1"/>
              </a:solidFill>
              <a:effectLst/>
              <a:latin typeface="+mn-lt"/>
              <a:ea typeface="+mn-ea"/>
              <a:cs typeface="+mn-cs"/>
            </a:rPr>
            <a:t>で対象とする廃棄物重量とが異なるためです。具体的には、食料品の場合、カテゴリ</a:t>
          </a:r>
          <a:r>
            <a:rPr kumimoji="1" lang="en-US" altLang="ja-JP" sz="1100">
              <a:solidFill>
                <a:schemeClr val="lt1"/>
              </a:solidFill>
              <a:effectLst/>
              <a:latin typeface="+mn-lt"/>
              <a:ea typeface="+mn-ea"/>
              <a:cs typeface="+mn-cs"/>
            </a:rPr>
            <a:t>12</a:t>
          </a:r>
          <a:r>
            <a:rPr kumimoji="1" lang="ja-JP" altLang="en-US" sz="1100">
              <a:solidFill>
                <a:schemeClr val="lt1"/>
              </a:solidFill>
              <a:effectLst/>
              <a:latin typeface="+mn-lt"/>
              <a:ea typeface="+mn-ea"/>
              <a:cs typeface="+mn-cs"/>
            </a:rPr>
            <a:t>で対象とするのは“食品の包装材”であり、食事によって消失する“食用部分”は対象外のためです。そのため、調達重量を把握していても、包装材重量等に換算する必要があります。また、金額や本数しか把握していないケース等も考えられます。</a:t>
          </a:r>
          <a:endParaRPr kumimoji="1" lang="en-US" altLang="ja-JP" sz="1100">
            <a:solidFill>
              <a:schemeClr val="lt1"/>
            </a:solidFill>
            <a:effectLst/>
            <a:latin typeface="+mn-lt"/>
            <a:ea typeface="+mn-ea"/>
            <a:cs typeface="+mn-cs"/>
          </a:endParaRPr>
        </a:p>
        <a:p>
          <a:r>
            <a:rPr kumimoji="1" lang="ja-JP" altLang="en-US" sz="1100">
              <a:solidFill>
                <a:schemeClr val="lt1"/>
              </a:solidFill>
              <a:effectLst/>
              <a:latin typeface="+mn-lt"/>
              <a:ea typeface="+mn-ea"/>
              <a:cs typeface="+mn-cs"/>
            </a:rPr>
            <a:t>このようなとき、サンプリング、代表製品から推計、国内シェア等から推計、</a:t>
          </a:r>
          <a:r>
            <a:rPr kumimoji="1" lang="ja-JP" altLang="ja-JP" sz="1100">
              <a:solidFill>
                <a:schemeClr val="lt1"/>
              </a:solidFill>
              <a:effectLst/>
              <a:latin typeface="+mn-lt"/>
              <a:ea typeface="+mn-ea"/>
              <a:cs typeface="+mn-cs"/>
            </a:rPr>
            <a:t>業界団体</a:t>
          </a:r>
          <a:r>
            <a:rPr kumimoji="1" lang="ja-JP" altLang="en-US" sz="1100">
              <a:solidFill>
                <a:schemeClr val="lt1"/>
              </a:solidFill>
              <a:effectLst/>
              <a:latin typeface="+mn-lt"/>
              <a:ea typeface="+mn-ea"/>
              <a:cs typeface="+mn-cs"/>
            </a:rPr>
            <a:t>等の公表情報、カーボンフットプリント製品種別基準等におけるシナリオ等を用いて、包装材分のみを算定することが求められます。</a:t>
          </a:r>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r>
            <a:rPr kumimoji="1" lang="ja-JP" altLang="en-US" sz="1100">
              <a:solidFill>
                <a:schemeClr val="lt1"/>
              </a:solidFill>
              <a:effectLst/>
              <a:latin typeface="+mn-lt"/>
              <a:ea typeface="+mn-ea"/>
              <a:cs typeface="+mn-cs"/>
            </a:rPr>
            <a:t>ペットボトル飲料に由来するカテゴリ</a:t>
          </a:r>
          <a:r>
            <a:rPr kumimoji="1" lang="en-US" altLang="ja-JP" sz="1100">
              <a:solidFill>
                <a:schemeClr val="lt1"/>
              </a:solidFill>
              <a:effectLst/>
              <a:latin typeface="+mn-lt"/>
              <a:ea typeface="+mn-ea"/>
              <a:cs typeface="+mn-cs"/>
            </a:rPr>
            <a:t>12</a:t>
          </a:r>
          <a:r>
            <a:rPr kumimoji="1" lang="ja-JP" altLang="en-US" sz="1100">
              <a:solidFill>
                <a:schemeClr val="lt1"/>
              </a:solidFill>
              <a:effectLst/>
              <a:latin typeface="+mn-lt"/>
              <a:ea typeface="+mn-ea"/>
              <a:cs typeface="+mn-cs"/>
            </a:rPr>
            <a:t>排出量を算定するに当たり、飲料の調達金額（ペットボトル、缶含む）しか把握していない場合、調達金額のうちペットボトル飲料調達に充てられた金額を推計し、金額からペットボトル飲料本数を推計し、本数に</a:t>
          </a:r>
          <a:r>
            <a:rPr kumimoji="1" lang="en-US" altLang="ja-JP" sz="1100">
              <a:solidFill>
                <a:schemeClr val="lt1"/>
              </a:solidFill>
              <a:effectLst/>
              <a:latin typeface="+mn-lt"/>
              <a:ea typeface="+mn-ea"/>
              <a:cs typeface="+mn-cs"/>
            </a:rPr>
            <a:t>1</a:t>
          </a:r>
          <a:r>
            <a:rPr kumimoji="1" lang="ja-JP" altLang="en-US" sz="1100">
              <a:solidFill>
                <a:schemeClr val="lt1"/>
              </a:solidFill>
              <a:effectLst/>
              <a:latin typeface="+mn-lt"/>
              <a:ea typeface="+mn-ea"/>
              <a:cs typeface="+mn-cs"/>
            </a:rPr>
            <a:t>本当たりの包装材重量を乗じてペットボトル重量を推計する方法が考えられます。</a:t>
          </a:r>
          <a:endParaRPr kumimoji="1" lang="en-US" altLang="ja-JP" sz="1100">
            <a:solidFill>
              <a:schemeClr val="lt1"/>
            </a:solidFill>
            <a:effectLst/>
            <a:latin typeface="+mn-lt"/>
            <a:ea typeface="+mn-ea"/>
            <a:cs typeface="+mn-cs"/>
          </a:endParaRPr>
        </a:p>
        <a:p>
          <a:r>
            <a:rPr kumimoji="1" lang="ja-JP" altLang="ja-JP" sz="1100">
              <a:solidFill>
                <a:schemeClr val="lt1"/>
              </a:solidFill>
              <a:effectLst/>
              <a:latin typeface="+mn-lt"/>
              <a:ea typeface="+mn-ea"/>
              <a:cs typeface="+mn-cs"/>
            </a:rPr>
            <a:t>飲料の調達金額（ペットボトル、缶含む）</a:t>
          </a:r>
          <a:r>
            <a:rPr kumimoji="1" lang="ja-JP" altLang="en-US" sz="1100">
              <a:solidFill>
                <a:schemeClr val="lt1"/>
              </a:solidFill>
              <a:effectLst/>
              <a:latin typeface="+mn-lt"/>
              <a:ea typeface="+mn-ea"/>
              <a:cs typeface="+mn-cs"/>
            </a:rPr>
            <a:t>からペットボトル飲料の調達金額を推計する方法として、例えば、シェアを乗じる方法があります。自社内の調達シェアから推計することが望ましいですが、それが不明の場合は、業界団体などで整理している国内シェアなどを用いる方法が考えられます。</a:t>
          </a:r>
          <a:endParaRPr kumimoji="1" lang="en-US" altLang="ja-JP" sz="1100">
            <a:solidFill>
              <a:schemeClr val="lt1"/>
            </a:solidFill>
            <a:effectLst/>
            <a:latin typeface="+mn-lt"/>
            <a:ea typeface="+mn-ea"/>
            <a:cs typeface="+mn-cs"/>
          </a:endParaRPr>
        </a:p>
        <a:p>
          <a:r>
            <a:rPr kumimoji="1" lang="ja-JP" altLang="en-US" sz="1100">
              <a:solidFill>
                <a:schemeClr val="lt1"/>
              </a:solidFill>
              <a:effectLst/>
              <a:latin typeface="+mn-lt"/>
              <a:ea typeface="+mn-ea"/>
              <a:cs typeface="+mn-cs"/>
            </a:rPr>
            <a:t>ペットボトル飲料の調達金額</a:t>
          </a:r>
          <a:r>
            <a:rPr kumimoji="1" lang="ja-JP" altLang="ja-JP" sz="1100">
              <a:solidFill>
                <a:schemeClr val="lt1"/>
              </a:solidFill>
              <a:effectLst/>
              <a:latin typeface="+mn-lt"/>
              <a:ea typeface="+mn-ea"/>
              <a:cs typeface="+mn-cs"/>
            </a:rPr>
            <a:t>から本数</a:t>
          </a:r>
          <a:r>
            <a:rPr kumimoji="1" lang="ja-JP" altLang="en-US" sz="1100">
              <a:solidFill>
                <a:schemeClr val="lt1"/>
              </a:solidFill>
              <a:effectLst/>
              <a:latin typeface="+mn-lt"/>
              <a:ea typeface="+mn-ea"/>
              <a:cs typeface="+mn-cs"/>
            </a:rPr>
            <a:t>を</a:t>
          </a:r>
          <a:r>
            <a:rPr kumimoji="1" lang="ja-JP" altLang="ja-JP" sz="1100">
              <a:solidFill>
                <a:schemeClr val="lt1"/>
              </a:solidFill>
              <a:effectLst/>
              <a:latin typeface="+mn-lt"/>
              <a:ea typeface="+mn-ea"/>
              <a:cs typeface="+mn-cs"/>
            </a:rPr>
            <a:t>推計</a:t>
          </a:r>
          <a:r>
            <a:rPr kumimoji="1" lang="ja-JP" altLang="en-US" sz="1100">
              <a:solidFill>
                <a:schemeClr val="lt1"/>
              </a:solidFill>
              <a:effectLst/>
              <a:latin typeface="+mn-lt"/>
              <a:ea typeface="+mn-ea"/>
              <a:cs typeface="+mn-cs"/>
            </a:rPr>
            <a:t>する方法として、例えば、代表製品から推計する方法があります。</a:t>
          </a:r>
          <a:r>
            <a:rPr kumimoji="1" lang="en-US" altLang="ja-JP" sz="1100">
              <a:solidFill>
                <a:schemeClr val="lt1"/>
              </a:solidFill>
              <a:effectLst/>
              <a:latin typeface="+mn-lt"/>
              <a:ea typeface="+mn-ea"/>
              <a:cs typeface="+mn-cs"/>
            </a:rPr>
            <a:t>1</a:t>
          </a:r>
          <a:r>
            <a:rPr kumimoji="1" lang="ja-JP" altLang="en-US" sz="1100">
              <a:solidFill>
                <a:schemeClr val="lt1"/>
              </a:solidFill>
              <a:effectLst/>
              <a:latin typeface="+mn-lt"/>
              <a:ea typeface="+mn-ea"/>
              <a:cs typeface="+mn-cs"/>
            </a:rPr>
            <a:t>本当たり</a:t>
          </a:r>
          <a:r>
            <a:rPr kumimoji="1" lang="en-US" altLang="ja-JP" sz="1100">
              <a:solidFill>
                <a:schemeClr val="lt1"/>
              </a:solidFill>
              <a:effectLst/>
              <a:latin typeface="+mn-lt"/>
              <a:ea typeface="+mn-ea"/>
              <a:cs typeface="+mn-cs"/>
            </a:rPr>
            <a:t>80</a:t>
          </a:r>
          <a:r>
            <a:rPr kumimoji="1" lang="ja-JP" altLang="en-US" sz="1100">
              <a:solidFill>
                <a:schemeClr val="lt1"/>
              </a:solidFill>
              <a:effectLst/>
              <a:latin typeface="+mn-lt"/>
              <a:ea typeface="+mn-ea"/>
              <a:cs typeface="+mn-cs"/>
            </a:rPr>
            <a:t>円であれば、調達金額を</a:t>
          </a:r>
          <a:r>
            <a:rPr kumimoji="1" lang="en-US" altLang="ja-JP" sz="1100">
              <a:solidFill>
                <a:schemeClr val="lt1"/>
              </a:solidFill>
              <a:effectLst/>
              <a:latin typeface="+mn-lt"/>
              <a:ea typeface="+mn-ea"/>
              <a:cs typeface="+mn-cs"/>
            </a:rPr>
            <a:t>80</a:t>
          </a:r>
          <a:r>
            <a:rPr kumimoji="1" lang="ja-JP" altLang="en-US" sz="1100">
              <a:solidFill>
                <a:schemeClr val="lt1"/>
              </a:solidFill>
              <a:effectLst/>
              <a:latin typeface="+mn-lt"/>
              <a:ea typeface="+mn-ea"/>
              <a:cs typeface="+mn-cs"/>
            </a:rPr>
            <a:t>円で除すことで、調達本数を推計できます。</a:t>
          </a:r>
          <a:endParaRPr kumimoji="1" lang="en-US" altLang="ja-JP" sz="1100">
            <a:solidFill>
              <a:schemeClr val="lt1"/>
            </a:solidFill>
            <a:effectLst/>
            <a:latin typeface="+mn-lt"/>
            <a:ea typeface="+mn-ea"/>
            <a:cs typeface="+mn-cs"/>
          </a:endParaRPr>
        </a:p>
        <a:p>
          <a:r>
            <a:rPr kumimoji="1" lang="ja-JP" altLang="en-US" sz="1100">
              <a:solidFill>
                <a:schemeClr val="lt1"/>
              </a:solidFill>
              <a:effectLst/>
              <a:latin typeface="+mn-lt"/>
              <a:ea typeface="+mn-ea"/>
              <a:cs typeface="+mn-cs"/>
            </a:rPr>
            <a:t>調達本数から包装材重量を推計するためには、</a:t>
          </a:r>
          <a:r>
            <a:rPr kumimoji="1" lang="en-US" altLang="ja-JP" sz="1100">
              <a:solidFill>
                <a:schemeClr val="lt1"/>
              </a:solidFill>
              <a:effectLst/>
              <a:latin typeface="+mn-lt"/>
              <a:ea typeface="+mn-ea"/>
              <a:cs typeface="+mn-cs"/>
            </a:rPr>
            <a:t>1</a:t>
          </a:r>
          <a:r>
            <a:rPr kumimoji="1" lang="ja-JP" altLang="en-US" sz="1100">
              <a:solidFill>
                <a:schemeClr val="lt1"/>
              </a:solidFill>
              <a:effectLst/>
              <a:latin typeface="+mn-lt"/>
              <a:ea typeface="+mn-ea"/>
              <a:cs typeface="+mn-cs"/>
            </a:rPr>
            <a:t>本当たりの包装材重量を調達本数に乗じる方法があります。関連業界団体、規格等の公開情報を用いる方法、実測する方法などが考えられます。</a:t>
          </a:r>
          <a:endParaRPr kumimoji="1" lang="en-US" altLang="ja-JP" sz="1100">
            <a:solidFill>
              <a:schemeClr val="lt1"/>
            </a:solidFill>
            <a:effectLst/>
            <a:latin typeface="+mn-lt"/>
            <a:ea typeface="+mn-ea"/>
            <a:cs typeface="+mn-cs"/>
          </a:endParaRPr>
        </a:p>
        <a:p>
          <a:r>
            <a:rPr kumimoji="1" lang="ja-JP" altLang="en-US" sz="1100">
              <a:solidFill>
                <a:schemeClr val="lt1"/>
              </a:solidFill>
              <a:effectLst/>
              <a:latin typeface="+mn-lt"/>
              <a:ea typeface="+mn-ea"/>
              <a:cs typeface="+mn-cs"/>
            </a:rPr>
            <a:t>これらにより、調達したペットボトル飲料の包装材重量が把握できます。このとき、調達金額から個別の廃棄物重量を求める係数は、以下の式から求めることができます。</a:t>
          </a:r>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r>
            <a:rPr kumimoji="1" lang="ja-JP" altLang="en-US" sz="1100">
              <a:solidFill>
                <a:schemeClr val="lt1"/>
              </a:solidFill>
              <a:effectLst/>
              <a:latin typeface="+mn-lt"/>
              <a:ea typeface="+mn-ea"/>
              <a:cs typeface="+mn-cs"/>
            </a:rPr>
            <a:t>（シェア </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1</a:t>
          </a:r>
          <a:r>
            <a:rPr kumimoji="1" lang="ja-JP" altLang="en-US" sz="1100">
              <a:solidFill>
                <a:schemeClr val="lt1"/>
              </a:solidFill>
              <a:effectLst/>
              <a:latin typeface="+mn-lt"/>
              <a:ea typeface="+mn-ea"/>
              <a:cs typeface="+mn-cs"/>
            </a:rPr>
            <a:t>本当たり金額</a:t>
          </a:r>
          <a:r>
            <a:rPr kumimoji="1" lang="ja-JP" altLang="en-US" sz="1100" baseline="0">
              <a:solidFill>
                <a:schemeClr val="lt1"/>
              </a:solidFill>
              <a:effectLst/>
              <a:latin typeface="+mn-lt"/>
              <a:ea typeface="+mn-ea"/>
              <a:cs typeface="+mn-cs"/>
            </a:rPr>
            <a:t> </a:t>
          </a:r>
          <a:r>
            <a:rPr kumimoji="1" lang="en-US" altLang="ja-JP" sz="1100" baseline="0">
              <a:solidFill>
                <a:schemeClr val="lt1"/>
              </a:solidFill>
              <a:effectLst/>
              <a:latin typeface="+mn-lt"/>
              <a:ea typeface="+mn-ea"/>
              <a:cs typeface="+mn-cs"/>
            </a:rPr>
            <a:t>[</a:t>
          </a:r>
          <a:r>
            <a:rPr kumimoji="1" lang="ja-JP" altLang="en-US" sz="1100" baseline="0">
              <a:solidFill>
                <a:schemeClr val="lt1"/>
              </a:solidFill>
              <a:effectLst/>
              <a:latin typeface="+mn-lt"/>
              <a:ea typeface="+mn-ea"/>
              <a:cs typeface="+mn-cs"/>
            </a:rPr>
            <a:t>本</a:t>
          </a:r>
          <a:r>
            <a:rPr kumimoji="1" lang="en-US" altLang="ja-JP" sz="1100" baseline="0">
              <a:solidFill>
                <a:schemeClr val="lt1"/>
              </a:solidFill>
              <a:effectLst/>
              <a:latin typeface="+mn-lt"/>
              <a:ea typeface="+mn-ea"/>
              <a:cs typeface="+mn-cs"/>
            </a:rPr>
            <a:t>/</a:t>
          </a:r>
          <a:r>
            <a:rPr kumimoji="1" lang="ja-JP" altLang="en-US" sz="1100" baseline="0">
              <a:solidFill>
                <a:schemeClr val="lt1"/>
              </a:solidFill>
              <a:effectLst/>
              <a:latin typeface="+mn-lt"/>
              <a:ea typeface="+mn-ea"/>
              <a:cs typeface="+mn-cs"/>
            </a:rPr>
            <a:t>百万円</a:t>
          </a:r>
          <a:r>
            <a:rPr kumimoji="1" lang="en-US" altLang="ja-JP" sz="1100" baseline="0">
              <a:solidFill>
                <a:schemeClr val="lt1"/>
              </a:solidFill>
              <a:effectLst/>
              <a:latin typeface="+mn-lt"/>
              <a:ea typeface="+mn-ea"/>
              <a:cs typeface="+mn-cs"/>
            </a:rPr>
            <a:t>]</a:t>
          </a:r>
          <a:r>
            <a:rPr kumimoji="1" lang="ja-JP" altLang="en-US" sz="1100" baseline="0">
              <a:solidFill>
                <a:schemeClr val="lt1"/>
              </a:solidFill>
              <a:effectLst/>
              <a:latin typeface="+mn-lt"/>
              <a:ea typeface="+mn-ea"/>
              <a:cs typeface="+mn-cs"/>
            </a:rPr>
            <a:t>）</a:t>
          </a:r>
          <a:r>
            <a:rPr kumimoji="1" lang="en-US" altLang="ja-JP" sz="1100" baseline="0">
              <a:solidFill>
                <a:schemeClr val="lt1"/>
              </a:solidFill>
              <a:effectLst/>
              <a:latin typeface="+mn-lt"/>
              <a:ea typeface="+mn-ea"/>
              <a:cs typeface="+mn-cs"/>
            </a:rPr>
            <a:t>×</a:t>
          </a:r>
          <a:r>
            <a:rPr kumimoji="1" lang="ja-JP" altLang="en-US" sz="1100" baseline="0">
              <a:solidFill>
                <a:schemeClr val="lt1"/>
              </a:solidFill>
              <a:effectLst/>
              <a:latin typeface="+mn-lt"/>
              <a:ea typeface="+mn-ea"/>
              <a:cs typeface="+mn-cs"/>
            </a:rPr>
            <a:t>（</a:t>
          </a:r>
          <a:r>
            <a:rPr kumimoji="1" lang="en-US" altLang="ja-JP" sz="1100" baseline="0">
              <a:solidFill>
                <a:schemeClr val="lt1"/>
              </a:solidFill>
              <a:effectLst/>
              <a:latin typeface="+mn-lt"/>
              <a:ea typeface="+mn-ea"/>
              <a:cs typeface="+mn-cs"/>
            </a:rPr>
            <a:t>1</a:t>
          </a:r>
          <a:r>
            <a:rPr kumimoji="1" lang="ja-JP" altLang="en-US" sz="1100" baseline="0">
              <a:solidFill>
                <a:schemeClr val="lt1"/>
              </a:solidFill>
              <a:effectLst/>
              <a:latin typeface="+mn-lt"/>
              <a:ea typeface="+mn-ea"/>
              <a:cs typeface="+mn-cs"/>
            </a:rPr>
            <a:t>本当たり包装材重量 </a:t>
          </a:r>
          <a:r>
            <a:rPr kumimoji="1" lang="en-US" altLang="ja-JP" sz="1100" baseline="0">
              <a:solidFill>
                <a:schemeClr val="lt1"/>
              </a:solidFill>
              <a:effectLst/>
              <a:latin typeface="+mn-lt"/>
              <a:ea typeface="+mn-ea"/>
              <a:cs typeface="+mn-cs"/>
            </a:rPr>
            <a:t>[t/</a:t>
          </a:r>
          <a:r>
            <a:rPr kumimoji="1" lang="ja-JP" altLang="en-US" sz="1100" baseline="0">
              <a:solidFill>
                <a:schemeClr val="lt1"/>
              </a:solidFill>
              <a:effectLst/>
              <a:latin typeface="+mn-lt"/>
              <a:ea typeface="+mn-ea"/>
              <a:cs typeface="+mn-cs"/>
            </a:rPr>
            <a:t>本</a:t>
          </a:r>
          <a:r>
            <a:rPr kumimoji="1" lang="en-US" altLang="ja-JP" sz="1100" baseline="0">
              <a:solidFill>
                <a:schemeClr val="lt1"/>
              </a:solidFill>
              <a:effectLst/>
              <a:latin typeface="+mn-lt"/>
              <a:ea typeface="+mn-ea"/>
              <a:cs typeface="+mn-cs"/>
            </a:rPr>
            <a:t>]</a:t>
          </a:r>
          <a:r>
            <a:rPr kumimoji="1" lang="ja-JP" altLang="en-US" sz="1100" baseline="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r>
            <a:rPr kumimoji="1" lang="ja-JP" altLang="en-US" sz="1100">
              <a:solidFill>
                <a:schemeClr val="lt1"/>
              </a:solidFill>
              <a:effectLst/>
              <a:latin typeface="+mn-lt"/>
              <a:ea typeface="+mn-ea"/>
              <a:cs typeface="+mn-cs"/>
            </a:rPr>
            <a:t>本資料では、菓子類であれば紙箱とプラスチック袋、飲料であれば</a:t>
          </a:r>
          <a:r>
            <a:rPr kumimoji="1" lang="en-US" altLang="ja-JP" sz="1100">
              <a:solidFill>
                <a:schemeClr val="lt1"/>
              </a:solidFill>
              <a:effectLst/>
              <a:latin typeface="+mn-lt"/>
              <a:ea typeface="+mn-ea"/>
              <a:cs typeface="+mn-cs"/>
            </a:rPr>
            <a:t>PET</a:t>
          </a:r>
          <a:r>
            <a:rPr kumimoji="1" lang="ja-JP" altLang="en-US" sz="1100">
              <a:solidFill>
                <a:schemeClr val="lt1"/>
              </a:solidFill>
              <a:effectLst/>
              <a:latin typeface="+mn-lt"/>
              <a:ea typeface="+mn-ea"/>
              <a:cs typeface="+mn-cs"/>
            </a:rPr>
            <a:t>ボトルと缶、ビール類であればびんと缶に分別し、金額あたり重量として整理しています（いずれも架空の値です）。</a:t>
          </a:r>
          <a:endParaRPr kumimoji="1" lang="en-US" altLang="ja-JP" sz="1100">
            <a:solidFill>
              <a:schemeClr val="lt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Normal="100" zoomScaleSheetLayoutView="100" workbookViewId="0">
      <selection activeCell="O13" sqref="O13"/>
    </sheetView>
  </sheetViews>
  <sheetFormatPr defaultRowHeight="13.5"/>
  <cols>
    <col min="10" max="10" width="4.875" customWidth="1"/>
  </cols>
  <sheetData/>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8"/>
  <sheetViews>
    <sheetView view="pageBreakPreview" zoomScale="80" zoomScaleNormal="85" zoomScaleSheetLayoutView="80" workbookViewId="0">
      <pane ySplit="7" topLeftCell="A8" activePane="bottomLeft" state="frozen"/>
      <selection pane="bottomLeft"/>
    </sheetView>
  </sheetViews>
  <sheetFormatPr defaultRowHeight="13.5"/>
  <cols>
    <col min="1" max="1" width="3.5" style="130" bestFit="1" customWidth="1"/>
    <col min="2" max="2" width="29.875" style="130" customWidth="1"/>
    <col min="3" max="3" width="10.875" style="3" customWidth="1"/>
    <col min="4" max="4" width="7.875" style="4" bestFit="1" customWidth="1"/>
    <col min="5" max="5" width="9.875" style="4" bestFit="1" customWidth="1"/>
    <col min="6" max="6" width="24.75" style="1" customWidth="1"/>
    <col min="7" max="7" width="13.125" style="1" customWidth="1"/>
    <col min="8" max="8" width="13.125" style="130" customWidth="1"/>
    <col min="9" max="9" width="40" style="130" customWidth="1"/>
    <col min="10" max="11" width="13.125" style="130" customWidth="1"/>
    <col min="12" max="12" width="40" style="130" customWidth="1"/>
    <col min="13" max="13" width="65.75" style="1" customWidth="1"/>
    <col min="14" max="16384" width="9" style="130"/>
  </cols>
  <sheetData>
    <row r="2" spans="1:13">
      <c r="B2" s="130" t="s">
        <v>1085</v>
      </c>
    </row>
    <row r="3" spans="1:13">
      <c r="B3" s="130" t="s">
        <v>1084</v>
      </c>
    </row>
    <row r="5" spans="1:13" ht="14.25" thickBot="1"/>
    <row r="6" spans="1:13" ht="14.25" thickBot="1">
      <c r="A6" s="412" t="s">
        <v>48</v>
      </c>
      <c r="B6" s="412"/>
      <c r="C6" s="413" t="s">
        <v>49</v>
      </c>
      <c r="D6" s="415" t="s">
        <v>121</v>
      </c>
      <c r="E6" s="415"/>
      <c r="F6" s="416" t="s">
        <v>16</v>
      </c>
      <c r="G6" s="417" t="s">
        <v>50</v>
      </c>
      <c r="H6" s="418"/>
      <c r="I6" s="419"/>
      <c r="J6" s="412" t="s">
        <v>51</v>
      </c>
      <c r="K6" s="412"/>
      <c r="L6" s="412"/>
      <c r="M6" s="410" t="s">
        <v>43</v>
      </c>
    </row>
    <row r="7" spans="1:13" s="2" customFormat="1" ht="14.25" thickBot="1">
      <c r="A7" s="412"/>
      <c r="B7" s="412"/>
      <c r="C7" s="414"/>
      <c r="D7" s="90" t="s">
        <v>52</v>
      </c>
      <c r="E7" s="90" t="s">
        <v>53</v>
      </c>
      <c r="F7" s="416"/>
      <c r="G7" s="91" t="s">
        <v>54</v>
      </c>
      <c r="H7" s="92" t="s">
        <v>55</v>
      </c>
      <c r="I7" s="92" t="s">
        <v>56</v>
      </c>
      <c r="J7" s="92" t="s">
        <v>57</v>
      </c>
      <c r="K7" s="92" t="s">
        <v>55</v>
      </c>
      <c r="L7" s="169" t="s">
        <v>56</v>
      </c>
      <c r="M7" s="411"/>
    </row>
    <row r="8" spans="1:13" ht="18.75" customHeight="1">
      <c r="A8" s="260">
        <v>1</v>
      </c>
      <c r="B8" s="259" t="s">
        <v>4</v>
      </c>
      <c r="C8" s="258">
        <f>SUM(C9:C17)</f>
        <v>63675.5</v>
      </c>
      <c r="D8" s="257">
        <f t="shared" ref="D8:D43" si="0">+C8/$C$85</f>
        <v>0.23872345737879533</v>
      </c>
      <c r="E8" s="257">
        <f t="shared" ref="E8:E43" si="1">+C8/$C$88</f>
        <v>0.18909771173245762</v>
      </c>
      <c r="F8" s="256"/>
      <c r="G8" s="256"/>
      <c r="H8" s="255"/>
      <c r="I8" s="255"/>
      <c r="J8" s="255"/>
      <c r="K8" s="255"/>
      <c r="L8" s="255"/>
      <c r="M8" s="254"/>
    </row>
    <row r="9" spans="1:13" s="146" customFormat="1" ht="18.75" customHeight="1">
      <c r="A9" s="386" t="s">
        <v>1083</v>
      </c>
      <c r="B9" s="387"/>
      <c r="C9" s="125">
        <f t="shared" ref="C9:C17" si="2">+G9*J9</f>
        <v>1203</v>
      </c>
      <c r="D9" s="124">
        <f t="shared" si="0"/>
        <v>4.5101227195183512E-3</v>
      </c>
      <c r="E9" s="124">
        <f t="shared" si="1"/>
        <v>3.5725600460796781E-3</v>
      </c>
      <c r="F9" s="147" t="s">
        <v>1082</v>
      </c>
      <c r="G9" s="253">
        <v>300</v>
      </c>
      <c r="H9" s="22" t="s">
        <v>253</v>
      </c>
      <c r="I9" s="32" t="s">
        <v>214</v>
      </c>
      <c r="J9" s="252">
        <v>4.01</v>
      </c>
      <c r="K9" s="30" t="s">
        <v>207</v>
      </c>
      <c r="L9" s="147" t="s">
        <v>979</v>
      </c>
      <c r="M9" s="82"/>
    </row>
    <row r="10" spans="1:13" s="146" customFormat="1" ht="18.75" customHeight="1">
      <c r="A10" s="388"/>
      <c r="B10" s="389"/>
      <c r="C10" s="125">
        <f t="shared" si="2"/>
        <v>10800</v>
      </c>
      <c r="D10" s="124">
        <f t="shared" si="0"/>
        <v>4.0489879776224598E-2</v>
      </c>
      <c r="E10" s="124">
        <f t="shared" si="1"/>
        <v>3.2072858269044491E-2</v>
      </c>
      <c r="F10" s="147" t="s">
        <v>978</v>
      </c>
      <c r="G10" s="253">
        <v>2000</v>
      </c>
      <c r="H10" s="22" t="s">
        <v>253</v>
      </c>
      <c r="I10" s="32" t="s">
        <v>214</v>
      </c>
      <c r="J10" s="252">
        <v>5.4</v>
      </c>
      <c r="K10" s="30" t="s">
        <v>207</v>
      </c>
      <c r="L10" s="147" t="s">
        <v>977</v>
      </c>
      <c r="M10" s="82"/>
    </row>
    <row r="11" spans="1:13" s="146" customFormat="1" ht="18.75" customHeight="1">
      <c r="A11" s="388"/>
      <c r="B11" s="389"/>
      <c r="C11" s="125">
        <f t="shared" si="2"/>
        <v>3830</v>
      </c>
      <c r="D11" s="124">
        <f t="shared" si="0"/>
        <v>1.4358911068790762E-2</v>
      </c>
      <c r="E11" s="124">
        <f t="shared" si="1"/>
        <v>1.1373985849114851E-2</v>
      </c>
      <c r="F11" s="147" t="s">
        <v>1081</v>
      </c>
      <c r="G11" s="253">
        <v>1000</v>
      </c>
      <c r="H11" s="22" t="s">
        <v>253</v>
      </c>
      <c r="I11" s="32" t="s">
        <v>214</v>
      </c>
      <c r="J11" s="252">
        <v>3.83</v>
      </c>
      <c r="K11" s="30" t="s">
        <v>207</v>
      </c>
      <c r="L11" s="147" t="s">
        <v>1080</v>
      </c>
      <c r="M11" s="82"/>
    </row>
    <row r="12" spans="1:13" s="146" customFormat="1" ht="18.75" customHeight="1">
      <c r="A12" s="388"/>
      <c r="B12" s="389"/>
      <c r="C12" s="125">
        <f t="shared" si="2"/>
        <v>26080</v>
      </c>
      <c r="D12" s="124">
        <f t="shared" si="0"/>
        <v>9.7775561533697916E-2</v>
      </c>
      <c r="E12" s="124">
        <f t="shared" si="1"/>
        <v>7.7450013301544468E-2</v>
      </c>
      <c r="F12" s="147" t="s">
        <v>1079</v>
      </c>
      <c r="G12" s="253">
        <v>8000</v>
      </c>
      <c r="H12" s="22" t="s">
        <v>861</v>
      </c>
      <c r="I12" s="32" t="s">
        <v>214</v>
      </c>
      <c r="J12" s="252">
        <v>3.26</v>
      </c>
      <c r="K12" s="30" t="s">
        <v>207</v>
      </c>
      <c r="L12" s="284" t="s">
        <v>1078</v>
      </c>
      <c r="M12" s="82"/>
    </row>
    <row r="13" spans="1:13" s="146" customFormat="1" ht="18.75" customHeight="1">
      <c r="A13" s="388"/>
      <c r="B13" s="389"/>
      <c r="C13" s="125">
        <f t="shared" si="2"/>
        <v>14280</v>
      </c>
      <c r="D13" s="124">
        <f t="shared" si="0"/>
        <v>5.3536618815230301E-2</v>
      </c>
      <c r="E13" s="124">
        <f t="shared" si="1"/>
        <v>4.2407445933514386E-2</v>
      </c>
      <c r="F13" s="147" t="s">
        <v>976</v>
      </c>
      <c r="G13" s="253">
        <v>2000</v>
      </c>
      <c r="H13" s="22" t="s">
        <v>253</v>
      </c>
      <c r="I13" s="32" t="s">
        <v>214</v>
      </c>
      <c r="J13" s="252">
        <v>7.14</v>
      </c>
      <c r="K13" s="30" t="s">
        <v>207</v>
      </c>
      <c r="L13" s="147" t="s">
        <v>975</v>
      </c>
      <c r="M13" s="82"/>
    </row>
    <row r="14" spans="1:13" s="146" customFormat="1" ht="18.75" customHeight="1">
      <c r="A14" s="388"/>
      <c r="B14" s="389"/>
      <c r="C14" s="125">
        <f t="shared" si="2"/>
        <v>3260</v>
      </c>
      <c r="D14" s="124">
        <f t="shared" si="0"/>
        <v>1.222194519171224E-2</v>
      </c>
      <c r="E14" s="124">
        <f t="shared" si="1"/>
        <v>9.6812516626930585E-3</v>
      </c>
      <c r="F14" s="145" t="s">
        <v>974</v>
      </c>
      <c r="G14" s="253">
        <v>1000</v>
      </c>
      <c r="H14" s="22" t="s">
        <v>253</v>
      </c>
      <c r="I14" s="32" t="s">
        <v>214</v>
      </c>
      <c r="J14" s="252">
        <v>3.26</v>
      </c>
      <c r="K14" s="30" t="s">
        <v>207</v>
      </c>
      <c r="L14" s="147" t="s">
        <v>973</v>
      </c>
      <c r="M14" s="82"/>
    </row>
    <row r="15" spans="1:13" s="146" customFormat="1" ht="18.75" customHeight="1">
      <c r="A15" s="388"/>
      <c r="B15" s="389"/>
      <c r="C15" s="125">
        <f t="shared" si="2"/>
        <v>3180</v>
      </c>
      <c r="D15" s="124">
        <f t="shared" si="0"/>
        <v>1.1922020156332799E-2</v>
      </c>
      <c r="E15" s="124">
        <f t="shared" si="1"/>
        <v>9.443674934774212E-3</v>
      </c>
      <c r="F15" s="145" t="s">
        <v>1077</v>
      </c>
      <c r="G15" s="253">
        <v>1000</v>
      </c>
      <c r="H15" s="22" t="s">
        <v>253</v>
      </c>
      <c r="I15" s="32" t="s">
        <v>214</v>
      </c>
      <c r="J15" s="252">
        <v>3.18</v>
      </c>
      <c r="K15" s="30" t="s">
        <v>207</v>
      </c>
      <c r="L15" s="147" t="s">
        <v>1076</v>
      </c>
      <c r="M15" s="82"/>
    </row>
    <row r="16" spans="1:13" s="146" customFormat="1" ht="18.75" customHeight="1">
      <c r="A16" s="388"/>
      <c r="B16" s="389"/>
      <c r="C16" s="125">
        <f t="shared" si="2"/>
        <v>772.5</v>
      </c>
      <c r="D16" s="124">
        <f t="shared" si="0"/>
        <v>2.8961511228827318E-3</v>
      </c>
      <c r="E16" s="124">
        <f t="shared" si="1"/>
        <v>2.2941002789663768E-3</v>
      </c>
      <c r="F16" s="136" t="s">
        <v>62</v>
      </c>
      <c r="G16" s="98">
        <v>50</v>
      </c>
      <c r="H16" s="111" t="s">
        <v>64</v>
      </c>
      <c r="I16" s="32" t="s">
        <v>214</v>
      </c>
      <c r="J16" s="31">
        <v>15.45</v>
      </c>
      <c r="K16" s="157" t="s">
        <v>59</v>
      </c>
      <c r="L16" s="30" t="s">
        <v>74</v>
      </c>
      <c r="M16" s="170"/>
    </row>
    <row r="17" spans="1:13" s="146" customFormat="1" ht="18.75" customHeight="1">
      <c r="A17" s="388"/>
      <c r="B17" s="389"/>
      <c r="C17" s="125">
        <f t="shared" si="2"/>
        <v>270</v>
      </c>
      <c r="D17" s="124">
        <f t="shared" si="0"/>
        <v>1.012246994405615E-3</v>
      </c>
      <c r="E17" s="124">
        <f t="shared" si="1"/>
        <v>8.0182145672611231E-4</v>
      </c>
      <c r="F17" s="147" t="s">
        <v>1075</v>
      </c>
      <c r="G17" s="132">
        <v>50</v>
      </c>
      <c r="H17" s="22" t="s">
        <v>253</v>
      </c>
      <c r="I17" s="32" t="s">
        <v>214</v>
      </c>
      <c r="J17" s="252">
        <v>5.4</v>
      </c>
      <c r="K17" s="30" t="s">
        <v>207</v>
      </c>
      <c r="L17" s="147" t="s">
        <v>673</v>
      </c>
      <c r="M17" s="177"/>
    </row>
    <row r="18" spans="1:13" s="146" customFormat="1" ht="18.75" customHeight="1">
      <c r="A18" s="60">
        <v>2</v>
      </c>
      <c r="B18" s="69" t="s">
        <v>5</v>
      </c>
      <c r="C18" s="93">
        <f>SUM(C19:C20)</f>
        <v>11480</v>
      </c>
      <c r="D18" s="42">
        <f t="shared" si="0"/>
        <v>4.3039242576949854E-2</v>
      </c>
      <c r="E18" s="42">
        <f t="shared" si="1"/>
        <v>3.4092260456354696E-2</v>
      </c>
      <c r="F18" s="94"/>
      <c r="G18" s="95"/>
      <c r="H18" s="95"/>
      <c r="I18" s="95"/>
      <c r="J18" s="95"/>
      <c r="K18" s="95"/>
      <c r="L18" s="95"/>
      <c r="M18" s="175"/>
    </row>
    <row r="19" spans="1:13" s="146" customFormat="1" ht="18.75" customHeight="1">
      <c r="A19" s="386" t="s">
        <v>104</v>
      </c>
      <c r="B19" s="387"/>
      <c r="C19" s="123">
        <f>+G19*J19</f>
        <v>9200</v>
      </c>
      <c r="D19" s="118">
        <f t="shared" si="0"/>
        <v>3.4491379068635773E-2</v>
      </c>
      <c r="E19" s="118">
        <f t="shared" si="1"/>
        <v>2.732132371066753E-2</v>
      </c>
      <c r="F19" s="134" t="s">
        <v>1074</v>
      </c>
      <c r="G19" s="22">
        <v>5000</v>
      </c>
      <c r="H19" s="139" t="s">
        <v>156</v>
      </c>
      <c r="I19" s="22" t="s">
        <v>211</v>
      </c>
      <c r="J19" s="134">
        <v>1.84</v>
      </c>
      <c r="K19" s="135" t="s">
        <v>1073</v>
      </c>
      <c r="L19" s="138" t="s">
        <v>1072</v>
      </c>
      <c r="M19" s="177"/>
    </row>
    <row r="20" spans="1:13" s="146" customFormat="1" ht="18.75" customHeight="1">
      <c r="A20" s="388"/>
      <c r="B20" s="389"/>
      <c r="C20" s="123">
        <f>+G20*J20</f>
        <v>2280</v>
      </c>
      <c r="D20" s="118">
        <f t="shared" si="0"/>
        <v>8.5478635083140828E-3</v>
      </c>
      <c r="E20" s="118">
        <f t="shared" si="1"/>
        <v>6.77093674568717E-3</v>
      </c>
      <c r="F20" s="134" t="s">
        <v>1071</v>
      </c>
      <c r="G20" s="22">
        <v>1000</v>
      </c>
      <c r="H20" s="139" t="s">
        <v>156</v>
      </c>
      <c r="I20" s="22" t="s">
        <v>211</v>
      </c>
      <c r="J20" s="134">
        <v>2.2799999999999998</v>
      </c>
      <c r="K20" s="135" t="s">
        <v>203</v>
      </c>
      <c r="L20" s="138" t="s">
        <v>856</v>
      </c>
      <c r="M20" s="177"/>
    </row>
    <row r="21" spans="1:13" s="146" customFormat="1" ht="18.75" customHeight="1">
      <c r="A21" s="390"/>
      <c r="B21" s="391"/>
      <c r="C21" s="123">
        <f>+G21*J21</f>
        <v>170</v>
      </c>
      <c r="D21" s="118">
        <f t="shared" si="0"/>
        <v>6.3734070018131312E-4</v>
      </c>
      <c r="E21" s="118">
        <f t="shared" si="1"/>
        <v>5.0485054682755214E-4</v>
      </c>
      <c r="F21" s="134" t="s">
        <v>1070</v>
      </c>
      <c r="G21" s="22">
        <v>50</v>
      </c>
      <c r="H21" s="139" t="s">
        <v>861</v>
      </c>
      <c r="I21" s="22" t="s">
        <v>211</v>
      </c>
      <c r="J21" s="275">
        <v>3.4</v>
      </c>
      <c r="K21" s="135" t="s">
        <v>203</v>
      </c>
      <c r="L21" s="138" t="s">
        <v>1069</v>
      </c>
      <c r="M21" s="177"/>
    </row>
    <row r="22" spans="1:13" s="137" customFormat="1" ht="18.75" customHeight="1">
      <c r="A22" s="85">
        <v>3</v>
      </c>
      <c r="B22" s="70" t="s">
        <v>6</v>
      </c>
      <c r="C22" s="66">
        <f>SUM(C23:C28)</f>
        <v>11930.5</v>
      </c>
      <c r="D22" s="43">
        <f t="shared" si="0"/>
        <v>4.4728195432430333E-2</v>
      </c>
      <c r="E22" s="43">
        <f t="shared" si="1"/>
        <v>3.5430114405447716E-2</v>
      </c>
      <c r="F22" s="25"/>
      <c r="G22" s="25"/>
      <c r="H22" s="44"/>
      <c r="I22" s="44"/>
      <c r="J22" s="25"/>
      <c r="K22" s="44"/>
      <c r="L22" s="44"/>
      <c r="M22" s="57"/>
    </row>
    <row r="23" spans="1:13" s="137" customFormat="1" ht="18.75" customHeight="1">
      <c r="A23" s="429" t="s">
        <v>104</v>
      </c>
      <c r="B23" s="430"/>
      <c r="C23" s="117">
        <f t="shared" ref="C23:C28" si="3">+G23*J23</f>
        <v>5310</v>
      </c>
      <c r="D23" s="116">
        <f t="shared" si="0"/>
        <v>1.9907524223310429E-2</v>
      </c>
      <c r="E23" s="116">
        <f t="shared" si="1"/>
        <v>1.5769155315613542E-2</v>
      </c>
      <c r="F23" s="32" t="s">
        <v>29</v>
      </c>
      <c r="G23" s="96">
        <v>150000</v>
      </c>
      <c r="H23" s="33" t="s">
        <v>855</v>
      </c>
      <c r="I23" s="33" t="s">
        <v>75</v>
      </c>
      <c r="J23" s="33">
        <v>3.5400000000000001E-2</v>
      </c>
      <c r="K23" s="33" t="s">
        <v>854</v>
      </c>
      <c r="L23" s="22" t="s">
        <v>44</v>
      </c>
      <c r="M23" s="58"/>
    </row>
    <row r="24" spans="1:13" s="137" customFormat="1" ht="18.75" customHeight="1">
      <c r="A24" s="429"/>
      <c r="B24" s="430"/>
      <c r="C24" s="117">
        <f t="shared" si="3"/>
        <v>3430.0000000000005</v>
      </c>
      <c r="D24" s="116">
        <f t="shared" si="0"/>
        <v>1.2859285891893555E-2</v>
      </c>
      <c r="E24" s="116">
        <f t="shared" si="1"/>
        <v>1.0186102209520613E-2</v>
      </c>
      <c r="F24" s="141" t="s">
        <v>178</v>
      </c>
      <c r="G24" s="251">
        <v>10000</v>
      </c>
      <c r="H24" s="156" t="s">
        <v>170</v>
      </c>
      <c r="I24" s="33" t="s">
        <v>75</v>
      </c>
      <c r="J24" s="142">
        <v>0.34300000000000003</v>
      </c>
      <c r="K24" s="140" t="s">
        <v>205</v>
      </c>
      <c r="L24" s="141" t="s">
        <v>179</v>
      </c>
      <c r="M24" s="58"/>
    </row>
    <row r="25" spans="1:13" s="137" customFormat="1" ht="18.75" customHeight="1">
      <c r="A25" s="429"/>
      <c r="B25" s="430"/>
      <c r="C25" s="117">
        <f t="shared" si="3"/>
        <v>121</v>
      </c>
      <c r="D25" s="116">
        <f t="shared" si="0"/>
        <v>4.5363661601140523E-4</v>
      </c>
      <c r="E25" s="116">
        <f t="shared" si="1"/>
        <v>3.5933480097725772E-4</v>
      </c>
      <c r="F25" s="141" t="s">
        <v>169</v>
      </c>
      <c r="G25" s="251">
        <v>1000</v>
      </c>
      <c r="H25" s="156" t="s">
        <v>170</v>
      </c>
      <c r="I25" s="33" t="s">
        <v>75</v>
      </c>
      <c r="J25" s="142">
        <v>0.121</v>
      </c>
      <c r="K25" s="140" t="s">
        <v>205</v>
      </c>
      <c r="L25" s="141" t="s">
        <v>171</v>
      </c>
      <c r="M25" s="58"/>
    </row>
    <row r="26" spans="1:13" s="137" customFormat="1" ht="18.75" customHeight="1">
      <c r="A26" s="429"/>
      <c r="B26" s="430"/>
      <c r="C26" s="117">
        <f t="shared" si="3"/>
        <v>1520</v>
      </c>
      <c r="D26" s="116">
        <f t="shared" si="0"/>
        <v>5.698575672209388E-3</v>
      </c>
      <c r="E26" s="116">
        <f t="shared" si="1"/>
        <v>4.5139578304581136E-3</v>
      </c>
      <c r="F26" s="141" t="s">
        <v>172</v>
      </c>
      <c r="G26" s="251">
        <v>10000</v>
      </c>
      <c r="H26" s="156" t="s">
        <v>170</v>
      </c>
      <c r="I26" s="33" t="s">
        <v>75</v>
      </c>
      <c r="J26" s="142">
        <v>0.152</v>
      </c>
      <c r="K26" s="140" t="s">
        <v>205</v>
      </c>
      <c r="L26" s="141" t="s">
        <v>173</v>
      </c>
      <c r="M26" s="58"/>
    </row>
    <row r="27" spans="1:13" s="137" customFormat="1" ht="18.75" customHeight="1">
      <c r="A27" s="429"/>
      <c r="B27" s="430"/>
      <c r="C27" s="117">
        <f t="shared" si="3"/>
        <v>1480</v>
      </c>
      <c r="D27" s="116">
        <f t="shared" si="0"/>
        <v>5.548613154519667E-3</v>
      </c>
      <c r="E27" s="116">
        <f t="shared" si="1"/>
        <v>4.3951694664986895E-3</v>
      </c>
      <c r="F27" s="141" t="s">
        <v>180</v>
      </c>
      <c r="G27" s="251">
        <v>2000</v>
      </c>
      <c r="H27" s="156" t="s">
        <v>181</v>
      </c>
      <c r="I27" s="33" t="s">
        <v>75</v>
      </c>
      <c r="J27" s="142">
        <v>0.74</v>
      </c>
      <c r="K27" s="144" t="s">
        <v>206</v>
      </c>
      <c r="L27" s="141" t="s">
        <v>182</v>
      </c>
      <c r="M27" s="58"/>
    </row>
    <row r="28" spans="1:13" s="137" customFormat="1" ht="18.75" customHeight="1">
      <c r="A28" s="429"/>
      <c r="B28" s="430"/>
      <c r="C28" s="117">
        <f t="shared" si="3"/>
        <v>69.5</v>
      </c>
      <c r="D28" s="116">
        <f t="shared" si="0"/>
        <v>2.6055987448588979E-4</v>
      </c>
      <c r="E28" s="116">
        <f t="shared" si="1"/>
        <v>2.0639478237949926E-4</v>
      </c>
      <c r="F28" s="32" t="s">
        <v>30</v>
      </c>
      <c r="G28" s="96">
        <v>5000</v>
      </c>
      <c r="H28" s="33" t="s">
        <v>852</v>
      </c>
      <c r="I28" s="33" t="s">
        <v>75</v>
      </c>
      <c r="J28" s="33">
        <v>1.3899999999999999E-2</v>
      </c>
      <c r="K28" s="33" t="s">
        <v>851</v>
      </c>
      <c r="L28" s="22" t="s">
        <v>45</v>
      </c>
      <c r="M28" s="58"/>
    </row>
    <row r="29" spans="1:13" s="146" customFormat="1" ht="18.75" customHeight="1">
      <c r="A29" s="60">
        <v>4</v>
      </c>
      <c r="B29" s="175" t="s">
        <v>7</v>
      </c>
      <c r="C29" s="67">
        <f>SUM(C30:C31)</f>
        <v>5225.3899999999994</v>
      </c>
      <c r="D29" s="42">
        <f t="shared" si="0"/>
        <v>1.9590316007767245E-2</v>
      </c>
      <c r="E29" s="42">
        <f t="shared" si="1"/>
        <v>1.5517888228748368E-2</v>
      </c>
      <c r="F29" s="174"/>
      <c r="G29" s="174"/>
      <c r="H29" s="41"/>
      <c r="I29" s="41"/>
      <c r="J29" s="41"/>
      <c r="K29" s="41"/>
      <c r="L29" s="41"/>
      <c r="M29" s="175"/>
    </row>
    <row r="30" spans="1:13" s="146" customFormat="1" ht="75" customHeight="1">
      <c r="A30" s="423" t="s">
        <v>103</v>
      </c>
      <c r="B30" s="424"/>
      <c r="C30" s="122">
        <f>G30*J30</f>
        <v>1655.3899999999999</v>
      </c>
      <c r="D30" s="118">
        <f t="shared" si="0"/>
        <v>6.2061613039596699E-3</v>
      </c>
      <c r="E30" s="118">
        <f t="shared" si="1"/>
        <v>4.9160267453697733E-3</v>
      </c>
      <c r="F30" s="250" t="s">
        <v>660</v>
      </c>
      <c r="G30" s="249">
        <f>(G9*3+G10*4.5+G11*5.2+G12*12)*100</f>
        <v>11110000</v>
      </c>
      <c r="H30" s="248" t="s">
        <v>745</v>
      </c>
      <c r="I30" s="99" t="s">
        <v>1068</v>
      </c>
      <c r="J30" s="34">
        <f>0.149/1000</f>
        <v>1.4899999999999999E-4</v>
      </c>
      <c r="K30" s="31" t="s">
        <v>743</v>
      </c>
      <c r="L30" s="136" t="s">
        <v>387</v>
      </c>
      <c r="M30" s="177" t="s">
        <v>656</v>
      </c>
    </row>
    <row r="31" spans="1:13" s="146" customFormat="1" ht="75" customHeight="1">
      <c r="A31" s="427"/>
      <c r="B31" s="428"/>
      <c r="C31" s="122">
        <f>G31*J31</f>
        <v>3570</v>
      </c>
      <c r="D31" s="118">
        <f t="shared" si="0"/>
        <v>1.3384154703807575E-2</v>
      </c>
      <c r="E31" s="118">
        <f t="shared" si="1"/>
        <v>1.0601861483378596E-2</v>
      </c>
      <c r="F31" s="136" t="s">
        <v>1067</v>
      </c>
      <c r="G31" s="98">
        <v>3000</v>
      </c>
      <c r="H31" s="31" t="s">
        <v>961</v>
      </c>
      <c r="I31" s="99" t="s">
        <v>1067</v>
      </c>
      <c r="J31" s="34">
        <v>1.19</v>
      </c>
      <c r="K31" s="31" t="s">
        <v>59</v>
      </c>
      <c r="L31" s="136" t="s">
        <v>1066</v>
      </c>
      <c r="M31" s="177"/>
    </row>
    <row r="32" spans="1:13" s="18" customFormat="1" ht="18.75" customHeight="1">
      <c r="A32" s="86">
        <v>5</v>
      </c>
      <c r="B32" s="71" t="s">
        <v>8</v>
      </c>
      <c r="C32" s="67">
        <f>SUM(C33:C35)</f>
        <v>8998.7800000000007</v>
      </c>
      <c r="D32" s="42">
        <f t="shared" si="0"/>
        <v>3.3736992623397632E-2</v>
      </c>
      <c r="E32" s="42">
        <f t="shared" si="1"/>
        <v>2.6723758845769649E-2</v>
      </c>
      <c r="F32" s="26"/>
      <c r="G32" s="26"/>
      <c r="H32" s="46"/>
      <c r="I32" s="46"/>
      <c r="J32" s="46"/>
      <c r="K32" s="46"/>
      <c r="L32" s="46"/>
      <c r="M32" s="59"/>
    </row>
    <row r="33" spans="1:13" s="18" customFormat="1" ht="18.75" customHeight="1">
      <c r="A33" s="382" t="s">
        <v>842</v>
      </c>
      <c r="B33" s="383"/>
      <c r="C33" s="122">
        <f>+G33*J33</f>
        <v>8920</v>
      </c>
      <c r="D33" s="118">
        <f t="shared" si="0"/>
        <v>3.3441641444807726E-2</v>
      </c>
      <c r="E33" s="118">
        <f t="shared" si="1"/>
        <v>2.648980516295156E-2</v>
      </c>
      <c r="F33" s="147" t="s">
        <v>647</v>
      </c>
      <c r="G33" s="45">
        <v>10000</v>
      </c>
      <c r="H33" s="47" t="s">
        <v>452</v>
      </c>
      <c r="I33" s="47" t="s">
        <v>83</v>
      </c>
      <c r="J33" s="147">
        <v>0.89200000000000002</v>
      </c>
      <c r="K33" s="147" t="s">
        <v>61</v>
      </c>
      <c r="L33" s="47" t="s">
        <v>115</v>
      </c>
      <c r="M33" s="408" t="s">
        <v>1065</v>
      </c>
    </row>
    <row r="34" spans="1:13" s="18" customFormat="1" ht="18.75" customHeight="1">
      <c r="A34" s="382"/>
      <c r="B34" s="383"/>
      <c r="C34" s="122">
        <f>+G34*J34</f>
        <v>49.099999999999994</v>
      </c>
      <c r="D34" s="118">
        <f t="shared" si="0"/>
        <v>1.8407899046413219E-4</v>
      </c>
      <c r="E34" s="118">
        <f t="shared" si="1"/>
        <v>1.4581271676019299E-4</v>
      </c>
      <c r="F34" s="147" t="s">
        <v>497</v>
      </c>
      <c r="G34" s="155">
        <v>1000</v>
      </c>
      <c r="H34" s="47" t="s">
        <v>452</v>
      </c>
      <c r="I34" s="47" t="s">
        <v>83</v>
      </c>
      <c r="J34" s="147">
        <v>4.9099999999999998E-2</v>
      </c>
      <c r="K34" s="147" t="s">
        <v>61</v>
      </c>
      <c r="L34" s="47" t="s">
        <v>115</v>
      </c>
      <c r="M34" s="408"/>
    </row>
    <row r="35" spans="1:13" s="18" customFormat="1" ht="18.75" customHeight="1">
      <c r="A35" s="382"/>
      <c r="B35" s="383"/>
      <c r="C35" s="122">
        <f>+G35*J35</f>
        <v>29.68</v>
      </c>
      <c r="D35" s="118">
        <f t="shared" si="0"/>
        <v>1.1127218812577279E-4</v>
      </c>
      <c r="E35" s="118">
        <f t="shared" si="1"/>
        <v>8.8140966057892637E-5</v>
      </c>
      <c r="F35" s="153" t="s">
        <v>640</v>
      </c>
      <c r="G35" s="153">
        <v>200</v>
      </c>
      <c r="H35" s="45" t="s">
        <v>452</v>
      </c>
      <c r="I35" s="47" t="s">
        <v>85</v>
      </c>
      <c r="J35" s="47">
        <v>0.1484</v>
      </c>
      <c r="K35" s="47" t="s">
        <v>61</v>
      </c>
      <c r="L35" s="47" t="s">
        <v>115</v>
      </c>
      <c r="M35" s="176" t="s">
        <v>82</v>
      </c>
    </row>
    <row r="36" spans="1:13" s="146" customFormat="1" ht="18.75" customHeight="1">
      <c r="A36" s="60">
        <v>6</v>
      </c>
      <c r="B36" s="175" t="s">
        <v>9</v>
      </c>
      <c r="C36" s="67">
        <f>SUM(C37:C39)</f>
        <v>9931</v>
      </c>
      <c r="D36" s="42">
        <f t="shared" si="0"/>
        <v>3.7231944079415415E-2</v>
      </c>
      <c r="E36" s="42">
        <f t="shared" si="1"/>
        <v>2.9492181062026005E-2</v>
      </c>
      <c r="F36" s="174"/>
      <c r="G36" s="95"/>
      <c r="H36" s="41"/>
      <c r="I36" s="41"/>
      <c r="J36" s="41"/>
      <c r="K36" s="41"/>
      <c r="L36" s="41"/>
      <c r="M36" s="175"/>
    </row>
    <row r="37" spans="1:13" s="146" customFormat="1" ht="18.75" customHeight="1">
      <c r="A37" s="386" t="s">
        <v>1064</v>
      </c>
      <c r="B37" s="387"/>
      <c r="C37" s="121">
        <f>+G37*J37</f>
        <v>1096</v>
      </c>
      <c r="D37" s="118">
        <f t="shared" si="0"/>
        <v>4.1089729846983478E-3</v>
      </c>
      <c r="E37" s="118">
        <f t="shared" si="1"/>
        <v>3.2548011724882189E-3</v>
      </c>
      <c r="F37" s="148" t="s">
        <v>191</v>
      </c>
      <c r="G37" s="246">
        <v>800</v>
      </c>
      <c r="H37" s="160" t="s">
        <v>185</v>
      </c>
      <c r="I37" s="159" t="s">
        <v>214</v>
      </c>
      <c r="J37" s="283">
        <v>1.37</v>
      </c>
      <c r="K37" s="161" t="s">
        <v>207</v>
      </c>
      <c r="L37" s="151" t="s">
        <v>186</v>
      </c>
      <c r="M37" s="177"/>
    </row>
    <row r="38" spans="1:13" s="146" customFormat="1" ht="18.75" customHeight="1">
      <c r="A38" s="388"/>
      <c r="B38" s="389"/>
      <c r="C38" s="121">
        <f>+G38*J38</f>
        <v>4815</v>
      </c>
      <c r="D38" s="118">
        <f t="shared" si="0"/>
        <v>1.8051738066900132E-2</v>
      </c>
      <c r="E38" s="118">
        <f t="shared" si="1"/>
        <v>1.429914931161567E-2</v>
      </c>
      <c r="F38" s="147" t="s">
        <v>187</v>
      </c>
      <c r="G38" s="245">
        <v>1500</v>
      </c>
      <c r="H38" s="160" t="s">
        <v>185</v>
      </c>
      <c r="I38" s="159" t="s">
        <v>214</v>
      </c>
      <c r="J38" s="283">
        <v>3.21</v>
      </c>
      <c r="K38" s="161" t="s">
        <v>207</v>
      </c>
      <c r="L38" s="152" t="s">
        <v>188</v>
      </c>
      <c r="M38" s="177"/>
    </row>
    <row r="39" spans="1:13" s="146" customFormat="1" ht="18.75" customHeight="1">
      <c r="A39" s="390"/>
      <c r="B39" s="391"/>
      <c r="C39" s="121">
        <f>+G39*J39</f>
        <v>4019.9999999999995</v>
      </c>
      <c r="D39" s="118">
        <f t="shared" si="0"/>
        <v>1.5071233027816933E-2</v>
      </c>
      <c r="E39" s="118">
        <f t="shared" si="1"/>
        <v>1.1938230577922114E-2</v>
      </c>
      <c r="F39" s="145" t="s">
        <v>189</v>
      </c>
      <c r="G39" s="245">
        <v>2000</v>
      </c>
      <c r="H39" s="160" t="s">
        <v>185</v>
      </c>
      <c r="I39" s="159" t="s">
        <v>214</v>
      </c>
      <c r="J39" s="283">
        <v>2.0099999999999998</v>
      </c>
      <c r="K39" s="161" t="s">
        <v>207</v>
      </c>
      <c r="L39" s="152" t="s">
        <v>190</v>
      </c>
      <c r="M39" s="177"/>
    </row>
    <row r="40" spans="1:13" s="146" customFormat="1" ht="18.75" customHeight="1">
      <c r="A40" s="60">
        <v>7</v>
      </c>
      <c r="B40" s="175" t="s">
        <v>10</v>
      </c>
      <c r="C40" s="67">
        <f>SUM(C41:C43)</f>
        <v>53739.383301707778</v>
      </c>
      <c r="D40" s="42">
        <f t="shared" si="0"/>
        <v>0.2014723304754259</v>
      </c>
      <c r="E40" s="42">
        <f t="shared" si="1"/>
        <v>0.15959033556495647</v>
      </c>
      <c r="F40" s="174"/>
      <c r="G40" s="95"/>
      <c r="H40" s="46"/>
      <c r="I40" s="41"/>
      <c r="J40" s="41"/>
      <c r="K40" s="41"/>
      <c r="L40" s="41"/>
      <c r="M40" s="175"/>
    </row>
    <row r="41" spans="1:13" s="146" customFormat="1" ht="18.75" customHeight="1">
      <c r="A41" s="386" t="s">
        <v>1063</v>
      </c>
      <c r="B41" s="387"/>
      <c r="C41" s="122">
        <f>+G41*J41</f>
        <v>2055</v>
      </c>
      <c r="D41" s="118">
        <f t="shared" si="0"/>
        <v>7.7043243463094033E-3</v>
      </c>
      <c r="E41" s="118">
        <f t="shared" si="1"/>
        <v>6.1027521984154103E-3</v>
      </c>
      <c r="F41" s="150" t="s">
        <v>192</v>
      </c>
      <c r="G41" s="37">
        <v>1500</v>
      </c>
      <c r="H41" s="160" t="s">
        <v>185</v>
      </c>
      <c r="I41" s="159" t="s">
        <v>214</v>
      </c>
      <c r="J41" s="216">
        <v>1.37</v>
      </c>
      <c r="K41" s="161" t="s">
        <v>207</v>
      </c>
      <c r="L41" s="151" t="s">
        <v>193</v>
      </c>
      <c r="M41" s="162"/>
    </row>
    <row r="42" spans="1:13" s="146" customFormat="1" ht="18.75" customHeight="1">
      <c r="A42" s="388"/>
      <c r="B42" s="389"/>
      <c r="C42" s="122">
        <f>+G42*J42</f>
        <v>1210</v>
      </c>
      <c r="D42" s="118">
        <f t="shared" si="0"/>
        <v>4.5363661601140522E-3</v>
      </c>
      <c r="E42" s="118">
        <f t="shared" si="1"/>
        <v>3.5933480097725774E-3</v>
      </c>
      <c r="F42" s="150" t="s">
        <v>194</v>
      </c>
      <c r="G42" s="37">
        <v>500</v>
      </c>
      <c r="H42" s="160" t="s">
        <v>185</v>
      </c>
      <c r="I42" s="159" t="s">
        <v>214</v>
      </c>
      <c r="J42" s="216">
        <v>2.42</v>
      </c>
      <c r="K42" s="161" t="s">
        <v>203</v>
      </c>
      <c r="L42" s="152" t="s">
        <v>195</v>
      </c>
      <c r="M42" s="162"/>
    </row>
    <row r="43" spans="1:13" s="146" customFormat="1" ht="30" customHeight="1">
      <c r="A43" s="390"/>
      <c r="B43" s="391"/>
      <c r="C43" s="122">
        <f>+G43*J43</f>
        <v>50474.383301707778</v>
      </c>
      <c r="D43" s="118">
        <f t="shared" si="0"/>
        <v>0.18923163996900244</v>
      </c>
      <c r="E43" s="118">
        <f t="shared" si="1"/>
        <v>0.14989423535676846</v>
      </c>
      <c r="F43" s="150" t="s">
        <v>196</v>
      </c>
      <c r="G43" s="37">
        <v>3000</v>
      </c>
      <c r="H43" s="160" t="s">
        <v>185</v>
      </c>
      <c r="I43" s="159" t="s">
        <v>214</v>
      </c>
      <c r="J43" s="38">
        <v>16.824794433902593</v>
      </c>
      <c r="K43" s="161" t="s">
        <v>203</v>
      </c>
      <c r="L43" s="114" t="s">
        <v>197</v>
      </c>
      <c r="M43" s="162" t="s">
        <v>198</v>
      </c>
    </row>
    <row r="44" spans="1:13" s="146" customFormat="1" ht="18.75" customHeight="1">
      <c r="A44" s="60">
        <v>8</v>
      </c>
      <c r="B44" s="175" t="s">
        <v>11</v>
      </c>
      <c r="C44" s="438" t="s">
        <v>1062</v>
      </c>
      <c r="D44" s="438"/>
      <c r="E44" s="438"/>
      <c r="F44" s="438"/>
      <c r="G44" s="438"/>
      <c r="H44" s="438"/>
      <c r="I44" s="438"/>
      <c r="J44" s="438"/>
      <c r="K44" s="438"/>
      <c r="L44" s="438"/>
      <c r="M44" s="439"/>
    </row>
    <row r="45" spans="1:13" s="146" customFormat="1" ht="18.75" customHeight="1">
      <c r="A45" s="60">
        <v>9</v>
      </c>
      <c r="B45" s="175" t="s">
        <v>12</v>
      </c>
      <c r="C45" s="438" t="s">
        <v>635</v>
      </c>
      <c r="D45" s="438"/>
      <c r="E45" s="438"/>
      <c r="F45" s="438"/>
      <c r="G45" s="438"/>
      <c r="H45" s="438"/>
      <c r="I45" s="438"/>
      <c r="J45" s="438"/>
      <c r="K45" s="438"/>
      <c r="L45" s="438"/>
      <c r="M45" s="439"/>
    </row>
    <row r="46" spans="1:13" s="146" customFormat="1" ht="18.75" customHeight="1">
      <c r="A46" s="60">
        <v>10</v>
      </c>
      <c r="B46" s="69" t="s">
        <v>13</v>
      </c>
      <c r="C46" s="496" t="s">
        <v>1061</v>
      </c>
      <c r="D46" s="468"/>
      <c r="E46" s="468"/>
      <c r="F46" s="468"/>
      <c r="G46" s="468"/>
      <c r="H46" s="468"/>
      <c r="I46" s="468"/>
      <c r="J46" s="468"/>
      <c r="K46" s="468"/>
      <c r="L46" s="468"/>
      <c r="M46" s="469"/>
    </row>
    <row r="47" spans="1:13" s="13" customFormat="1" ht="18.75" customHeight="1">
      <c r="A47" s="85">
        <v>11</v>
      </c>
      <c r="B47" s="70" t="s">
        <v>14</v>
      </c>
      <c r="C47" s="494" t="s">
        <v>1060</v>
      </c>
      <c r="D47" s="494"/>
      <c r="E47" s="494"/>
      <c r="F47" s="494"/>
      <c r="G47" s="494"/>
      <c r="H47" s="494"/>
      <c r="I47" s="494"/>
      <c r="J47" s="494"/>
      <c r="K47" s="494"/>
      <c r="L47" s="494"/>
      <c r="M47" s="495"/>
    </row>
    <row r="48" spans="1:13" s="146" customFormat="1" ht="18.75" customHeight="1">
      <c r="A48" s="60">
        <v>12</v>
      </c>
      <c r="B48" s="69" t="s">
        <v>15</v>
      </c>
      <c r="C48" s="93">
        <f>SUM(C49:C52)</f>
        <v>1655.3899999999999</v>
      </c>
      <c r="D48" s="42">
        <f t="shared" ref="D48:D54" si="4">+C48/$C$85</f>
        <v>6.2061613039596699E-3</v>
      </c>
      <c r="E48" s="42">
        <f t="shared" ref="E48:E54" si="5">+C48/$C$88</f>
        <v>4.9160267453697733E-3</v>
      </c>
      <c r="F48" s="94"/>
      <c r="G48" s="95"/>
      <c r="H48" s="95"/>
      <c r="I48" s="95"/>
      <c r="J48" s="95"/>
      <c r="K48" s="95"/>
      <c r="L48" s="95"/>
      <c r="M48" s="175"/>
    </row>
    <row r="49" spans="1:13" s="146" customFormat="1" ht="29.25" customHeight="1">
      <c r="A49" s="386" t="s">
        <v>632</v>
      </c>
      <c r="B49" s="440"/>
      <c r="C49" s="123">
        <f>+G49*J49</f>
        <v>13.409999999999998</v>
      </c>
      <c r="D49" s="118">
        <f t="shared" si="4"/>
        <v>5.0274934055478871E-5</v>
      </c>
      <c r="E49" s="118">
        <f t="shared" si="5"/>
        <v>3.9823799017396905E-5</v>
      </c>
      <c r="F49" s="21" t="s">
        <v>1059</v>
      </c>
      <c r="G49" s="100">
        <f>G9*3*100</f>
        <v>90000</v>
      </c>
      <c r="H49" s="100" t="s">
        <v>745</v>
      </c>
      <c r="I49" s="489" t="s">
        <v>1058</v>
      </c>
      <c r="J49" s="34">
        <f>0.149/1000</f>
        <v>1.4899999999999999E-4</v>
      </c>
      <c r="K49" s="31" t="s">
        <v>743</v>
      </c>
      <c r="L49" s="136" t="s">
        <v>387</v>
      </c>
      <c r="M49" s="177"/>
    </row>
    <row r="50" spans="1:13" s="146" customFormat="1" ht="29.25" customHeight="1">
      <c r="A50" s="388"/>
      <c r="B50" s="481"/>
      <c r="C50" s="123">
        <f>+G50*J50</f>
        <v>134.1</v>
      </c>
      <c r="D50" s="118">
        <f t="shared" si="4"/>
        <v>5.0274934055478872E-4</v>
      </c>
      <c r="E50" s="118">
        <f t="shared" si="5"/>
        <v>3.9823799017396909E-4</v>
      </c>
      <c r="F50" s="21" t="s">
        <v>1057</v>
      </c>
      <c r="G50" s="100">
        <f>G10*4.5*100</f>
        <v>900000</v>
      </c>
      <c r="H50" s="100" t="s">
        <v>745</v>
      </c>
      <c r="I50" s="490"/>
      <c r="J50" s="34">
        <f>0.149/1000</f>
        <v>1.4899999999999999E-4</v>
      </c>
      <c r="K50" s="31" t="s">
        <v>743</v>
      </c>
      <c r="L50" s="136" t="s">
        <v>387</v>
      </c>
      <c r="M50" s="177"/>
    </row>
    <row r="51" spans="1:13" s="146" customFormat="1" ht="29.25" customHeight="1">
      <c r="A51" s="388"/>
      <c r="B51" s="481"/>
      <c r="C51" s="123">
        <f>+G51*J51</f>
        <v>77.47999999999999</v>
      </c>
      <c r="D51" s="118">
        <f t="shared" si="4"/>
        <v>2.90477396764989E-4</v>
      </c>
      <c r="E51" s="118">
        <f t="shared" si="5"/>
        <v>2.3009306098940434E-4</v>
      </c>
      <c r="F51" s="21" t="s">
        <v>1056</v>
      </c>
      <c r="G51" s="100">
        <f>G11*5.2*100</f>
        <v>520000</v>
      </c>
      <c r="H51" s="100" t="s">
        <v>745</v>
      </c>
      <c r="I51" s="490"/>
      <c r="J51" s="34">
        <f>0.149/1000</f>
        <v>1.4899999999999999E-4</v>
      </c>
      <c r="K51" s="31" t="s">
        <v>743</v>
      </c>
      <c r="L51" s="136" t="s">
        <v>387</v>
      </c>
      <c r="M51" s="177"/>
    </row>
    <row r="52" spans="1:13" s="146" customFormat="1" ht="45" customHeight="1">
      <c r="A52" s="441"/>
      <c r="B52" s="442"/>
      <c r="C52" s="123">
        <f>+G52*J52</f>
        <v>1430.3999999999999</v>
      </c>
      <c r="D52" s="118">
        <f t="shared" si="4"/>
        <v>5.3626596325844133E-3</v>
      </c>
      <c r="E52" s="118">
        <f t="shared" si="5"/>
        <v>4.2478718951890031E-3</v>
      </c>
      <c r="F52" s="21" t="s">
        <v>1055</v>
      </c>
      <c r="G52" s="100">
        <f>G12*12*100</f>
        <v>9600000</v>
      </c>
      <c r="H52" s="100" t="s">
        <v>745</v>
      </c>
      <c r="I52" s="491"/>
      <c r="J52" s="34">
        <f>0.149/1000</f>
        <v>1.4899999999999999E-4</v>
      </c>
      <c r="K52" s="31" t="s">
        <v>743</v>
      </c>
      <c r="L52" s="136" t="s">
        <v>387</v>
      </c>
      <c r="M52" s="177"/>
    </row>
    <row r="53" spans="1:13" s="13" customFormat="1" ht="18.75" customHeight="1">
      <c r="A53" s="85">
        <v>13</v>
      </c>
      <c r="B53" s="87" t="s">
        <v>461</v>
      </c>
      <c r="C53" s="93">
        <f>SUM(C54)</f>
        <v>1000</v>
      </c>
      <c r="D53" s="42">
        <f t="shared" si="4"/>
        <v>3.7490629422430185E-3</v>
      </c>
      <c r="E53" s="42">
        <f t="shared" si="5"/>
        <v>2.969709098985601E-3</v>
      </c>
      <c r="F53" s="94"/>
      <c r="G53" s="95"/>
      <c r="H53" s="95"/>
      <c r="I53" s="95"/>
      <c r="J53" s="95"/>
      <c r="K53" s="95"/>
      <c r="L53" s="95"/>
      <c r="M53" s="175"/>
    </row>
    <row r="54" spans="1:13" s="146" customFormat="1" ht="45.75" customHeight="1">
      <c r="A54" s="492" t="s">
        <v>842</v>
      </c>
      <c r="B54" s="493"/>
      <c r="C54" s="123">
        <f>+G54*J54</f>
        <v>1000</v>
      </c>
      <c r="D54" s="118">
        <f t="shared" si="4"/>
        <v>3.7490629422430185E-3</v>
      </c>
      <c r="E54" s="118">
        <f t="shared" si="5"/>
        <v>2.969709098985601E-3</v>
      </c>
      <c r="F54" s="21" t="s">
        <v>1054</v>
      </c>
      <c r="G54" s="100">
        <v>500</v>
      </c>
      <c r="H54" s="100" t="s">
        <v>119</v>
      </c>
      <c r="I54" s="282" t="s">
        <v>1053</v>
      </c>
      <c r="J54" s="276">
        <v>2</v>
      </c>
      <c r="K54" s="31" t="s">
        <v>1052</v>
      </c>
      <c r="L54" s="136" t="s">
        <v>1051</v>
      </c>
      <c r="M54" s="177" t="s">
        <v>1050</v>
      </c>
    </row>
    <row r="55" spans="1:13" s="146" customFormat="1" ht="18.75" customHeight="1">
      <c r="A55" s="60">
        <v>14</v>
      </c>
      <c r="B55" s="69" t="s">
        <v>479</v>
      </c>
      <c r="C55" s="379" t="s">
        <v>31</v>
      </c>
      <c r="D55" s="380"/>
      <c r="E55" s="380"/>
      <c r="F55" s="380"/>
      <c r="G55" s="380"/>
      <c r="H55" s="380"/>
      <c r="I55" s="380"/>
      <c r="J55" s="380"/>
      <c r="K55" s="380"/>
      <c r="L55" s="380"/>
      <c r="M55" s="381"/>
    </row>
    <row r="56" spans="1:13" s="146" customFormat="1" ht="30" customHeight="1">
      <c r="A56" s="60">
        <v>15</v>
      </c>
      <c r="B56" s="69" t="s">
        <v>1</v>
      </c>
      <c r="C56" s="93">
        <f>SUM(C57:C68)</f>
        <v>99097.375238341134</v>
      </c>
      <c r="D56" s="42">
        <f t="shared" ref="D56:D85" si="6">+C56/$C$85</f>
        <v>0.37152229717961566</v>
      </c>
      <c r="E56" s="42">
        <f t="shared" ref="E56:E88" si="7">+C56/$C$88</f>
        <v>0.29429037693089205</v>
      </c>
      <c r="F56" s="94" t="s">
        <v>86</v>
      </c>
      <c r="G56" s="102" t="s">
        <v>102</v>
      </c>
      <c r="H56" s="103" t="s">
        <v>126</v>
      </c>
      <c r="I56" s="95" t="s">
        <v>101</v>
      </c>
      <c r="J56" s="94" t="s">
        <v>89</v>
      </c>
      <c r="K56" s="94" t="s">
        <v>97</v>
      </c>
      <c r="L56" s="95" t="s">
        <v>117</v>
      </c>
      <c r="M56" s="175"/>
    </row>
    <row r="57" spans="1:13" s="146" customFormat="1" ht="18.75" customHeight="1">
      <c r="A57" s="384" t="s">
        <v>105</v>
      </c>
      <c r="B57" s="385"/>
      <c r="C57" s="123">
        <f t="shared" ref="C57:C82" si="8">+J57*K57</f>
        <v>10766.919222103725</v>
      </c>
      <c r="D57" s="118">
        <f t="shared" si="6"/>
        <v>4.03658578577131E-2</v>
      </c>
      <c r="E57" s="118">
        <f t="shared" si="7"/>
        <v>3.19746179819244E-2</v>
      </c>
      <c r="F57" s="21" t="s">
        <v>1049</v>
      </c>
      <c r="G57" s="100">
        <v>111452494</v>
      </c>
      <c r="H57" s="100">
        <v>12000000</v>
      </c>
      <c r="I57" s="22" t="s">
        <v>88</v>
      </c>
      <c r="J57" s="101">
        <f t="shared" ref="J57:J82" si="9">H57/G57</f>
        <v>0.10766919222103724</v>
      </c>
      <c r="K57" s="100">
        <v>100000</v>
      </c>
      <c r="L57" s="22" t="s">
        <v>90</v>
      </c>
      <c r="M57" s="177"/>
    </row>
    <row r="58" spans="1:13" s="146" customFormat="1" ht="18.75" customHeight="1">
      <c r="A58" s="384"/>
      <c r="B58" s="385"/>
      <c r="C58" s="123">
        <f t="shared" si="8"/>
        <v>14889.617496291969</v>
      </c>
      <c r="D58" s="118">
        <f t="shared" si="6"/>
        <v>5.5822113179521494E-2</v>
      </c>
      <c r="E58" s="118">
        <f t="shared" si="7"/>
        <v>4.4217832559153465E-2</v>
      </c>
      <c r="F58" s="21" t="s">
        <v>1048</v>
      </c>
      <c r="G58" s="100">
        <v>4163760420</v>
      </c>
      <c r="H58" s="100">
        <v>387480000</v>
      </c>
      <c r="I58" s="22" t="s">
        <v>88</v>
      </c>
      <c r="J58" s="101">
        <f t="shared" si="9"/>
        <v>9.3060109351824807E-2</v>
      </c>
      <c r="K58" s="100">
        <v>160000</v>
      </c>
      <c r="L58" s="22" t="s">
        <v>91</v>
      </c>
      <c r="M58" s="177"/>
    </row>
    <row r="59" spans="1:13" s="146" customFormat="1" ht="18.75" customHeight="1">
      <c r="A59" s="384"/>
      <c r="B59" s="385"/>
      <c r="C59" s="123">
        <f t="shared" si="8"/>
        <v>4815.1894882757051</v>
      </c>
      <c r="D59" s="118">
        <f t="shared" si="6"/>
        <v>1.8052448470372569E-2</v>
      </c>
      <c r="E59" s="118">
        <f t="shared" si="7"/>
        <v>1.4299712036672182E-2</v>
      </c>
      <c r="F59" s="21" t="s">
        <v>1047</v>
      </c>
      <c r="G59" s="100">
        <v>415352294</v>
      </c>
      <c r="H59" s="100">
        <v>40000000</v>
      </c>
      <c r="I59" s="22" t="s">
        <v>88</v>
      </c>
      <c r="J59" s="101">
        <f t="shared" si="9"/>
        <v>9.6303789765514097E-2</v>
      </c>
      <c r="K59" s="100">
        <v>50000</v>
      </c>
      <c r="L59" s="22" t="s">
        <v>92</v>
      </c>
      <c r="M59" s="177"/>
    </row>
    <row r="60" spans="1:13" s="146" customFormat="1" ht="18.75" customHeight="1">
      <c r="A60" s="384"/>
      <c r="B60" s="385"/>
      <c r="C60" s="123">
        <f t="shared" si="8"/>
        <v>1696.5576068971097</v>
      </c>
      <c r="D60" s="118">
        <f t="shared" si="6"/>
        <v>6.3605012533984526E-3</v>
      </c>
      <c r="E60" s="118">
        <f t="shared" si="7"/>
        <v>5.0382825621555832E-3</v>
      </c>
      <c r="F60" s="21" t="s">
        <v>1046</v>
      </c>
      <c r="G60" s="100">
        <v>1237800586</v>
      </c>
      <c r="H60" s="100">
        <v>35000000</v>
      </c>
      <c r="I60" s="22" t="s">
        <v>88</v>
      </c>
      <c r="J60" s="101">
        <f t="shared" si="9"/>
        <v>2.8275960114951829E-2</v>
      </c>
      <c r="K60" s="100">
        <v>60000</v>
      </c>
      <c r="L60" s="22" t="s">
        <v>93</v>
      </c>
      <c r="M60" s="177"/>
    </row>
    <row r="61" spans="1:13" s="146" customFormat="1" ht="18.75" customHeight="1">
      <c r="A61" s="384"/>
      <c r="B61" s="385"/>
      <c r="C61" s="123">
        <f t="shared" si="8"/>
        <v>3774.5817478603562</v>
      </c>
      <c r="D61" s="118">
        <f t="shared" si="6"/>
        <v>1.4151144553370142E-2</v>
      </c>
      <c r="E61" s="118">
        <f t="shared" si="7"/>
        <v>1.1209409761485874E-2</v>
      </c>
      <c r="F61" s="21" t="s">
        <v>1045</v>
      </c>
      <c r="G61" s="100">
        <v>1737940900</v>
      </c>
      <c r="H61" s="100">
        <v>82000000</v>
      </c>
      <c r="I61" s="22" t="s">
        <v>88</v>
      </c>
      <c r="J61" s="101">
        <f t="shared" si="9"/>
        <v>4.7182271848254451E-2</v>
      </c>
      <c r="K61" s="100">
        <v>80000</v>
      </c>
      <c r="L61" s="22" t="s">
        <v>94</v>
      </c>
      <c r="M61" s="177"/>
    </row>
    <row r="62" spans="1:13" s="146" customFormat="1" ht="18.75" customHeight="1">
      <c r="A62" s="384"/>
      <c r="B62" s="385"/>
      <c r="C62" s="123">
        <f t="shared" si="8"/>
        <v>1654.4027235339072</v>
      </c>
      <c r="D62" s="118">
        <f t="shared" si="6"/>
        <v>6.2024599423468928E-3</v>
      </c>
      <c r="E62" s="118">
        <f t="shared" si="7"/>
        <v>4.9130948214652038E-3</v>
      </c>
      <c r="F62" s="21" t="s">
        <v>1044</v>
      </c>
      <c r="G62" s="100">
        <v>551521094</v>
      </c>
      <c r="H62" s="100">
        <v>9000000</v>
      </c>
      <c r="I62" s="22" t="s">
        <v>88</v>
      </c>
      <c r="J62" s="101">
        <f t="shared" si="9"/>
        <v>1.6318505489474534E-2</v>
      </c>
      <c r="K62" s="100">
        <v>101382</v>
      </c>
      <c r="L62" s="22" t="s">
        <v>95</v>
      </c>
      <c r="M62" s="177"/>
    </row>
    <row r="63" spans="1:13" s="146" customFormat="1" ht="18.75" customHeight="1">
      <c r="A63" s="384"/>
      <c r="B63" s="385"/>
      <c r="C63" s="123">
        <f t="shared" si="8"/>
        <v>18558.684243421394</v>
      </c>
      <c r="D63" s="118">
        <f t="shared" si="6"/>
        <v>6.9577675353800564E-2</v>
      </c>
      <c r="E63" s="118">
        <f t="shared" si="7"/>
        <v>5.5113893462889217E-2</v>
      </c>
      <c r="F63" s="21" t="s">
        <v>1043</v>
      </c>
      <c r="G63" s="100">
        <v>700480693</v>
      </c>
      <c r="H63" s="100">
        <v>50000000</v>
      </c>
      <c r="I63" s="22" t="s">
        <v>88</v>
      </c>
      <c r="J63" s="101">
        <f t="shared" si="9"/>
        <v>7.1379554782389984E-2</v>
      </c>
      <c r="K63" s="100">
        <v>260000</v>
      </c>
      <c r="L63" s="22" t="s">
        <v>96</v>
      </c>
      <c r="M63" s="177"/>
    </row>
    <row r="64" spans="1:13" s="146" customFormat="1" ht="18.75" customHeight="1">
      <c r="A64" s="384"/>
      <c r="B64" s="385"/>
      <c r="C64" s="123">
        <f t="shared" si="8"/>
        <v>0</v>
      </c>
      <c r="D64" s="118">
        <f t="shared" si="6"/>
        <v>0</v>
      </c>
      <c r="E64" s="118">
        <f t="shared" si="7"/>
        <v>0</v>
      </c>
      <c r="F64" s="21" t="s">
        <v>1042</v>
      </c>
      <c r="G64" s="100">
        <v>28149877</v>
      </c>
      <c r="H64" s="100">
        <v>1500000</v>
      </c>
      <c r="I64" s="22" t="s">
        <v>88</v>
      </c>
      <c r="J64" s="101">
        <f t="shared" si="9"/>
        <v>5.3286200859776402E-2</v>
      </c>
      <c r="K64" s="100">
        <v>0</v>
      </c>
      <c r="L64" s="22" t="s">
        <v>98</v>
      </c>
      <c r="M64" s="177"/>
    </row>
    <row r="65" spans="1:13" s="146" customFormat="1" ht="18.75" customHeight="1">
      <c r="A65" s="384"/>
      <c r="B65" s="385"/>
      <c r="C65" s="123">
        <f t="shared" si="8"/>
        <v>17708.515902444658</v>
      </c>
      <c r="D65" s="118">
        <f t="shared" si="6"/>
        <v>6.6390340731976458E-2</v>
      </c>
      <c r="E65" s="118">
        <f t="shared" si="7"/>
        <v>5.2589140805021112E-2</v>
      </c>
      <c r="F65" s="21" t="s">
        <v>1041</v>
      </c>
      <c r="G65" s="100">
        <v>271056029</v>
      </c>
      <c r="H65" s="100">
        <v>16000000</v>
      </c>
      <c r="I65" s="22" t="s">
        <v>88</v>
      </c>
      <c r="J65" s="101">
        <f t="shared" si="9"/>
        <v>5.9028386341482192E-2</v>
      </c>
      <c r="K65" s="100">
        <v>300000</v>
      </c>
      <c r="L65" s="22" t="s">
        <v>99</v>
      </c>
      <c r="M65" s="177"/>
    </row>
    <row r="66" spans="1:13" s="146" customFormat="1" ht="18.75" customHeight="1">
      <c r="A66" s="384"/>
      <c r="B66" s="385"/>
      <c r="C66" s="123">
        <f t="shared" si="8"/>
        <v>7029.0233123666712</v>
      </c>
      <c r="D66" s="118">
        <f t="shared" si="6"/>
        <v>2.6352250820556158E-2</v>
      </c>
      <c r="E66" s="118">
        <f t="shared" si="7"/>
        <v>2.0874154487717213E-2</v>
      </c>
      <c r="F66" s="21" t="s">
        <v>1040</v>
      </c>
      <c r="G66" s="100">
        <v>1075540607</v>
      </c>
      <c r="H66" s="100">
        <v>18000000</v>
      </c>
      <c r="I66" s="22" t="s">
        <v>88</v>
      </c>
      <c r="J66" s="101">
        <f t="shared" si="9"/>
        <v>1.6735769791349216E-2</v>
      </c>
      <c r="K66" s="100">
        <v>420000</v>
      </c>
      <c r="L66" s="22" t="s">
        <v>116</v>
      </c>
      <c r="M66" s="177"/>
    </row>
    <row r="67" spans="1:13" s="146" customFormat="1" ht="18.75" customHeight="1">
      <c r="A67" s="384"/>
      <c r="B67" s="385"/>
      <c r="C67" s="123">
        <f t="shared" si="8"/>
        <v>0</v>
      </c>
      <c r="D67" s="118">
        <f t="shared" si="6"/>
        <v>0</v>
      </c>
      <c r="E67" s="118">
        <f t="shared" si="7"/>
        <v>0</v>
      </c>
      <c r="F67" s="21" t="s">
        <v>1039</v>
      </c>
      <c r="G67" s="100">
        <v>490727495</v>
      </c>
      <c r="H67" s="100">
        <v>50000000</v>
      </c>
      <c r="I67" s="22" t="s">
        <v>88</v>
      </c>
      <c r="J67" s="101">
        <f t="shared" si="9"/>
        <v>0.10188954258615568</v>
      </c>
      <c r="K67" s="100">
        <v>0</v>
      </c>
      <c r="L67" s="22" t="s">
        <v>98</v>
      </c>
      <c r="M67" s="177"/>
    </row>
    <row r="68" spans="1:13" s="146" customFormat="1" ht="18.75" customHeight="1">
      <c r="A68" s="384"/>
      <c r="B68" s="385"/>
      <c r="C68" s="123">
        <f t="shared" si="8"/>
        <v>18203.88349514563</v>
      </c>
      <c r="D68" s="118">
        <f t="shared" si="6"/>
        <v>6.8247505016559795E-2</v>
      </c>
      <c r="E68" s="118">
        <f t="shared" si="7"/>
        <v>5.4060238452407781E-2</v>
      </c>
      <c r="F68" s="21" t="s">
        <v>1038</v>
      </c>
      <c r="G68" s="100">
        <v>206000000</v>
      </c>
      <c r="H68" s="100">
        <v>7500000</v>
      </c>
      <c r="I68" s="22" t="s">
        <v>88</v>
      </c>
      <c r="J68" s="101">
        <f t="shared" si="9"/>
        <v>3.640776699029126E-2</v>
      </c>
      <c r="K68" s="100">
        <v>500000</v>
      </c>
      <c r="L68" s="22" t="s">
        <v>100</v>
      </c>
      <c r="M68" s="177"/>
    </row>
    <row r="69" spans="1:13" s="146" customFormat="1" ht="18.75" customHeight="1">
      <c r="A69" s="384"/>
      <c r="B69" s="385"/>
      <c r="C69" s="123">
        <f t="shared" si="8"/>
        <v>1940.4915912031049</v>
      </c>
      <c r="D69" s="118">
        <f t="shared" si="6"/>
        <v>7.2750251143137495E-3</v>
      </c>
      <c r="E69" s="118">
        <f t="shared" si="7"/>
        <v>5.7626955349009083E-3</v>
      </c>
      <c r="F69" s="21" t="s">
        <v>1037</v>
      </c>
      <c r="G69" s="281">
        <v>15460000</v>
      </c>
      <c r="H69" s="281">
        <v>500000</v>
      </c>
      <c r="I69" s="22" t="s">
        <v>88</v>
      </c>
      <c r="J69" s="101">
        <f t="shared" si="9"/>
        <v>3.2341526520051747E-2</v>
      </c>
      <c r="K69" s="100">
        <v>60000</v>
      </c>
      <c r="L69" s="22" t="s">
        <v>1036</v>
      </c>
      <c r="M69" s="177"/>
    </row>
    <row r="70" spans="1:13" s="146" customFormat="1" ht="18.75" customHeight="1">
      <c r="A70" s="384"/>
      <c r="B70" s="385"/>
      <c r="C70" s="123">
        <f t="shared" si="8"/>
        <v>6886.6571018651366</v>
      </c>
      <c r="D70" s="118">
        <f t="shared" si="6"/>
        <v>2.5818510936537288E-2</v>
      </c>
      <c r="E70" s="118">
        <f t="shared" si="7"/>
        <v>2.0451368257002705E-2</v>
      </c>
      <c r="F70" s="21" t="s">
        <v>1035</v>
      </c>
      <c r="G70" s="281">
        <v>13940000</v>
      </c>
      <c r="H70" s="281">
        <v>800000</v>
      </c>
      <c r="I70" s="22" t="s">
        <v>88</v>
      </c>
      <c r="J70" s="101">
        <f t="shared" si="9"/>
        <v>5.7388809182209469E-2</v>
      </c>
      <c r="K70" s="100">
        <v>120000</v>
      </c>
      <c r="L70" s="22" t="s">
        <v>1034</v>
      </c>
      <c r="M70" s="177"/>
    </row>
    <row r="71" spans="1:13" s="146" customFormat="1" ht="18.75" customHeight="1">
      <c r="A71" s="384"/>
      <c r="B71" s="385"/>
      <c r="C71" s="123">
        <f t="shared" si="8"/>
        <v>3048.7804878048778</v>
      </c>
      <c r="D71" s="118">
        <f t="shared" si="6"/>
        <v>1.143006994586286E-2</v>
      </c>
      <c r="E71" s="118">
        <f t="shared" si="7"/>
        <v>9.0539911554439051E-3</v>
      </c>
      <c r="F71" s="21" t="s">
        <v>1033</v>
      </c>
      <c r="G71" s="281">
        <v>3280000</v>
      </c>
      <c r="H71" s="281">
        <v>100000</v>
      </c>
      <c r="I71" s="22" t="s">
        <v>88</v>
      </c>
      <c r="J71" s="101">
        <f t="shared" si="9"/>
        <v>3.048780487804878E-2</v>
      </c>
      <c r="K71" s="100">
        <v>100000</v>
      </c>
      <c r="L71" s="22" t="s">
        <v>1032</v>
      </c>
      <c r="M71" s="177"/>
    </row>
    <row r="72" spans="1:13" s="146" customFormat="1" ht="18.75" customHeight="1">
      <c r="A72" s="384"/>
      <c r="B72" s="385"/>
      <c r="C72" s="123">
        <f t="shared" si="8"/>
        <v>8215.0101419878301</v>
      </c>
      <c r="D72" s="118">
        <f t="shared" si="6"/>
        <v>3.0798590093477133E-2</v>
      </c>
      <c r="E72" s="118">
        <f t="shared" si="7"/>
        <v>2.4396190366920253E-2</v>
      </c>
      <c r="F72" s="21" t="s">
        <v>1031</v>
      </c>
      <c r="G72" s="281">
        <v>9860000</v>
      </c>
      <c r="H72" s="281">
        <v>900000</v>
      </c>
      <c r="I72" s="22" t="s">
        <v>88</v>
      </c>
      <c r="J72" s="101">
        <f t="shared" si="9"/>
        <v>9.1277890466531439E-2</v>
      </c>
      <c r="K72" s="100">
        <v>90000</v>
      </c>
      <c r="L72" s="22" t="s">
        <v>1030</v>
      </c>
      <c r="M72" s="177"/>
    </row>
    <row r="73" spans="1:13" s="146" customFormat="1" ht="18.75" customHeight="1">
      <c r="A73" s="384"/>
      <c r="B73" s="385"/>
      <c r="C73" s="123">
        <f t="shared" si="8"/>
        <v>0</v>
      </c>
      <c r="D73" s="118">
        <f t="shared" si="6"/>
        <v>0</v>
      </c>
      <c r="E73" s="118">
        <f t="shared" si="7"/>
        <v>0</v>
      </c>
      <c r="F73" s="21" t="s">
        <v>1029</v>
      </c>
      <c r="G73" s="281">
        <v>4780000</v>
      </c>
      <c r="H73" s="281">
        <v>850000</v>
      </c>
      <c r="I73" s="22" t="s">
        <v>88</v>
      </c>
      <c r="J73" s="101">
        <f t="shared" si="9"/>
        <v>0.17782426778242677</v>
      </c>
      <c r="K73" s="100">
        <v>0</v>
      </c>
      <c r="L73" s="22" t="s">
        <v>98</v>
      </c>
      <c r="M73" s="177"/>
    </row>
    <row r="74" spans="1:13" s="146" customFormat="1" ht="18.75" customHeight="1">
      <c r="A74" s="384"/>
      <c r="B74" s="385"/>
      <c r="C74" s="123">
        <f t="shared" si="8"/>
        <v>13994.169096209913</v>
      </c>
      <c r="D74" s="118">
        <f t="shared" si="6"/>
        <v>5.2465020766083059E-2</v>
      </c>
      <c r="E74" s="118">
        <f t="shared" si="7"/>
        <v>4.1558611297757682E-2</v>
      </c>
      <c r="F74" s="21" t="s">
        <v>1028</v>
      </c>
      <c r="G74" s="281">
        <v>17150000</v>
      </c>
      <c r="H74" s="281">
        <v>1600000</v>
      </c>
      <c r="I74" s="22" t="s">
        <v>88</v>
      </c>
      <c r="J74" s="101">
        <f t="shared" si="9"/>
        <v>9.3294460641399415E-2</v>
      </c>
      <c r="K74" s="100">
        <v>150000</v>
      </c>
      <c r="L74" s="22" t="s">
        <v>1027</v>
      </c>
      <c r="M74" s="177"/>
    </row>
    <row r="75" spans="1:13" s="146" customFormat="1" ht="18.75" customHeight="1">
      <c r="A75" s="384"/>
      <c r="B75" s="385"/>
      <c r="C75" s="123">
        <f t="shared" si="8"/>
        <v>17857.142857142859</v>
      </c>
      <c r="D75" s="118">
        <f t="shared" si="6"/>
        <v>6.6947552540053912E-2</v>
      </c>
      <c r="E75" s="118">
        <f t="shared" si="7"/>
        <v>5.3030519624742881E-2</v>
      </c>
      <c r="F75" s="21" t="s">
        <v>1026</v>
      </c>
      <c r="G75" s="281">
        <v>840000</v>
      </c>
      <c r="H75" s="281">
        <v>75000</v>
      </c>
      <c r="I75" s="22" t="s">
        <v>88</v>
      </c>
      <c r="J75" s="101">
        <f t="shared" si="9"/>
        <v>8.9285714285714288E-2</v>
      </c>
      <c r="K75" s="100">
        <v>200000</v>
      </c>
      <c r="L75" s="22" t="s">
        <v>1025</v>
      </c>
      <c r="M75" s="177"/>
    </row>
    <row r="76" spans="1:13" s="146" customFormat="1" ht="18.75" customHeight="1">
      <c r="A76" s="384"/>
      <c r="B76" s="385"/>
      <c r="C76" s="123">
        <f t="shared" si="8"/>
        <v>5583.1265508684864</v>
      </c>
      <c r="D76" s="118">
        <f t="shared" si="6"/>
        <v>2.0931492853714123E-2</v>
      </c>
      <c r="E76" s="118">
        <f t="shared" si="7"/>
        <v>1.6580261718902239E-2</v>
      </c>
      <c r="F76" s="21" t="s">
        <v>1024</v>
      </c>
      <c r="G76" s="281">
        <v>8060000</v>
      </c>
      <c r="H76" s="281">
        <v>500000</v>
      </c>
      <c r="I76" s="22" t="s">
        <v>88</v>
      </c>
      <c r="J76" s="101">
        <f t="shared" si="9"/>
        <v>6.2034739454094295E-2</v>
      </c>
      <c r="K76" s="100">
        <v>90000</v>
      </c>
      <c r="L76" s="22" t="s">
        <v>1023</v>
      </c>
      <c r="M76" s="177"/>
    </row>
    <row r="77" spans="1:13" s="146" customFormat="1" ht="18.75" customHeight="1">
      <c r="A77" s="384"/>
      <c r="B77" s="385"/>
      <c r="C77" s="123">
        <f t="shared" si="8"/>
        <v>21786.49237472767</v>
      </c>
      <c r="D77" s="118">
        <f t="shared" si="6"/>
        <v>8.1678931203551602E-2</v>
      </c>
      <c r="E77" s="118">
        <f t="shared" si="7"/>
        <v>6.4699544640209175E-2</v>
      </c>
      <c r="F77" s="21" t="s">
        <v>1022</v>
      </c>
      <c r="G77" s="281">
        <v>4590000</v>
      </c>
      <c r="H77" s="281">
        <v>500000</v>
      </c>
      <c r="I77" s="22" t="s">
        <v>88</v>
      </c>
      <c r="J77" s="101">
        <f t="shared" si="9"/>
        <v>0.10893246187363835</v>
      </c>
      <c r="K77" s="100">
        <v>200000</v>
      </c>
      <c r="L77" s="22" t="s">
        <v>1021</v>
      </c>
      <c r="M77" s="177"/>
    </row>
    <row r="78" spans="1:13" s="146" customFormat="1" ht="18.75" customHeight="1">
      <c r="A78" s="384"/>
      <c r="B78" s="385"/>
      <c r="C78" s="123">
        <f t="shared" si="8"/>
        <v>5300.3533568904595</v>
      </c>
      <c r="D78" s="118">
        <f t="shared" si="6"/>
        <v>1.9871358351111406E-2</v>
      </c>
      <c r="E78" s="118">
        <f t="shared" si="7"/>
        <v>1.5740507591796474E-2</v>
      </c>
      <c r="F78" s="21" t="s">
        <v>1020</v>
      </c>
      <c r="G78" s="281">
        <v>11320000</v>
      </c>
      <c r="H78" s="281">
        <v>800000</v>
      </c>
      <c r="I78" s="22" t="s">
        <v>88</v>
      </c>
      <c r="J78" s="101">
        <f t="shared" si="9"/>
        <v>7.0671378091872794E-2</v>
      </c>
      <c r="K78" s="100">
        <v>75000</v>
      </c>
      <c r="L78" s="22" t="s">
        <v>1019</v>
      </c>
      <c r="M78" s="177"/>
    </row>
    <row r="79" spans="1:13" s="146" customFormat="1" ht="18.75" customHeight="1">
      <c r="A79" s="384"/>
      <c r="B79" s="385"/>
      <c r="C79" s="123">
        <f t="shared" si="8"/>
        <v>10928.961748633879</v>
      </c>
      <c r="D79" s="118">
        <f t="shared" si="6"/>
        <v>4.0973365488994738E-2</v>
      </c>
      <c r="E79" s="118">
        <f t="shared" si="7"/>
        <v>3.2455837147383614E-2</v>
      </c>
      <c r="F79" s="21" t="s">
        <v>1018</v>
      </c>
      <c r="G79" s="281">
        <v>1830000</v>
      </c>
      <c r="H79" s="281">
        <v>200000</v>
      </c>
      <c r="I79" s="22" t="s">
        <v>88</v>
      </c>
      <c r="J79" s="101">
        <f t="shared" si="9"/>
        <v>0.10928961748633879</v>
      </c>
      <c r="K79" s="100">
        <v>100000</v>
      </c>
      <c r="L79" s="22" t="s">
        <v>1017</v>
      </c>
      <c r="M79" s="177"/>
    </row>
    <row r="80" spans="1:13" s="146" customFormat="1" ht="18.75" customHeight="1">
      <c r="A80" s="384"/>
      <c r="B80" s="385"/>
      <c r="C80" s="123">
        <f t="shared" si="8"/>
        <v>750</v>
      </c>
      <c r="D80" s="118">
        <f t="shared" si="6"/>
        <v>2.8117972066822637E-3</v>
      </c>
      <c r="E80" s="118">
        <f t="shared" si="7"/>
        <v>2.2272818242392006E-3</v>
      </c>
      <c r="F80" s="21" t="s">
        <v>1016</v>
      </c>
      <c r="G80" s="100">
        <v>20000000</v>
      </c>
      <c r="H80" s="281">
        <v>500000</v>
      </c>
      <c r="I80" s="22" t="s">
        <v>88</v>
      </c>
      <c r="J80" s="101">
        <f t="shared" si="9"/>
        <v>2.5000000000000001E-2</v>
      </c>
      <c r="K80" s="100">
        <v>30000</v>
      </c>
      <c r="L80" s="22" t="s">
        <v>1015</v>
      </c>
      <c r="M80" s="177"/>
    </row>
    <row r="81" spans="1:13" s="146" customFormat="1" ht="18.75" customHeight="1">
      <c r="A81" s="384"/>
      <c r="B81" s="385"/>
      <c r="C81" s="123">
        <f t="shared" si="8"/>
        <v>997.04579025110775</v>
      </c>
      <c r="D81" s="118">
        <f t="shared" si="6"/>
        <v>3.7379874239498335E-3</v>
      </c>
      <c r="E81" s="118">
        <f t="shared" si="7"/>
        <v>2.9609359554140036E-3</v>
      </c>
      <c r="F81" s="21" t="s">
        <v>1014</v>
      </c>
      <c r="G81" s="281">
        <v>6770000</v>
      </c>
      <c r="H81" s="281">
        <v>150000</v>
      </c>
      <c r="I81" s="22" t="s">
        <v>88</v>
      </c>
      <c r="J81" s="101">
        <f t="shared" si="9"/>
        <v>2.2156573116691284E-2</v>
      </c>
      <c r="K81" s="100">
        <v>45000</v>
      </c>
      <c r="L81" s="22" t="s">
        <v>1013</v>
      </c>
      <c r="M81" s="177"/>
    </row>
    <row r="82" spans="1:13" s="146" customFormat="1" ht="18.75" customHeight="1">
      <c r="A82" s="384"/>
      <c r="B82" s="385"/>
      <c r="C82" s="123">
        <f t="shared" si="8"/>
        <v>12177.304432610816</v>
      </c>
      <c r="D82" s="118">
        <f t="shared" si="6"/>
        <v>4.5653480784712853E-2</v>
      </c>
      <c r="E82" s="118">
        <f t="shared" si="7"/>
        <v>3.6163051774642033E-2</v>
      </c>
      <c r="F82" s="21" t="s">
        <v>1012</v>
      </c>
      <c r="G82" s="281">
        <v>4040303.0303030298</v>
      </c>
      <c r="H82" s="281">
        <v>600000</v>
      </c>
      <c r="I82" s="22" t="s">
        <v>88</v>
      </c>
      <c r="J82" s="101">
        <f t="shared" si="9"/>
        <v>0.14850371259281483</v>
      </c>
      <c r="K82" s="100">
        <v>82000</v>
      </c>
      <c r="L82" s="22" t="s">
        <v>1011</v>
      </c>
      <c r="M82" s="177"/>
    </row>
    <row r="83" spans="1:13" s="137" customFormat="1" ht="18.75" customHeight="1">
      <c r="A83" s="85">
        <v>16</v>
      </c>
      <c r="B83" s="88" t="s">
        <v>0</v>
      </c>
      <c r="C83" s="93">
        <f>SUM(C84:C84)</f>
        <v>2800.0000000000005</v>
      </c>
      <c r="D83" s="42">
        <f t="shared" si="6"/>
        <v>1.0497376238280454E-2</v>
      </c>
      <c r="E83" s="42">
        <f t="shared" si="7"/>
        <v>8.3151854771596843E-3</v>
      </c>
      <c r="F83" s="242"/>
      <c r="G83" s="242"/>
      <c r="H83" s="242"/>
      <c r="I83" s="242"/>
      <c r="J83" s="242"/>
      <c r="K83" s="242"/>
      <c r="L83" s="242"/>
      <c r="M83" s="57"/>
    </row>
    <row r="84" spans="1:13" s="137" customFormat="1" ht="75" customHeight="1" thickBot="1">
      <c r="A84" s="472" t="s">
        <v>1010</v>
      </c>
      <c r="B84" s="488"/>
      <c r="C84" s="241">
        <f>+G84*J84</f>
        <v>2800.0000000000005</v>
      </c>
      <c r="D84" s="240">
        <f t="shared" si="6"/>
        <v>1.0497376238280454E-2</v>
      </c>
      <c r="E84" s="240">
        <f t="shared" si="7"/>
        <v>8.3151854771596843E-3</v>
      </c>
      <c r="F84" s="237" t="s">
        <v>609</v>
      </c>
      <c r="G84" s="239">
        <v>10000</v>
      </c>
      <c r="H84" s="239" t="s">
        <v>608</v>
      </c>
      <c r="I84" s="238" t="s">
        <v>607</v>
      </c>
      <c r="J84" s="238">
        <v>0.28000000000000003</v>
      </c>
      <c r="K84" s="237" t="s">
        <v>606</v>
      </c>
      <c r="L84" s="237" t="s">
        <v>605</v>
      </c>
      <c r="M84" s="236" t="s">
        <v>604</v>
      </c>
    </row>
    <row r="85" spans="1:13" ht="18.75" customHeight="1" thickBot="1">
      <c r="A85" s="470" t="s">
        <v>17</v>
      </c>
      <c r="B85" s="471"/>
      <c r="C85" s="235">
        <f>SUM(C56,C53,C48,C47,C45,C44,C40,C36,C32,C29,C22,C18,C8)</f>
        <v>266733.3185400489</v>
      </c>
      <c r="D85" s="234">
        <f t="shared" si="6"/>
        <v>1</v>
      </c>
      <c r="E85" s="234">
        <f t="shared" si="7"/>
        <v>0.79212036307100797</v>
      </c>
      <c r="F85" s="233"/>
      <c r="G85" s="233"/>
      <c r="H85" s="232"/>
      <c r="I85" s="232"/>
      <c r="J85" s="232"/>
      <c r="K85" s="232"/>
      <c r="L85" s="232"/>
      <c r="M85" s="231"/>
    </row>
    <row r="86" spans="1:13" ht="18.75" customHeight="1" thickTop="1">
      <c r="A86" s="392" t="s">
        <v>310</v>
      </c>
      <c r="B86" s="393"/>
      <c r="C86" s="83">
        <v>10000</v>
      </c>
      <c r="D86" s="49"/>
      <c r="E86" s="124">
        <f t="shared" si="7"/>
        <v>2.9697090989856009E-2</v>
      </c>
      <c r="F86" s="10"/>
      <c r="G86" s="10"/>
      <c r="H86" s="79"/>
      <c r="I86" s="79"/>
      <c r="J86" s="79"/>
      <c r="K86" s="79"/>
      <c r="L86" s="79"/>
      <c r="M86" s="62"/>
    </row>
    <row r="87" spans="1:13" ht="18.75" customHeight="1" thickBot="1">
      <c r="A87" s="394" t="s">
        <v>311</v>
      </c>
      <c r="B87" s="395"/>
      <c r="C87" s="84">
        <v>60000</v>
      </c>
      <c r="D87" s="50"/>
      <c r="E87" s="165">
        <f t="shared" si="7"/>
        <v>0.17818254593913607</v>
      </c>
      <c r="F87" s="11"/>
      <c r="G87" s="11"/>
      <c r="H87" s="173"/>
      <c r="I87" s="173"/>
      <c r="J87" s="173"/>
      <c r="K87" s="173"/>
      <c r="L87" s="173"/>
      <c r="M87" s="63"/>
    </row>
    <row r="88" spans="1:13" ht="18.75" customHeight="1" thickTop="1" thickBot="1">
      <c r="A88" s="396" t="s">
        <v>18</v>
      </c>
      <c r="B88" s="397"/>
      <c r="C88" s="163">
        <f>SUM(C85:C87)</f>
        <v>336733.3185400489</v>
      </c>
      <c r="D88" s="166"/>
      <c r="E88" s="164">
        <f t="shared" si="7"/>
        <v>1</v>
      </c>
      <c r="F88" s="75"/>
      <c r="G88" s="75"/>
      <c r="H88" s="76"/>
      <c r="I88" s="76"/>
      <c r="J88" s="76"/>
      <c r="K88" s="76"/>
      <c r="L88" s="76"/>
      <c r="M88" s="77"/>
    </row>
    <row r="90" spans="1:13" ht="14.25" thickBot="1">
      <c r="E90" s="373" t="s">
        <v>23</v>
      </c>
      <c r="F90" s="374"/>
      <c r="G90" s="172" t="s">
        <v>309</v>
      </c>
      <c r="H90" s="172" t="s">
        <v>27</v>
      </c>
    </row>
    <row r="91" spans="1:13" ht="14.25" thickTop="1">
      <c r="E91" s="52" t="s">
        <v>310</v>
      </c>
      <c r="F91" s="53"/>
      <c r="G91" s="7">
        <f>C86</f>
        <v>10000</v>
      </c>
      <c r="H91" s="9">
        <f t="shared" ref="H91:H107" si="10">G91/$G$108</f>
        <v>2.9785545395033891E-2</v>
      </c>
    </row>
    <row r="92" spans="1:13">
      <c r="E92" s="54" t="s">
        <v>311</v>
      </c>
      <c r="F92" s="55"/>
      <c r="G92" s="7">
        <f>C87</f>
        <v>60000</v>
      </c>
      <c r="H92" s="9">
        <f t="shared" si="10"/>
        <v>0.17871327237020335</v>
      </c>
    </row>
    <row r="93" spans="1:13">
      <c r="E93" s="5" t="s">
        <v>484</v>
      </c>
      <c r="F93" s="5" t="s">
        <v>4</v>
      </c>
      <c r="G93" s="8">
        <f>C8</f>
        <v>63675.5</v>
      </c>
      <c r="H93" s="9">
        <f t="shared" si="10"/>
        <v>0.18966094958014806</v>
      </c>
    </row>
    <row r="94" spans="1:13">
      <c r="E94" s="16" t="s">
        <v>483</v>
      </c>
      <c r="F94" s="16" t="s">
        <v>5</v>
      </c>
      <c r="G94" s="8">
        <f>C18</f>
        <v>11480</v>
      </c>
      <c r="H94" s="9">
        <f t="shared" si="10"/>
        <v>3.4193806113498905E-2</v>
      </c>
    </row>
    <row r="95" spans="1:13">
      <c r="E95" s="5" t="s">
        <v>482</v>
      </c>
      <c r="F95" s="16" t="s">
        <v>6</v>
      </c>
      <c r="G95" s="8">
        <f>C22</f>
        <v>11930.5</v>
      </c>
      <c r="H95" s="9">
        <f t="shared" si="10"/>
        <v>3.5535644933545184E-2</v>
      </c>
    </row>
    <row r="96" spans="1:13">
      <c r="E96" s="16" t="s">
        <v>481</v>
      </c>
      <c r="F96" s="16" t="s">
        <v>7</v>
      </c>
      <c r="G96" s="8">
        <f>C29</f>
        <v>5225.3899999999994</v>
      </c>
      <c r="H96" s="9">
        <f t="shared" si="10"/>
        <v>1.5564109105175613E-2</v>
      </c>
    </row>
    <row r="97" spans="5:9">
      <c r="E97" s="5" t="s">
        <v>480</v>
      </c>
      <c r="F97" s="154" t="s">
        <v>8</v>
      </c>
      <c r="G97" s="8">
        <f>C32</f>
        <v>8998.7800000000007</v>
      </c>
      <c r="H97" s="9">
        <f t="shared" si="10"/>
        <v>2.6803357018992311E-2</v>
      </c>
    </row>
    <row r="98" spans="5:9">
      <c r="E98" s="5" t="s">
        <v>133</v>
      </c>
      <c r="F98" s="16" t="s">
        <v>9</v>
      </c>
      <c r="G98" s="8">
        <f>C36</f>
        <v>9931</v>
      </c>
      <c r="H98" s="9">
        <f t="shared" si="10"/>
        <v>2.9580025131808158E-2</v>
      </c>
    </row>
    <row r="99" spans="5:9">
      <c r="E99" s="16" t="s">
        <v>134</v>
      </c>
      <c r="F99" s="16" t="s">
        <v>10</v>
      </c>
      <c r="G99" s="8">
        <f>C40</f>
        <v>53739.383301707778</v>
      </c>
      <c r="H99" s="9">
        <f t="shared" si="10"/>
        <v>0.16006568408341432</v>
      </c>
    </row>
    <row r="100" spans="5:9">
      <c r="E100" s="5" t="s">
        <v>135</v>
      </c>
      <c r="F100" s="16" t="s">
        <v>11</v>
      </c>
      <c r="G100" s="8">
        <v>0</v>
      </c>
      <c r="H100" s="9">
        <f t="shared" si="10"/>
        <v>0</v>
      </c>
    </row>
    <row r="101" spans="5:9">
      <c r="E101" s="16" t="s">
        <v>136</v>
      </c>
      <c r="F101" s="16" t="s">
        <v>12</v>
      </c>
      <c r="G101" s="8">
        <v>0</v>
      </c>
      <c r="H101" s="9">
        <f t="shared" si="10"/>
        <v>0</v>
      </c>
    </row>
    <row r="102" spans="5:9">
      <c r="E102" s="5" t="s">
        <v>137</v>
      </c>
      <c r="F102" s="16" t="s">
        <v>13</v>
      </c>
      <c r="G102" s="28">
        <v>0</v>
      </c>
      <c r="H102" s="9">
        <f t="shared" si="10"/>
        <v>0</v>
      </c>
    </row>
    <row r="103" spans="5:9">
      <c r="E103" s="5" t="s">
        <v>138</v>
      </c>
      <c r="F103" s="12" t="s">
        <v>14</v>
      </c>
      <c r="G103" s="8">
        <v>0</v>
      </c>
      <c r="H103" s="9">
        <f t="shared" si="10"/>
        <v>0</v>
      </c>
    </row>
    <row r="104" spans="5:9">
      <c r="E104" s="16" t="s">
        <v>139</v>
      </c>
      <c r="F104" s="16" t="s">
        <v>15</v>
      </c>
      <c r="G104" s="8">
        <f>C48</f>
        <v>1655.3899999999999</v>
      </c>
      <c r="H104" s="9">
        <f t="shared" si="10"/>
        <v>4.930669399148515E-3</v>
      </c>
    </row>
    <row r="105" spans="5:9">
      <c r="E105" s="5" t="s">
        <v>140</v>
      </c>
      <c r="F105" s="19" t="s">
        <v>2</v>
      </c>
      <c r="G105" s="8">
        <v>0</v>
      </c>
      <c r="H105" s="9">
        <f t="shared" si="10"/>
        <v>0</v>
      </c>
    </row>
    <row r="106" spans="5:9">
      <c r="E106" s="16" t="s">
        <v>141</v>
      </c>
      <c r="F106" s="16" t="s">
        <v>479</v>
      </c>
      <c r="G106" s="28">
        <v>0</v>
      </c>
      <c r="H106" s="9">
        <f t="shared" si="10"/>
        <v>0</v>
      </c>
    </row>
    <row r="107" spans="5:9" ht="14.25" thickBot="1">
      <c r="E107" s="5" t="s">
        <v>142</v>
      </c>
      <c r="F107" s="80" t="s">
        <v>1</v>
      </c>
      <c r="G107" s="6">
        <f>C56</f>
        <v>99097.375238341134</v>
      </c>
      <c r="H107" s="81">
        <f t="shared" si="10"/>
        <v>0.29516693686903173</v>
      </c>
    </row>
    <row r="108" spans="5:9" ht="14.25" thickTop="1">
      <c r="E108" s="375" t="s">
        <v>18</v>
      </c>
      <c r="F108" s="376"/>
      <c r="G108" s="7">
        <f>SUM(G91:G107)</f>
        <v>335733.3185400489</v>
      </c>
      <c r="H108" s="9">
        <f>G108/G108</f>
        <v>1</v>
      </c>
      <c r="I108" s="51"/>
    </row>
  </sheetData>
  <mergeCells count="31">
    <mergeCell ref="M6:M7"/>
    <mergeCell ref="A6:B7"/>
    <mergeCell ref="C6:C7"/>
    <mergeCell ref="D6:E6"/>
    <mergeCell ref="F6:F7"/>
    <mergeCell ref="J6:L6"/>
    <mergeCell ref="G6:I6"/>
    <mergeCell ref="A9:B17"/>
    <mergeCell ref="A23:B28"/>
    <mergeCell ref="A30:B31"/>
    <mergeCell ref="C46:M46"/>
    <mergeCell ref="A19:B21"/>
    <mergeCell ref="C45:M45"/>
    <mergeCell ref="C44:M44"/>
    <mergeCell ref="A33:B35"/>
    <mergeCell ref="A41:B43"/>
    <mergeCell ref="A37:B39"/>
    <mergeCell ref="A49:B52"/>
    <mergeCell ref="I49:I52"/>
    <mergeCell ref="A54:B54"/>
    <mergeCell ref="A57:B82"/>
    <mergeCell ref="M33:M34"/>
    <mergeCell ref="C47:M47"/>
    <mergeCell ref="E90:F90"/>
    <mergeCell ref="E108:F108"/>
    <mergeCell ref="C55:M55"/>
    <mergeCell ref="A88:B88"/>
    <mergeCell ref="A86:B86"/>
    <mergeCell ref="A87:B87"/>
    <mergeCell ref="A85:B85"/>
    <mergeCell ref="A84:B84"/>
  </mergeCells>
  <phoneticPr fontId="3"/>
  <pageMargins left="0.70866141732283472" right="0.70866141732283472" top="0.74803149606299213" bottom="0.74803149606299213" header="0.31496062992125984" footer="0.31496062992125984"/>
  <pageSetup paperSize="8" scale="55" fitToHeight="2" orientation="landscape" r:id="rId1"/>
  <rowBreaks count="1" manualBreakCount="1">
    <brk id="55" max="1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27"/>
  <sheetViews>
    <sheetView view="pageBreakPreview" zoomScale="80" zoomScaleNormal="85" zoomScaleSheetLayoutView="80" workbookViewId="0">
      <pane ySplit="7" topLeftCell="A8" activePane="bottomLeft" state="frozen"/>
      <selection pane="bottomLeft"/>
    </sheetView>
  </sheetViews>
  <sheetFormatPr defaultRowHeight="13.5"/>
  <cols>
    <col min="1" max="1" width="3.5" style="130" bestFit="1" customWidth="1"/>
    <col min="2" max="2" width="29.875" style="130" customWidth="1"/>
    <col min="3" max="3" width="10.875" style="3" customWidth="1"/>
    <col min="4" max="4" width="7.875" style="4" bestFit="1" customWidth="1"/>
    <col min="5" max="5" width="9.875" style="4" bestFit="1" customWidth="1"/>
    <col min="6" max="6" width="24.75" style="1" customWidth="1"/>
    <col min="7" max="7" width="13.125" style="1" customWidth="1"/>
    <col min="8" max="8" width="13.125" style="130" customWidth="1"/>
    <col min="9" max="9" width="40" style="130" customWidth="1"/>
    <col min="10" max="11" width="13.125" style="130" customWidth="1"/>
    <col min="12" max="12" width="40" style="130" customWidth="1"/>
    <col min="13" max="13" width="65.75" style="1" customWidth="1"/>
    <col min="14" max="16384" width="9" style="130"/>
  </cols>
  <sheetData>
    <row r="2" spans="1:13">
      <c r="B2" s="130" t="s">
        <v>1197</v>
      </c>
    </row>
    <row r="3" spans="1:13">
      <c r="B3" s="130" t="s">
        <v>1196</v>
      </c>
    </row>
    <row r="5" spans="1:13" ht="14.25" thickBot="1"/>
    <row r="6" spans="1:13" ht="14.25" thickBot="1">
      <c r="A6" s="499" t="s">
        <v>48</v>
      </c>
      <c r="B6" s="499"/>
      <c r="C6" s="500" t="s">
        <v>49</v>
      </c>
      <c r="D6" s="502" t="s">
        <v>121</v>
      </c>
      <c r="E6" s="502"/>
      <c r="F6" s="503" t="s">
        <v>16</v>
      </c>
      <c r="G6" s="504" t="s">
        <v>50</v>
      </c>
      <c r="H6" s="505"/>
      <c r="I6" s="506"/>
      <c r="J6" s="499" t="s">
        <v>51</v>
      </c>
      <c r="K6" s="499"/>
      <c r="L6" s="499"/>
      <c r="M6" s="497" t="s">
        <v>43</v>
      </c>
    </row>
    <row r="7" spans="1:13" s="2" customFormat="1" ht="14.25" thickBot="1">
      <c r="A7" s="499"/>
      <c r="B7" s="499"/>
      <c r="C7" s="501"/>
      <c r="D7" s="372" t="s">
        <v>52</v>
      </c>
      <c r="E7" s="372" t="s">
        <v>53</v>
      </c>
      <c r="F7" s="503"/>
      <c r="G7" s="371" t="s">
        <v>54</v>
      </c>
      <c r="H7" s="370" t="s">
        <v>55</v>
      </c>
      <c r="I7" s="370" t="s">
        <v>56</v>
      </c>
      <c r="J7" s="370" t="s">
        <v>57</v>
      </c>
      <c r="K7" s="370" t="s">
        <v>55</v>
      </c>
      <c r="L7" s="369" t="s">
        <v>56</v>
      </c>
      <c r="M7" s="498"/>
    </row>
    <row r="8" spans="1:13" ht="18.75" customHeight="1">
      <c r="A8" s="368">
        <v>1</v>
      </c>
      <c r="B8" s="367" t="s">
        <v>4</v>
      </c>
      <c r="C8" s="258">
        <f>SUM(C9:C48)</f>
        <v>92772.800000000003</v>
      </c>
      <c r="D8" s="366">
        <f t="shared" ref="D8:D39" si="0">+C8/$C$104</f>
        <v>0.6272949195034746</v>
      </c>
      <c r="E8" s="366">
        <f t="shared" ref="E8:E39" si="1">+C8/$C$107</f>
        <v>0.52150772362895204</v>
      </c>
      <c r="F8" s="365"/>
      <c r="G8" s="365"/>
      <c r="H8" s="364"/>
      <c r="I8" s="364"/>
      <c r="J8" s="364"/>
      <c r="K8" s="364"/>
      <c r="L8" s="364"/>
      <c r="M8" s="363"/>
    </row>
    <row r="9" spans="1:13" s="146" customFormat="1" ht="18.75" customHeight="1">
      <c r="A9" s="511" t="s">
        <v>104</v>
      </c>
      <c r="B9" s="512"/>
      <c r="C9" s="122">
        <f t="shared" ref="C9:C48" si="2">+G9*J9</f>
        <v>1350</v>
      </c>
      <c r="D9" s="300">
        <f t="shared" si="0"/>
        <v>9.1281942695454997E-3</v>
      </c>
      <c r="E9" s="300">
        <f t="shared" si="1"/>
        <v>7.5888129591764521E-3</v>
      </c>
      <c r="F9" s="361" t="s">
        <v>1195</v>
      </c>
      <c r="G9" s="45">
        <v>1000</v>
      </c>
      <c r="H9" s="354" t="s">
        <v>646</v>
      </c>
      <c r="I9" s="47" t="s">
        <v>1131</v>
      </c>
      <c r="J9" s="359">
        <v>1.35</v>
      </c>
      <c r="K9" s="358" t="s">
        <v>61</v>
      </c>
      <c r="L9" s="336" t="s">
        <v>1194</v>
      </c>
      <c r="M9" s="176"/>
    </row>
    <row r="10" spans="1:13" s="146" customFormat="1" ht="18.75" customHeight="1">
      <c r="A10" s="513"/>
      <c r="B10" s="514"/>
      <c r="C10" s="122">
        <f t="shared" si="2"/>
        <v>311</v>
      </c>
      <c r="D10" s="300">
        <f t="shared" si="0"/>
        <v>2.1028654946878889E-3</v>
      </c>
      <c r="E10" s="300">
        <f t="shared" si="1"/>
        <v>1.7482376520769455E-3</v>
      </c>
      <c r="F10" s="361" t="s">
        <v>1193</v>
      </c>
      <c r="G10" s="45">
        <v>500</v>
      </c>
      <c r="H10" s="354" t="s">
        <v>646</v>
      </c>
      <c r="I10" s="47" t="s">
        <v>1131</v>
      </c>
      <c r="J10" s="359">
        <v>0.622</v>
      </c>
      <c r="K10" s="358" t="s">
        <v>61</v>
      </c>
      <c r="L10" s="336" t="s">
        <v>1192</v>
      </c>
      <c r="M10" s="176"/>
    </row>
    <row r="11" spans="1:13" s="146" customFormat="1" ht="18.75" customHeight="1">
      <c r="A11" s="513"/>
      <c r="B11" s="514"/>
      <c r="C11" s="122">
        <f t="shared" si="2"/>
        <v>712</v>
      </c>
      <c r="D11" s="300">
        <f t="shared" si="0"/>
        <v>4.8142772740121451E-3</v>
      </c>
      <c r="E11" s="300">
        <f t="shared" si="1"/>
        <v>4.0023961680989879E-3</v>
      </c>
      <c r="F11" s="361" t="s">
        <v>1191</v>
      </c>
      <c r="G11" s="45">
        <v>800</v>
      </c>
      <c r="H11" s="354" t="s">
        <v>646</v>
      </c>
      <c r="I11" s="47" t="s">
        <v>1131</v>
      </c>
      <c r="J11" s="359">
        <v>0.89</v>
      </c>
      <c r="K11" s="358" t="s">
        <v>61</v>
      </c>
      <c r="L11" s="336" t="s">
        <v>1190</v>
      </c>
      <c r="M11" s="176"/>
    </row>
    <row r="12" spans="1:13" s="146" customFormat="1" ht="18.75" customHeight="1">
      <c r="A12" s="513"/>
      <c r="B12" s="514"/>
      <c r="C12" s="122">
        <f t="shared" si="2"/>
        <v>82.5</v>
      </c>
      <c r="D12" s="300">
        <f t="shared" si="0"/>
        <v>5.5783409425000277E-4</v>
      </c>
      <c r="E12" s="300">
        <f t="shared" si="1"/>
        <v>4.6376079194967209E-4</v>
      </c>
      <c r="F12" s="361" t="s">
        <v>1189</v>
      </c>
      <c r="G12" s="206">
        <v>300</v>
      </c>
      <c r="H12" s="354" t="s">
        <v>646</v>
      </c>
      <c r="I12" s="47" t="s">
        <v>1131</v>
      </c>
      <c r="J12" s="359">
        <v>0.27500000000000002</v>
      </c>
      <c r="K12" s="358" t="s">
        <v>61</v>
      </c>
      <c r="L12" s="336" t="s">
        <v>1188</v>
      </c>
      <c r="M12" s="176"/>
    </row>
    <row r="13" spans="1:13" s="146" customFormat="1" ht="18.75" customHeight="1">
      <c r="A13" s="513"/>
      <c r="B13" s="514"/>
      <c r="C13" s="122">
        <f t="shared" si="2"/>
        <v>114</v>
      </c>
      <c r="D13" s="300">
        <f t="shared" si="0"/>
        <v>7.7082529387273099E-4</v>
      </c>
      <c r="E13" s="300">
        <f t="shared" si="1"/>
        <v>6.4083309433045593E-4</v>
      </c>
      <c r="F13" s="361" t="s">
        <v>1187</v>
      </c>
      <c r="G13" s="206">
        <v>1500</v>
      </c>
      <c r="H13" s="354" t="s">
        <v>646</v>
      </c>
      <c r="I13" s="47" t="s">
        <v>1131</v>
      </c>
      <c r="J13" s="359">
        <v>7.5999999999999998E-2</v>
      </c>
      <c r="K13" s="358" t="s">
        <v>61</v>
      </c>
      <c r="L13" s="336" t="s">
        <v>1186</v>
      </c>
      <c r="M13" s="176"/>
    </row>
    <row r="14" spans="1:13" s="146" customFormat="1" ht="18.75" customHeight="1">
      <c r="A14" s="513"/>
      <c r="B14" s="514"/>
      <c r="C14" s="122">
        <f t="shared" si="2"/>
        <v>1900</v>
      </c>
      <c r="D14" s="300">
        <f t="shared" si="0"/>
        <v>1.2847088231212184E-2</v>
      </c>
      <c r="E14" s="300">
        <f t="shared" si="1"/>
        <v>1.0680551572174266E-2</v>
      </c>
      <c r="F14" s="361" t="s">
        <v>1185</v>
      </c>
      <c r="G14" s="206">
        <v>1000</v>
      </c>
      <c r="H14" s="354" t="s">
        <v>646</v>
      </c>
      <c r="I14" s="47" t="s">
        <v>1131</v>
      </c>
      <c r="J14" s="359">
        <v>1.9</v>
      </c>
      <c r="K14" s="358" t="s">
        <v>61</v>
      </c>
      <c r="L14" s="336" t="s">
        <v>1184</v>
      </c>
      <c r="M14" s="176"/>
    </row>
    <row r="15" spans="1:13" s="146" customFormat="1" ht="18.75" customHeight="1">
      <c r="A15" s="513"/>
      <c r="B15" s="514"/>
      <c r="C15" s="122">
        <f t="shared" si="2"/>
        <v>266.40000000000003</v>
      </c>
      <c r="D15" s="300">
        <f t="shared" si="0"/>
        <v>1.8012970025236455E-3</v>
      </c>
      <c r="E15" s="300">
        <f t="shared" si="1"/>
        <v>1.4975257572774868E-3</v>
      </c>
      <c r="F15" s="361" t="s">
        <v>1183</v>
      </c>
      <c r="G15" s="206">
        <v>800</v>
      </c>
      <c r="H15" s="354" t="s">
        <v>646</v>
      </c>
      <c r="I15" s="47" t="s">
        <v>1131</v>
      </c>
      <c r="J15" s="359">
        <v>0.33300000000000002</v>
      </c>
      <c r="K15" s="358" t="s">
        <v>61</v>
      </c>
      <c r="L15" s="336" t="s">
        <v>1182</v>
      </c>
      <c r="M15" s="176"/>
    </row>
    <row r="16" spans="1:13" s="146" customFormat="1" ht="18.75" customHeight="1">
      <c r="A16" s="513"/>
      <c r="B16" s="514"/>
      <c r="C16" s="122">
        <f t="shared" si="2"/>
        <v>182.4</v>
      </c>
      <c r="D16" s="300">
        <f t="shared" si="0"/>
        <v>1.2333204701963697E-3</v>
      </c>
      <c r="E16" s="300">
        <f t="shared" si="1"/>
        <v>1.0253329509287295E-3</v>
      </c>
      <c r="F16" s="361" t="s">
        <v>1181</v>
      </c>
      <c r="G16" s="206">
        <v>800</v>
      </c>
      <c r="H16" s="354" t="s">
        <v>646</v>
      </c>
      <c r="I16" s="47" t="s">
        <v>1131</v>
      </c>
      <c r="J16" s="359">
        <v>0.22800000000000001</v>
      </c>
      <c r="K16" s="358" t="s">
        <v>61</v>
      </c>
      <c r="L16" s="336" t="s">
        <v>1180</v>
      </c>
      <c r="M16" s="176"/>
    </row>
    <row r="17" spans="1:13" s="146" customFormat="1" ht="29.25" customHeight="1">
      <c r="A17" s="513"/>
      <c r="B17" s="514"/>
      <c r="C17" s="122">
        <f t="shared" si="2"/>
        <v>220.4</v>
      </c>
      <c r="D17" s="300">
        <f t="shared" si="0"/>
        <v>1.4902622348206133E-3</v>
      </c>
      <c r="E17" s="300">
        <f t="shared" si="1"/>
        <v>1.238943982372215E-3</v>
      </c>
      <c r="F17" s="361" t="s">
        <v>1179</v>
      </c>
      <c r="G17" s="206">
        <v>400</v>
      </c>
      <c r="H17" s="354" t="s">
        <v>646</v>
      </c>
      <c r="I17" s="47" t="s">
        <v>1131</v>
      </c>
      <c r="J17" s="359">
        <v>0.55100000000000005</v>
      </c>
      <c r="K17" s="358" t="s">
        <v>61</v>
      </c>
      <c r="L17" s="362" t="s">
        <v>1178</v>
      </c>
      <c r="M17" s="176"/>
    </row>
    <row r="18" spans="1:13" ht="18.75" customHeight="1">
      <c r="A18" s="513"/>
      <c r="B18" s="514"/>
      <c r="C18" s="122">
        <f t="shared" si="2"/>
        <v>487</v>
      </c>
      <c r="D18" s="300">
        <f t="shared" si="0"/>
        <v>3.292911562421228E-3</v>
      </c>
      <c r="E18" s="300">
        <f t="shared" si="1"/>
        <v>2.7375940082362462E-3</v>
      </c>
      <c r="F18" s="361" t="s">
        <v>1177</v>
      </c>
      <c r="G18" s="45">
        <v>500</v>
      </c>
      <c r="H18" s="354" t="s">
        <v>646</v>
      </c>
      <c r="I18" s="47" t="s">
        <v>1131</v>
      </c>
      <c r="J18" s="359">
        <v>0.97399999999999998</v>
      </c>
      <c r="K18" s="358" t="s">
        <v>61</v>
      </c>
      <c r="L18" s="336" t="s">
        <v>1176</v>
      </c>
      <c r="M18" s="176"/>
    </row>
    <row r="19" spans="1:13" ht="18.75" customHeight="1">
      <c r="A19" s="513"/>
      <c r="B19" s="514"/>
      <c r="C19" s="122">
        <f t="shared" si="2"/>
        <v>1310</v>
      </c>
      <c r="D19" s="300">
        <f t="shared" si="0"/>
        <v>8.8577292541515591E-3</v>
      </c>
      <c r="E19" s="300">
        <f t="shared" si="1"/>
        <v>7.3639592418675206E-3</v>
      </c>
      <c r="F19" s="361" t="s">
        <v>1175</v>
      </c>
      <c r="G19" s="45">
        <v>100</v>
      </c>
      <c r="H19" s="354" t="s">
        <v>646</v>
      </c>
      <c r="I19" s="47" t="s">
        <v>1131</v>
      </c>
      <c r="J19" s="359">
        <v>13.1</v>
      </c>
      <c r="K19" s="358" t="s">
        <v>61</v>
      </c>
      <c r="L19" s="336" t="s">
        <v>1174</v>
      </c>
      <c r="M19" s="167"/>
    </row>
    <row r="20" spans="1:13" ht="18.75" customHeight="1">
      <c r="A20" s="513"/>
      <c r="B20" s="514"/>
      <c r="C20" s="122">
        <f t="shared" si="2"/>
        <v>96.899999999999991</v>
      </c>
      <c r="D20" s="300">
        <f t="shared" si="0"/>
        <v>6.5520149979182132E-4</v>
      </c>
      <c r="E20" s="300">
        <f t="shared" si="1"/>
        <v>5.4470813018088753E-4</v>
      </c>
      <c r="F20" s="361" t="s">
        <v>1173</v>
      </c>
      <c r="G20" s="45">
        <v>100</v>
      </c>
      <c r="H20" s="354" t="s">
        <v>646</v>
      </c>
      <c r="I20" s="47" t="s">
        <v>1131</v>
      </c>
      <c r="J20" s="359">
        <v>0.96899999999999997</v>
      </c>
      <c r="K20" s="358" t="s">
        <v>61</v>
      </c>
      <c r="L20" s="336" t="s">
        <v>1172</v>
      </c>
      <c r="M20" s="167"/>
    </row>
    <row r="21" spans="1:13" ht="18.75" customHeight="1">
      <c r="A21" s="513"/>
      <c r="B21" s="514"/>
      <c r="C21" s="122">
        <f t="shared" si="2"/>
        <v>157</v>
      </c>
      <c r="D21" s="300">
        <f t="shared" si="0"/>
        <v>1.0615751854212174E-3</v>
      </c>
      <c r="E21" s="300">
        <f t="shared" si="1"/>
        <v>8.8255084043755772E-4</v>
      </c>
      <c r="F21" s="361" t="s">
        <v>1171</v>
      </c>
      <c r="G21" s="45">
        <v>200</v>
      </c>
      <c r="H21" s="354" t="s">
        <v>771</v>
      </c>
      <c r="I21" s="47" t="s">
        <v>1131</v>
      </c>
      <c r="J21" s="359">
        <v>0.78500000000000003</v>
      </c>
      <c r="K21" s="358" t="s">
        <v>205</v>
      </c>
      <c r="L21" s="336" t="s">
        <v>1170</v>
      </c>
      <c r="M21" s="167"/>
    </row>
    <row r="22" spans="1:13" ht="18.75" customHeight="1">
      <c r="A22" s="513"/>
      <c r="B22" s="514"/>
      <c r="C22" s="122">
        <f t="shared" si="2"/>
        <v>1696</v>
      </c>
      <c r="D22" s="300">
        <f t="shared" si="0"/>
        <v>1.1467716652703085E-2</v>
      </c>
      <c r="E22" s="300">
        <f t="shared" si="1"/>
        <v>9.5337976138987132E-3</v>
      </c>
      <c r="F22" s="361" t="s">
        <v>1169</v>
      </c>
      <c r="G22" s="45">
        <v>800</v>
      </c>
      <c r="H22" s="354" t="s">
        <v>646</v>
      </c>
      <c r="I22" s="47" t="s">
        <v>1131</v>
      </c>
      <c r="J22" s="359">
        <v>2.12</v>
      </c>
      <c r="K22" s="358" t="s">
        <v>61</v>
      </c>
      <c r="L22" s="336" t="s">
        <v>1168</v>
      </c>
      <c r="M22" s="167"/>
    </row>
    <row r="23" spans="1:13" ht="18.75" customHeight="1">
      <c r="A23" s="513"/>
      <c r="B23" s="514"/>
      <c r="C23" s="122">
        <f t="shared" si="2"/>
        <v>2010.0000000000002</v>
      </c>
      <c r="D23" s="300">
        <f t="shared" si="0"/>
        <v>1.3590867023545523E-2</v>
      </c>
      <c r="E23" s="300">
        <f t="shared" si="1"/>
        <v>1.129889929477383E-2</v>
      </c>
      <c r="F23" s="361" t="s">
        <v>1167</v>
      </c>
      <c r="G23" s="45">
        <v>1500</v>
      </c>
      <c r="H23" s="354" t="s">
        <v>646</v>
      </c>
      <c r="I23" s="47" t="s">
        <v>1131</v>
      </c>
      <c r="J23" s="359">
        <v>1.34</v>
      </c>
      <c r="K23" s="358" t="s">
        <v>61</v>
      </c>
      <c r="L23" s="336" t="s">
        <v>1166</v>
      </c>
      <c r="M23" s="167"/>
    </row>
    <row r="24" spans="1:13" ht="18.75" customHeight="1">
      <c r="A24" s="513"/>
      <c r="B24" s="514"/>
      <c r="C24" s="122">
        <f t="shared" si="2"/>
        <v>3180</v>
      </c>
      <c r="D24" s="300">
        <f t="shared" si="0"/>
        <v>2.1501968723818286E-2</v>
      </c>
      <c r="E24" s="300">
        <f t="shared" si="1"/>
        <v>1.7875870526060086E-2</v>
      </c>
      <c r="F24" s="361" t="s">
        <v>1165</v>
      </c>
      <c r="G24" s="45">
        <v>2000</v>
      </c>
      <c r="H24" s="354" t="s">
        <v>646</v>
      </c>
      <c r="I24" s="47" t="s">
        <v>1131</v>
      </c>
      <c r="J24" s="359">
        <v>1.59</v>
      </c>
      <c r="K24" s="358" t="s">
        <v>61</v>
      </c>
      <c r="L24" s="336" t="s">
        <v>1164</v>
      </c>
      <c r="M24" s="167"/>
    </row>
    <row r="25" spans="1:13" ht="18.75" customHeight="1">
      <c r="A25" s="513"/>
      <c r="B25" s="514"/>
      <c r="C25" s="122">
        <f t="shared" si="2"/>
        <v>475</v>
      </c>
      <c r="D25" s="300">
        <f t="shared" si="0"/>
        <v>3.2117720578030461E-3</v>
      </c>
      <c r="E25" s="300">
        <f t="shared" si="1"/>
        <v>2.6701378930435666E-3</v>
      </c>
      <c r="F25" s="361" t="s">
        <v>1163</v>
      </c>
      <c r="G25" s="45">
        <v>500</v>
      </c>
      <c r="H25" s="354" t="s">
        <v>646</v>
      </c>
      <c r="I25" s="47" t="s">
        <v>1131</v>
      </c>
      <c r="J25" s="359">
        <v>0.95</v>
      </c>
      <c r="K25" s="358" t="s">
        <v>61</v>
      </c>
      <c r="L25" s="336" t="s">
        <v>1162</v>
      </c>
      <c r="M25" s="167"/>
    </row>
    <row r="26" spans="1:13" ht="18.75" customHeight="1">
      <c r="A26" s="513"/>
      <c r="B26" s="514"/>
      <c r="C26" s="122">
        <f t="shared" si="2"/>
        <v>2340</v>
      </c>
      <c r="D26" s="300">
        <f t="shared" si="0"/>
        <v>1.5822203400545531E-2</v>
      </c>
      <c r="E26" s="300">
        <f t="shared" si="1"/>
        <v>1.3153942462572517E-2</v>
      </c>
      <c r="F26" s="361" t="s">
        <v>1161</v>
      </c>
      <c r="G26" s="45">
        <v>600</v>
      </c>
      <c r="H26" s="354" t="s">
        <v>646</v>
      </c>
      <c r="I26" s="47" t="s">
        <v>1131</v>
      </c>
      <c r="J26" s="359">
        <v>3.9</v>
      </c>
      <c r="K26" s="358" t="s">
        <v>61</v>
      </c>
      <c r="L26" s="336" t="s">
        <v>1160</v>
      </c>
      <c r="M26" s="167"/>
    </row>
    <row r="27" spans="1:13" ht="18.75" customHeight="1">
      <c r="A27" s="513"/>
      <c r="B27" s="514"/>
      <c r="C27" s="122">
        <f t="shared" si="2"/>
        <v>191.20000000000002</v>
      </c>
      <c r="D27" s="300">
        <f t="shared" si="0"/>
        <v>1.2928227735830367E-3</v>
      </c>
      <c r="E27" s="300">
        <f t="shared" si="1"/>
        <v>1.0748007687366946E-3</v>
      </c>
      <c r="F27" s="361" t="s">
        <v>1159</v>
      </c>
      <c r="G27" s="45">
        <v>80</v>
      </c>
      <c r="H27" s="354" t="s">
        <v>646</v>
      </c>
      <c r="I27" s="47" t="s">
        <v>1131</v>
      </c>
      <c r="J27" s="359">
        <v>2.39</v>
      </c>
      <c r="K27" s="358" t="s">
        <v>61</v>
      </c>
      <c r="L27" s="336" t="s">
        <v>1158</v>
      </c>
      <c r="M27" s="167"/>
    </row>
    <row r="28" spans="1:13" ht="18.75" customHeight="1">
      <c r="A28" s="513"/>
      <c r="B28" s="514"/>
      <c r="C28" s="122">
        <f t="shared" si="2"/>
        <v>398.99999999999994</v>
      </c>
      <c r="D28" s="300">
        <f t="shared" si="0"/>
        <v>2.697888528554558E-3</v>
      </c>
      <c r="E28" s="300">
        <f t="shared" si="1"/>
        <v>2.2429158301565956E-3</v>
      </c>
      <c r="F28" s="361" t="s">
        <v>1157</v>
      </c>
      <c r="G28" s="45">
        <v>350</v>
      </c>
      <c r="H28" s="354" t="s">
        <v>646</v>
      </c>
      <c r="I28" s="47" t="s">
        <v>1131</v>
      </c>
      <c r="J28" s="359">
        <v>1.1399999999999999</v>
      </c>
      <c r="K28" s="358" t="s">
        <v>61</v>
      </c>
      <c r="L28" s="336" t="s">
        <v>1156</v>
      </c>
      <c r="M28" s="167"/>
    </row>
    <row r="29" spans="1:13" ht="18.75" customHeight="1">
      <c r="A29" s="513"/>
      <c r="B29" s="514"/>
      <c r="C29" s="122">
        <f t="shared" si="2"/>
        <v>25300</v>
      </c>
      <c r="D29" s="300">
        <f t="shared" si="0"/>
        <v>0.17106912223666751</v>
      </c>
      <c r="E29" s="300">
        <f t="shared" si="1"/>
        <v>0.14221997619789944</v>
      </c>
      <c r="F29" s="360" t="s">
        <v>1155</v>
      </c>
      <c r="G29" s="45">
        <v>1000</v>
      </c>
      <c r="H29" s="354" t="s">
        <v>646</v>
      </c>
      <c r="I29" s="47" t="s">
        <v>1131</v>
      </c>
      <c r="J29" s="359">
        <v>25.3</v>
      </c>
      <c r="K29" s="358" t="s">
        <v>61</v>
      </c>
      <c r="L29" s="336" t="s">
        <v>1154</v>
      </c>
      <c r="M29" s="167"/>
    </row>
    <row r="30" spans="1:13" ht="18.75" customHeight="1">
      <c r="A30" s="513"/>
      <c r="B30" s="514"/>
      <c r="C30" s="122">
        <f t="shared" si="2"/>
        <v>8086</v>
      </c>
      <c r="D30" s="300">
        <f t="shared" si="0"/>
        <v>5.4674502861885112E-2</v>
      </c>
      <c r="E30" s="300">
        <f t="shared" si="1"/>
        <v>4.5454178954000585E-2</v>
      </c>
      <c r="F30" s="360" t="s">
        <v>1153</v>
      </c>
      <c r="G30" s="45">
        <v>1300</v>
      </c>
      <c r="H30" s="354" t="s">
        <v>646</v>
      </c>
      <c r="I30" s="47" t="s">
        <v>1131</v>
      </c>
      <c r="J30" s="359">
        <v>6.22</v>
      </c>
      <c r="K30" s="358" t="s">
        <v>61</v>
      </c>
      <c r="L30" s="336" t="s">
        <v>1152</v>
      </c>
      <c r="M30" s="167"/>
    </row>
    <row r="31" spans="1:13" ht="18.75" customHeight="1">
      <c r="A31" s="513"/>
      <c r="B31" s="514"/>
      <c r="C31" s="122">
        <f t="shared" si="2"/>
        <v>546</v>
      </c>
      <c r="D31" s="300">
        <f t="shared" si="0"/>
        <v>3.6918474601272907E-3</v>
      </c>
      <c r="E31" s="300">
        <f t="shared" si="1"/>
        <v>3.0692532412669206E-3</v>
      </c>
      <c r="F31" s="336" t="s">
        <v>1151</v>
      </c>
      <c r="G31" s="45">
        <v>200</v>
      </c>
      <c r="H31" s="354" t="s">
        <v>646</v>
      </c>
      <c r="I31" s="47" t="s">
        <v>1131</v>
      </c>
      <c r="J31" s="351">
        <v>2.73</v>
      </c>
      <c r="K31" s="358" t="s">
        <v>61</v>
      </c>
      <c r="L31" s="336" t="s">
        <v>1150</v>
      </c>
      <c r="M31" s="167"/>
    </row>
    <row r="32" spans="1:13" ht="18.75" customHeight="1">
      <c r="A32" s="513"/>
      <c r="B32" s="514"/>
      <c r="C32" s="122">
        <f t="shared" si="2"/>
        <v>256</v>
      </c>
      <c r="D32" s="300">
        <f t="shared" si="0"/>
        <v>1.7309760985212207E-3</v>
      </c>
      <c r="E32" s="300">
        <f t="shared" si="1"/>
        <v>1.4390637907771642E-3</v>
      </c>
      <c r="F32" s="336" t="s">
        <v>1149</v>
      </c>
      <c r="G32" s="45">
        <v>100</v>
      </c>
      <c r="H32" s="354" t="s">
        <v>646</v>
      </c>
      <c r="I32" s="47" t="s">
        <v>1131</v>
      </c>
      <c r="J32" s="351">
        <v>2.56</v>
      </c>
      <c r="K32" s="358" t="s">
        <v>61</v>
      </c>
      <c r="L32" s="336" t="s">
        <v>1148</v>
      </c>
      <c r="M32" s="167"/>
    </row>
    <row r="33" spans="1:13" ht="18.75" customHeight="1">
      <c r="A33" s="513"/>
      <c r="B33" s="514"/>
      <c r="C33" s="122">
        <f t="shared" si="2"/>
        <v>528</v>
      </c>
      <c r="D33" s="300">
        <f t="shared" si="0"/>
        <v>3.5701382032000172E-3</v>
      </c>
      <c r="E33" s="300">
        <f t="shared" si="1"/>
        <v>2.9680690684779011E-3</v>
      </c>
      <c r="F33" s="336" t="s">
        <v>1147</v>
      </c>
      <c r="G33" s="45">
        <v>400</v>
      </c>
      <c r="H33" s="354" t="s">
        <v>646</v>
      </c>
      <c r="I33" s="47" t="s">
        <v>1131</v>
      </c>
      <c r="J33" s="351">
        <v>1.32</v>
      </c>
      <c r="K33" s="358" t="s">
        <v>61</v>
      </c>
      <c r="L33" s="336" t="s">
        <v>1146</v>
      </c>
      <c r="M33" s="167"/>
    </row>
    <row r="34" spans="1:13" ht="18.75" customHeight="1">
      <c r="A34" s="513"/>
      <c r="B34" s="514"/>
      <c r="C34" s="122">
        <f t="shared" si="2"/>
        <v>340</v>
      </c>
      <c r="D34" s="300">
        <f t="shared" si="0"/>
        <v>2.2989526308484962E-3</v>
      </c>
      <c r="E34" s="300">
        <f t="shared" si="1"/>
        <v>1.9112565971259213E-3</v>
      </c>
      <c r="F34" s="336" t="s">
        <v>1145</v>
      </c>
      <c r="G34" s="45">
        <v>200</v>
      </c>
      <c r="H34" s="354" t="s">
        <v>646</v>
      </c>
      <c r="I34" s="47" t="s">
        <v>1131</v>
      </c>
      <c r="J34" s="351">
        <v>1.7</v>
      </c>
      <c r="K34" s="358" t="s">
        <v>61</v>
      </c>
      <c r="L34" s="336" t="s">
        <v>1144</v>
      </c>
      <c r="M34" s="167"/>
    </row>
    <row r="35" spans="1:13" ht="18.75" customHeight="1">
      <c r="A35" s="513"/>
      <c r="B35" s="514"/>
      <c r="C35" s="122">
        <f t="shared" si="2"/>
        <v>245.99999999999997</v>
      </c>
      <c r="D35" s="300">
        <f t="shared" si="0"/>
        <v>1.6633598446727353E-3</v>
      </c>
      <c r="E35" s="300">
        <f t="shared" si="1"/>
        <v>1.3828503614499311E-3</v>
      </c>
      <c r="F35" s="336" t="s">
        <v>1143</v>
      </c>
      <c r="G35" s="45">
        <v>150</v>
      </c>
      <c r="H35" s="354" t="s">
        <v>646</v>
      </c>
      <c r="I35" s="47" t="s">
        <v>1131</v>
      </c>
      <c r="J35" s="351">
        <v>1.64</v>
      </c>
      <c r="K35" s="358" t="s">
        <v>61</v>
      </c>
      <c r="L35" s="336" t="s">
        <v>1142</v>
      </c>
      <c r="M35" s="167"/>
    </row>
    <row r="36" spans="1:13" ht="18.75" customHeight="1">
      <c r="A36" s="513"/>
      <c r="B36" s="514"/>
      <c r="C36" s="122">
        <f t="shared" si="2"/>
        <v>453</v>
      </c>
      <c r="D36" s="300">
        <f t="shared" si="0"/>
        <v>3.0630162993363786E-3</v>
      </c>
      <c r="E36" s="300">
        <f t="shared" si="1"/>
        <v>2.546468348523654E-3</v>
      </c>
      <c r="F36" s="336" t="s">
        <v>1141</v>
      </c>
      <c r="G36" s="45">
        <v>300</v>
      </c>
      <c r="H36" s="354" t="s">
        <v>646</v>
      </c>
      <c r="I36" s="47" t="s">
        <v>1131</v>
      </c>
      <c r="J36" s="351">
        <v>1.51</v>
      </c>
      <c r="K36" s="358" t="s">
        <v>61</v>
      </c>
      <c r="L36" s="336" t="s">
        <v>1140</v>
      </c>
      <c r="M36" s="167"/>
    </row>
    <row r="37" spans="1:13" ht="18.75" customHeight="1">
      <c r="A37" s="513"/>
      <c r="B37" s="514"/>
      <c r="C37" s="122">
        <f t="shared" si="2"/>
        <v>438</v>
      </c>
      <c r="D37" s="300">
        <f t="shared" si="0"/>
        <v>2.9615919185636509E-3</v>
      </c>
      <c r="E37" s="300">
        <f t="shared" si="1"/>
        <v>2.4621482045328043E-3</v>
      </c>
      <c r="F37" s="336" t="s">
        <v>1139</v>
      </c>
      <c r="G37" s="45">
        <v>300</v>
      </c>
      <c r="H37" s="354" t="s">
        <v>646</v>
      </c>
      <c r="I37" s="47" t="s">
        <v>1131</v>
      </c>
      <c r="J37" s="351">
        <v>1.46</v>
      </c>
      <c r="K37" s="358" t="s">
        <v>61</v>
      </c>
      <c r="L37" s="336" t="s">
        <v>1138</v>
      </c>
      <c r="M37" s="167"/>
    </row>
    <row r="38" spans="1:13" ht="18.75" customHeight="1">
      <c r="A38" s="513"/>
      <c r="B38" s="514"/>
      <c r="C38" s="122">
        <f t="shared" si="2"/>
        <v>5550</v>
      </c>
      <c r="D38" s="300">
        <f t="shared" si="0"/>
        <v>3.7527020885909271E-2</v>
      </c>
      <c r="E38" s="300">
        <f t="shared" si="1"/>
        <v>3.1198453276614302E-2</v>
      </c>
      <c r="F38" s="147" t="s">
        <v>1137</v>
      </c>
      <c r="G38" s="45">
        <v>3000</v>
      </c>
      <c r="H38" s="354" t="s">
        <v>64</v>
      </c>
      <c r="I38" s="47" t="s">
        <v>1131</v>
      </c>
      <c r="J38" s="147">
        <v>1.85</v>
      </c>
      <c r="K38" s="30" t="s">
        <v>207</v>
      </c>
      <c r="L38" s="147" t="s">
        <v>1136</v>
      </c>
      <c r="M38" s="167"/>
    </row>
    <row r="39" spans="1:13" ht="18.75" customHeight="1">
      <c r="A39" s="513"/>
      <c r="B39" s="514"/>
      <c r="C39" s="122">
        <f t="shared" si="2"/>
        <v>7040</v>
      </c>
      <c r="D39" s="300">
        <f t="shared" si="0"/>
        <v>4.7601842709333562E-2</v>
      </c>
      <c r="E39" s="300">
        <f t="shared" si="1"/>
        <v>3.9574254246372016E-2</v>
      </c>
      <c r="F39" s="147" t="s">
        <v>1135</v>
      </c>
      <c r="G39" s="45">
        <v>2000</v>
      </c>
      <c r="H39" s="354" t="s">
        <v>64</v>
      </c>
      <c r="I39" s="47" t="s">
        <v>1131</v>
      </c>
      <c r="J39" s="147">
        <v>3.52</v>
      </c>
      <c r="K39" s="30" t="s">
        <v>207</v>
      </c>
      <c r="L39" s="147" t="s">
        <v>1134</v>
      </c>
      <c r="M39" s="167"/>
    </row>
    <row r="40" spans="1:13" ht="18.75" customHeight="1">
      <c r="A40" s="513"/>
      <c r="B40" s="514"/>
      <c r="C40" s="122">
        <f t="shared" si="2"/>
        <v>5260</v>
      </c>
      <c r="D40" s="300">
        <f t="shared" ref="D40:D59" si="3">+C40/$C$104</f>
        <v>3.5566149524303203E-2</v>
      </c>
      <c r="E40" s="300">
        <f t="shared" ref="E40:E59" si="4">+C40/$C$107</f>
        <v>2.9568263826124548E-2</v>
      </c>
      <c r="F40" s="147" t="s">
        <v>1133</v>
      </c>
      <c r="G40" s="45">
        <v>2000</v>
      </c>
      <c r="H40" s="354" t="s">
        <v>64</v>
      </c>
      <c r="I40" s="47" t="s">
        <v>1131</v>
      </c>
      <c r="J40" s="147">
        <v>2.63</v>
      </c>
      <c r="K40" s="30" t="s">
        <v>207</v>
      </c>
      <c r="L40" s="147" t="s">
        <v>1132</v>
      </c>
      <c r="M40" s="167"/>
    </row>
    <row r="41" spans="1:13" ht="18.75" customHeight="1">
      <c r="A41" s="513"/>
      <c r="B41" s="514"/>
      <c r="C41" s="122">
        <f t="shared" si="2"/>
        <v>1365</v>
      </c>
      <c r="D41" s="300">
        <f t="shared" si="3"/>
        <v>9.2296186503182265E-3</v>
      </c>
      <c r="E41" s="300">
        <f t="shared" si="4"/>
        <v>7.6731331031673015E-3</v>
      </c>
      <c r="F41" s="145" t="s">
        <v>1092</v>
      </c>
      <c r="G41" s="45">
        <v>500</v>
      </c>
      <c r="H41" s="354" t="s">
        <v>646</v>
      </c>
      <c r="I41" s="47" t="s">
        <v>1131</v>
      </c>
      <c r="J41" s="353">
        <v>2.73</v>
      </c>
      <c r="K41" s="350" t="s">
        <v>1130</v>
      </c>
      <c r="L41" s="336" t="s">
        <v>1129</v>
      </c>
      <c r="M41" s="167"/>
    </row>
    <row r="42" spans="1:13" ht="18.75" customHeight="1">
      <c r="A42" s="513"/>
      <c r="B42" s="514"/>
      <c r="C42" s="122">
        <f t="shared" si="2"/>
        <v>10025</v>
      </c>
      <c r="D42" s="300">
        <f t="shared" si="3"/>
        <v>6.7785294483106384E-2</v>
      </c>
      <c r="E42" s="300">
        <f t="shared" si="4"/>
        <v>5.6353962900551058E-2</v>
      </c>
      <c r="F42" s="147" t="s">
        <v>1128</v>
      </c>
      <c r="G42" s="45">
        <v>2500</v>
      </c>
      <c r="H42" s="354" t="s">
        <v>156</v>
      </c>
      <c r="I42" s="47" t="s">
        <v>969</v>
      </c>
      <c r="J42" s="351">
        <v>4.01</v>
      </c>
      <c r="K42" s="350" t="s">
        <v>59</v>
      </c>
      <c r="L42" s="147" t="s">
        <v>1127</v>
      </c>
      <c r="M42" s="177"/>
    </row>
    <row r="43" spans="1:13" ht="18.75" customHeight="1">
      <c r="A43" s="513"/>
      <c r="B43" s="514"/>
      <c r="C43" s="122">
        <f t="shared" si="2"/>
        <v>1315</v>
      </c>
      <c r="D43" s="300">
        <f t="shared" si="3"/>
        <v>8.8915373810758008E-3</v>
      </c>
      <c r="E43" s="300">
        <f t="shared" si="4"/>
        <v>7.392065956531137E-3</v>
      </c>
      <c r="F43" s="147" t="s">
        <v>1126</v>
      </c>
      <c r="G43" s="45">
        <v>500</v>
      </c>
      <c r="H43" s="354" t="s">
        <v>156</v>
      </c>
      <c r="I43" s="47" t="s">
        <v>969</v>
      </c>
      <c r="J43" s="351">
        <v>2.63</v>
      </c>
      <c r="K43" s="350" t="s">
        <v>59</v>
      </c>
      <c r="L43" s="147" t="s">
        <v>1125</v>
      </c>
      <c r="M43" s="177"/>
    </row>
    <row r="44" spans="1:13" ht="45" customHeight="1">
      <c r="A44" s="513"/>
      <c r="B44" s="514"/>
      <c r="C44" s="122">
        <f t="shared" si="2"/>
        <v>2900</v>
      </c>
      <c r="D44" s="300">
        <f t="shared" si="3"/>
        <v>1.9608713616060702E-2</v>
      </c>
      <c r="E44" s="300">
        <f t="shared" si="4"/>
        <v>1.6301894504897562E-2</v>
      </c>
      <c r="F44" s="357" t="s">
        <v>1124</v>
      </c>
      <c r="G44" s="45">
        <v>2500</v>
      </c>
      <c r="H44" s="354" t="s">
        <v>156</v>
      </c>
      <c r="I44" s="47" t="s">
        <v>969</v>
      </c>
      <c r="J44" s="356">
        <v>1.1599999999999999</v>
      </c>
      <c r="K44" s="350" t="s">
        <v>59</v>
      </c>
      <c r="L44" s="357" t="s">
        <v>1123</v>
      </c>
      <c r="M44" s="171" t="s">
        <v>1122</v>
      </c>
    </row>
    <row r="45" spans="1:13" ht="18.75" customHeight="1">
      <c r="A45" s="513"/>
      <c r="B45" s="514"/>
      <c r="C45" s="122">
        <f t="shared" si="2"/>
        <v>1035</v>
      </c>
      <c r="D45" s="300">
        <f t="shared" si="3"/>
        <v>6.9982822733182159E-3</v>
      </c>
      <c r="E45" s="300">
        <f t="shared" si="4"/>
        <v>5.8180899353686135E-3</v>
      </c>
      <c r="F45" s="147" t="s">
        <v>1121</v>
      </c>
      <c r="G45" s="45">
        <v>1500</v>
      </c>
      <c r="H45" s="354" t="s">
        <v>156</v>
      </c>
      <c r="I45" s="47" t="s">
        <v>969</v>
      </c>
      <c r="J45" s="356">
        <v>0.69</v>
      </c>
      <c r="K45" s="350" t="s">
        <v>59</v>
      </c>
      <c r="L45" s="336" t="s">
        <v>973</v>
      </c>
      <c r="M45" s="167"/>
    </row>
    <row r="46" spans="1:13" ht="18.75" customHeight="1">
      <c r="A46" s="513"/>
      <c r="B46" s="514"/>
      <c r="C46" s="122">
        <f t="shared" si="2"/>
        <v>2740</v>
      </c>
      <c r="D46" s="300">
        <f t="shared" si="3"/>
        <v>1.852685355448494E-2</v>
      </c>
      <c r="E46" s="300">
        <f t="shared" si="4"/>
        <v>1.5402479635661836E-2</v>
      </c>
      <c r="F46" s="355" t="s">
        <v>970</v>
      </c>
      <c r="G46" s="45">
        <v>2000</v>
      </c>
      <c r="H46" s="354" t="s">
        <v>156</v>
      </c>
      <c r="I46" s="47" t="s">
        <v>969</v>
      </c>
      <c r="J46" s="353">
        <v>1.37</v>
      </c>
      <c r="K46" s="350" t="s">
        <v>59</v>
      </c>
      <c r="L46" s="336" t="s">
        <v>968</v>
      </c>
      <c r="M46" s="167"/>
    </row>
    <row r="47" spans="1:13" ht="18.75" customHeight="1">
      <c r="A47" s="513"/>
      <c r="B47" s="514"/>
      <c r="C47" s="122">
        <f t="shared" si="2"/>
        <v>1545</v>
      </c>
      <c r="D47" s="300">
        <f t="shared" si="3"/>
        <v>1.0446711219590959E-2</v>
      </c>
      <c r="E47" s="300">
        <f t="shared" si="4"/>
        <v>8.6849748310574952E-3</v>
      </c>
      <c r="F47" s="153" t="s">
        <v>62</v>
      </c>
      <c r="G47" s="153">
        <v>100</v>
      </c>
      <c r="H47" s="352" t="s">
        <v>64</v>
      </c>
      <c r="I47" s="47" t="s">
        <v>966</v>
      </c>
      <c r="J47" s="351">
        <v>15.45</v>
      </c>
      <c r="K47" s="350" t="s">
        <v>59</v>
      </c>
      <c r="L47" s="336" t="s">
        <v>967</v>
      </c>
      <c r="M47" s="176"/>
    </row>
    <row r="48" spans="1:13" ht="18.75" customHeight="1">
      <c r="A48" s="515"/>
      <c r="B48" s="516"/>
      <c r="C48" s="122">
        <f t="shared" si="2"/>
        <v>324</v>
      </c>
      <c r="D48" s="300">
        <f t="shared" si="3"/>
        <v>2.1907666246909199E-3</v>
      </c>
      <c r="E48" s="300">
        <f t="shared" si="4"/>
        <v>1.8213151102023485E-3</v>
      </c>
      <c r="F48" s="153" t="s">
        <v>66</v>
      </c>
      <c r="G48" s="153">
        <v>60</v>
      </c>
      <c r="H48" s="352" t="s">
        <v>64</v>
      </c>
      <c r="I48" s="47" t="s">
        <v>966</v>
      </c>
      <c r="J48" s="351">
        <v>5.4</v>
      </c>
      <c r="K48" s="350" t="s">
        <v>59</v>
      </c>
      <c r="L48" s="336" t="s">
        <v>965</v>
      </c>
      <c r="M48" s="176"/>
    </row>
    <row r="49" spans="1:13" s="146" customFormat="1" ht="18.75" customHeight="1">
      <c r="A49" s="86">
        <v>2</v>
      </c>
      <c r="B49" s="71" t="s">
        <v>5</v>
      </c>
      <c r="C49" s="93">
        <f>SUM(C50:C51)</f>
        <v>15750</v>
      </c>
      <c r="D49" s="48">
        <f t="shared" si="3"/>
        <v>0.10649559981136415</v>
      </c>
      <c r="E49" s="48">
        <f t="shared" si="4"/>
        <v>8.8536151190391946E-2</v>
      </c>
      <c r="F49" s="314"/>
      <c r="G49" s="313"/>
      <c r="H49" s="313"/>
      <c r="I49" s="313"/>
      <c r="J49" s="313"/>
      <c r="K49" s="313"/>
      <c r="L49" s="313"/>
      <c r="M49" s="59"/>
    </row>
    <row r="50" spans="1:13" s="146" customFormat="1" ht="18.75" customHeight="1">
      <c r="A50" s="511" t="s">
        <v>104</v>
      </c>
      <c r="B50" s="512"/>
      <c r="C50" s="312">
        <f>+G50*J50</f>
        <v>11040</v>
      </c>
      <c r="D50" s="120">
        <f t="shared" si="3"/>
        <v>7.4648344248727641E-2</v>
      </c>
      <c r="E50" s="120">
        <f t="shared" si="4"/>
        <v>6.2059625977265206E-2</v>
      </c>
      <c r="F50" s="349" t="s">
        <v>1120</v>
      </c>
      <c r="G50" s="186">
        <v>3000</v>
      </c>
      <c r="H50" s="195" t="s">
        <v>1118</v>
      </c>
      <c r="I50" s="195" t="s">
        <v>568</v>
      </c>
      <c r="J50" s="348">
        <v>3.68</v>
      </c>
      <c r="K50" s="195" t="s">
        <v>254</v>
      </c>
      <c r="L50" s="138" t="s">
        <v>1119</v>
      </c>
      <c r="M50" s="176"/>
    </row>
    <row r="51" spans="1:13" s="146" customFormat="1" ht="18.75" customHeight="1">
      <c r="A51" s="513"/>
      <c r="B51" s="514"/>
      <c r="C51" s="312">
        <f>+G51*J51</f>
        <v>4710</v>
      </c>
      <c r="D51" s="120">
        <f t="shared" si="3"/>
        <v>3.1847255562636519E-2</v>
      </c>
      <c r="E51" s="120">
        <f t="shared" si="4"/>
        <v>2.6476525213126732E-2</v>
      </c>
      <c r="F51" s="345" t="s">
        <v>1097</v>
      </c>
      <c r="G51" s="347">
        <v>1500</v>
      </c>
      <c r="H51" s="346" t="s">
        <v>1118</v>
      </c>
      <c r="I51" s="195" t="s">
        <v>568</v>
      </c>
      <c r="J51" s="345">
        <v>3.14</v>
      </c>
      <c r="K51" s="195" t="s">
        <v>203</v>
      </c>
      <c r="L51" s="138" t="s">
        <v>1117</v>
      </c>
      <c r="M51" s="176"/>
    </row>
    <row r="52" spans="1:13" s="137" customFormat="1" ht="18.75" customHeight="1">
      <c r="A52" s="321">
        <v>3</v>
      </c>
      <c r="B52" s="323" t="s">
        <v>6</v>
      </c>
      <c r="C52" s="66">
        <f>SUM(C53:C58)</f>
        <v>4282.3500000000004</v>
      </c>
      <c r="D52" s="43">
        <f t="shared" si="3"/>
        <v>2.8955646466806054E-2</v>
      </c>
      <c r="E52" s="43">
        <f t="shared" si="4"/>
        <v>2.4072557907947618E-2</v>
      </c>
      <c r="F52" s="25"/>
      <c r="G52" s="25"/>
      <c r="H52" s="44"/>
      <c r="I52" s="44"/>
      <c r="J52" s="25"/>
      <c r="K52" s="44"/>
      <c r="L52" s="44"/>
      <c r="M52" s="57"/>
    </row>
    <row r="53" spans="1:13" s="137" customFormat="1" ht="18.75" customHeight="1">
      <c r="A53" s="431" t="s">
        <v>104</v>
      </c>
      <c r="B53" s="432"/>
      <c r="C53" s="117">
        <f t="shared" ref="C53:C58" si="5">+G53*J53</f>
        <v>343</v>
      </c>
      <c r="D53" s="116">
        <f t="shared" si="3"/>
        <v>2.3192375070030416E-3</v>
      </c>
      <c r="E53" s="116">
        <f t="shared" si="4"/>
        <v>1.9281206259240912E-3</v>
      </c>
      <c r="F53" s="318" t="s">
        <v>178</v>
      </c>
      <c r="G53" s="96">
        <v>1000</v>
      </c>
      <c r="H53" s="343" t="s">
        <v>561</v>
      </c>
      <c r="I53" s="343" t="s">
        <v>553</v>
      </c>
      <c r="J53" s="342">
        <v>0.34300000000000003</v>
      </c>
      <c r="K53" s="334" t="s">
        <v>205</v>
      </c>
      <c r="L53" s="318" t="s">
        <v>564</v>
      </c>
      <c r="M53" s="340"/>
    </row>
    <row r="54" spans="1:13" s="137" customFormat="1" ht="18.75" customHeight="1">
      <c r="A54" s="433"/>
      <c r="B54" s="434"/>
      <c r="C54" s="117">
        <f t="shared" si="5"/>
        <v>60.5</v>
      </c>
      <c r="D54" s="116">
        <f t="shared" si="3"/>
        <v>4.0907833578333533E-4</v>
      </c>
      <c r="E54" s="116">
        <f t="shared" si="4"/>
        <v>3.4009124742975951E-4</v>
      </c>
      <c r="F54" s="318" t="s">
        <v>169</v>
      </c>
      <c r="G54" s="96">
        <v>500</v>
      </c>
      <c r="H54" s="343" t="s">
        <v>561</v>
      </c>
      <c r="I54" s="343" t="s">
        <v>553</v>
      </c>
      <c r="J54" s="342">
        <v>0.121</v>
      </c>
      <c r="K54" s="334" t="s">
        <v>205</v>
      </c>
      <c r="L54" s="318" t="s">
        <v>563</v>
      </c>
      <c r="M54" s="340"/>
    </row>
    <row r="55" spans="1:13" s="137" customFormat="1" ht="18.75" customHeight="1">
      <c r="A55" s="433"/>
      <c r="B55" s="434"/>
      <c r="C55" s="117">
        <f t="shared" si="5"/>
        <v>608</v>
      </c>
      <c r="D55" s="116">
        <f t="shared" si="3"/>
        <v>4.1110682339878992E-3</v>
      </c>
      <c r="E55" s="116">
        <f t="shared" si="4"/>
        <v>3.4177765030957651E-3</v>
      </c>
      <c r="F55" s="318" t="s">
        <v>172</v>
      </c>
      <c r="G55" s="96">
        <v>4000</v>
      </c>
      <c r="H55" s="343" t="s">
        <v>561</v>
      </c>
      <c r="I55" s="343" t="s">
        <v>553</v>
      </c>
      <c r="J55" s="342">
        <v>0.152</v>
      </c>
      <c r="K55" s="334" t="s">
        <v>205</v>
      </c>
      <c r="L55" s="318" t="s">
        <v>562</v>
      </c>
      <c r="M55" s="340"/>
    </row>
    <row r="56" spans="1:13" s="137" customFormat="1" ht="18.75" customHeight="1">
      <c r="A56" s="433"/>
      <c r="B56" s="434"/>
      <c r="C56" s="117">
        <f t="shared" si="5"/>
        <v>1480</v>
      </c>
      <c r="D56" s="116">
        <f t="shared" si="3"/>
        <v>1.0007205569575807E-2</v>
      </c>
      <c r="E56" s="116">
        <f t="shared" si="4"/>
        <v>8.3195875404304814E-3</v>
      </c>
      <c r="F56" s="318" t="s">
        <v>180</v>
      </c>
      <c r="G56" s="96">
        <v>2000</v>
      </c>
      <c r="H56" s="343" t="s">
        <v>559</v>
      </c>
      <c r="I56" s="343" t="s">
        <v>553</v>
      </c>
      <c r="J56" s="342">
        <v>0.74</v>
      </c>
      <c r="K56" s="335" t="s">
        <v>374</v>
      </c>
      <c r="L56" s="318" t="s">
        <v>558</v>
      </c>
      <c r="M56" s="340"/>
    </row>
    <row r="57" spans="1:13" s="137" customFormat="1" ht="18.75" customHeight="1">
      <c r="A57" s="433"/>
      <c r="B57" s="434"/>
      <c r="C57" s="117">
        <f t="shared" si="5"/>
        <v>1770</v>
      </c>
      <c r="D57" s="116">
        <f t="shared" si="3"/>
        <v>1.1968076931181876E-2</v>
      </c>
      <c r="E57" s="116">
        <f t="shared" si="4"/>
        <v>9.9497769909202369E-3</v>
      </c>
      <c r="F57" s="318" t="s">
        <v>376</v>
      </c>
      <c r="G57" s="96">
        <v>50000</v>
      </c>
      <c r="H57" s="343" t="s">
        <v>557</v>
      </c>
      <c r="I57" s="343" t="s">
        <v>553</v>
      </c>
      <c r="J57" s="342">
        <v>3.5400000000000001E-2</v>
      </c>
      <c r="K57" s="335" t="s">
        <v>378</v>
      </c>
      <c r="L57" s="344" t="s">
        <v>556</v>
      </c>
      <c r="M57" s="340"/>
    </row>
    <row r="58" spans="1:13" s="137" customFormat="1" ht="18.75" customHeight="1">
      <c r="A58" s="435"/>
      <c r="B58" s="436"/>
      <c r="C58" s="117">
        <f t="shared" si="5"/>
        <v>20.849999999999998</v>
      </c>
      <c r="D58" s="116">
        <f t="shared" si="3"/>
        <v>1.4097988927409157E-4</v>
      </c>
      <c r="E58" s="116">
        <f t="shared" si="4"/>
        <v>1.1720500014728075E-4</v>
      </c>
      <c r="F58" s="318" t="s">
        <v>555</v>
      </c>
      <c r="G58" s="96">
        <v>1500</v>
      </c>
      <c r="H58" s="343" t="s">
        <v>554</v>
      </c>
      <c r="I58" s="343" t="s">
        <v>553</v>
      </c>
      <c r="J58" s="342">
        <v>1.3899999999999999E-2</v>
      </c>
      <c r="K58" s="335" t="s">
        <v>382</v>
      </c>
      <c r="L58" s="341" t="s">
        <v>552</v>
      </c>
      <c r="M58" s="340"/>
    </row>
    <row r="59" spans="1:13" s="146" customFormat="1" ht="18.75" customHeight="1">
      <c r="A59" s="86">
        <v>4</v>
      </c>
      <c r="B59" s="59" t="s">
        <v>7</v>
      </c>
      <c r="C59" s="67">
        <f>SUM(C60:C61)</f>
        <v>6221.1224999999995</v>
      </c>
      <c r="D59" s="48">
        <f t="shared" si="3"/>
        <v>4.2064899818252267E-2</v>
      </c>
      <c r="E59" s="48">
        <f t="shared" si="4"/>
        <v>3.4971062998980888E-2</v>
      </c>
      <c r="F59" s="26"/>
      <c r="G59" s="26"/>
      <c r="H59" s="46"/>
      <c r="I59" s="46"/>
      <c r="J59" s="46"/>
      <c r="K59" s="46"/>
      <c r="L59" s="46"/>
      <c r="M59" s="59"/>
    </row>
    <row r="60" spans="1:13" s="146" customFormat="1" ht="44.25" customHeight="1">
      <c r="A60" s="521" t="s">
        <v>649</v>
      </c>
      <c r="B60" s="522"/>
      <c r="C60" s="122">
        <v>0</v>
      </c>
      <c r="D60" s="118">
        <v>0</v>
      </c>
      <c r="E60" s="118">
        <v>0</v>
      </c>
      <c r="F60" s="136" t="s">
        <v>1116</v>
      </c>
      <c r="G60" s="98">
        <v>10000</v>
      </c>
      <c r="H60" s="31" t="s">
        <v>1115</v>
      </c>
      <c r="I60" s="136" t="s">
        <v>124</v>
      </c>
      <c r="J60" s="98">
        <v>10000</v>
      </c>
      <c r="K60" s="31" t="s">
        <v>1115</v>
      </c>
      <c r="L60" s="31" t="s">
        <v>125</v>
      </c>
      <c r="M60" s="177" t="s">
        <v>1114</v>
      </c>
    </row>
    <row r="61" spans="1:13" s="146" customFormat="1" ht="255" customHeight="1">
      <c r="A61" s="523"/>
      <c r="B61" s="524"/>
      <c r="C61" s="117">
        <f>+G61*J61</f>
        <v>6221.1224999999995</v>
      </c>
      <c r="D61" s="120">
        <f t="shared" ref="D61:D80" si="6">+C61/$C$104</f>
        <v>4.2064899818252267E-2</v>
      </c>
      <c r="E61" s="120">
        <f t="shared" ref="E61:E80" si="7">+C61/$C$107</f>
        <v>3.4971062998980888E-2</v>
      </c>
      <c r="F61" s="339" t="s">
        <v>1113</v>
      </c>
      <c r="G61" s="338">
        <f>(SUM(G9:G37,G41)+G38*0.9+G39*15+G40*15+G42*0.8+G43*0.8+G44*0.05)*500</f>
        <v>41752500</v>
      </c>
      <c r="H61" s="337" t="s">
        <v>659</v>
      </c>
      <c r="I61" s="311" t="s">
        <v>1112</v>
      </c>
      <c r="J61" s="324">
        <v>1.4899999999999999E-4</v>
      </c>
      <c r="K61" s="47" t="s">
        <v>657</v>
      </c>
      <c r="L61" s="153" t="s">
        <v>1111</v>
      </c>
      <c r="M61" s="176" t="s">
        <v>955</v>
      </c>
    </row>
    <row r="62" spans="1:13" s="18" customFormat="1" ht="18.75" customHeight="1">
      <c r="A62" s="86">
        <v>5</v>
      </c>
      <c r="B62" s="71" t="s">
        <v>8</v>
      </c>
      <c r="C62" s="67">
        <f>SUM(C63:C68)</f>
        <v>1279.6400000000001</v>
      </c>
      <c r="D62" s="48">
        <f t="shared" si="6"/>
        <v>8.6524463074675578E-3</v>
      </c>
      <c r="E62" s="48">
        <f t="shared" si="7"/>
        <v>7.1932952704300418E-3</v>
      </c>
      <c r="F62" s="26"/>
      <c r="G62" s="26"/>
      <c r="H62" s="46"/>
      <c r="I62" s="46"/>
      <c r="J62" s="46"/>
      <c r="K62" s="46"/>
      <c r="L62" s="46"/>
      <c r="M62" s="59"/>
    </row>
    <row r="63" spans="1:13" s="18" customFormat="1" ht="18.75" customHeight="1">
      <c r="A63" s="382" t="s">
        <v>649</v>
      </c>
      <c r="B63" s="383"/>
      <c r="C63" s="122">
        <f t="shared" ref="C63:C68" si="8">+G63*J63</f>
        <v>648.6</v>
      </c>
      <c r="D63" s="120">
        <f t="shared" si="6"/>
        <v>4.3855902246127485E-3</v>
      </c>
      <c r="E63" s="120">
        <f t="shared" si="7"/>
        <v>3.6460030261643312E-3</v>
      </c>
      <c r="F63" s="153" t="s">
        <v>19</v>
      </c>
      <c r="G63" s="45">
        <v>3000</v>
      </c>
      <c r="H63" s="47" t="s">
        <v>321</v>
      </c>
      <c r="I63" s="47" t="s">
        <v>83</v>
      </c>
      <c r="J63" s="47">
        <v>0.2162</v>
      </c>
      <c r="K63" s="47" t="s">
        <v>61</v>
      </c>
      <c r="L63" s="47" t="s">
        <v>1110</v>
      </c>
      <c r="M63" s="407" t="s">
        <v>949</v>
      </c>
    </row>
    <row r="64" spans="1:13" s="18" customFormat="1" ht="18.75" customHeight="1">
      <c r="A64" s="382"/>
      <c r="B64" s="383"/>
      <c r="C64" s="122">
        <f t="shared" si="8"/>
        <v>74.899999999999991</v>
      </c>
      <c r="D64" s="120">
        <f t="shared" si="6"/>
        <v>5.0644574132515394E-4</v>
      </c>
      <c r="E64" s="120">
        <f t="shared" si="7"/>
        <v>4.2103858566097495E-4</v>
      </c>
      <c r="F64" s="153" t="s">
        <v>764</v>
      </c>
      <c r="G64" s="45">
        <v>1000</v>
      </c>
      <c r="H64" s="47" t="s">
        <v>321</v>
      </c>
      <c r="I64" s="47" t="s">
        <v>83</v>
      </c>
      <c r="J64" s="47">
        <v>7.4899999999999994E-2</v>
      </c>
      <c r="K64" s="47" t="s">
        <v>61</v>
      </c>
      <c r="L64" s="47" t="s">
        <v>1108</v>
      </c>
      <c r="M64" s="408"/>
    </row>
    <row r="65" spans="1:13" s="18" customFormat="1" ht="18.75" customHeight="1">
      <c r="A65" s="382"/>
      <c r="B65" s="383"/>
      <c r="C65" s="122">
        <f t="shared" si="8"/>
        <v>14.61</v>
      </c>
      <c r="D65" s="120">
        <f t="shared" si="6"/>
        <v>9.8787346872636843E-5</v>
      </c>
      <c r="E65" s="120">
        <f t="shared" si="7"/>
        <v>8.2127820247087383E-5</v>
      </c>
      <c r="F65" s="153" t="s">
        <v>20</v>
      </c>
      <c r="G65" s="45">
        <v>300</v>
      </c>
      <c r="H65" s="47" t="s">
        <v>321</v>
      </c>
      <c r="I65" s="47" t="s">
        <v>83</v>
      </c>
      <c r="J65" s="47">
        <v>4.87E-2</v>
      </c>
      <c r="K65" s="47" t="s">
        <v>61</v>
      </c>
      <c r="L65" s="47" t="s">
        <v>1090</v>
      </c>
      <c r="M65" s="408"/>
    </row>
    <row r="66" spans="1:13" s="18" customFormat="1" ht="18.75" customHeight="1">
      <c r="A66" s="382"/>
      <c r="B66" s="383"/>
      <c r="C66" s="122">
        <f t="shared" si="8"/>
        <v>74.899999999999991</v>
      </c>
      <c r="D66" s="120">
        <f t="shared" si="6"/>
        <v>5.0644574132515394E-4</v>
      </c>
      <c r="E66" s="120">
        <f t="shared" si="7"/>
        <v>4.2103858566097495E-4</v>
      </c>
      <c r="F66" s="336" t="s">
        <v>1109</v>
      </c>
      <c r="G66" s="45">
        <v>1000</v>
      </c>
      <c r="H66" s="47" t="s">
        <v>1103</v>
      </c>
      <c r="I66" s="47" t="s">
        <v>85</v>
      </c>
      <c r="J66" s="47">
        <v>7.4899999999999994E-2</v>
      </c>
      <c r="K66" s="47" t="s">
        <v>61</v>
      </c>
      <c r="L66" s="47" t="s">
        <v>1108</v>
      </c>
      <c r="M66" s="176" t="s">
        <v>1107</v>
      </c>
    </row>
    <row r="67" spans="1:13" s="18" customFormat="1" ht="18.75" customHeight="1">
      <c r="A67" s="382"/>
      <c r="B67" s="383"/>
      <c r="C67" s="122">
        <f t="shared" si="8"/>
        <v>436.95</v>
      </c>
      <c r="D67" s="120">
        <f t="shared" si="6"/>
        <v>2.9544922119095597E-3</v>
      </c>
      <c r="E67" s="120">
        <f t="shared" si="7"/>
        <v>2.456245794453445E-3</v>
      </c>
      <c r="F67" s="336" t="s">
        <v>1106</v>
      </c>
      <c r="G67" s="45">
        <v>500</v>
      </c>
      <c r="H67" s="47" t="s">
        <v>1103</v>
      </c>
      <c r="I67" s="47" t="s">
        <v>85</v>
      </c>
      <c r="J67" s="47">
        <v>0.87390000000000001</v>
      </c>
      <c r="K67" s="47" t="s">
        <v>61</v>
      </c>
      <c r="L67" s="47" t="s">
        <v>538</v>
      </c>
      <c r="M67" s="176" t="s">
        <v>1105</v>
      </c>
    </row>
    <row r="68" spans="1:13" s="18" customFormat="1" ht="18.75" customHeight="1">
      <c r="A68" s="382"/>
      <c r="B68" s="383"/>
      <c r="C68" s="122">
        <f t="shared" si="8"/>
        <v>29.68</v>
      </c>
      <c r="D68" s="120">
        <f t="shared" si="6"/>
        <v>2.0068504142230402E-4</v>
      </c>
      <c r="E68" s="120">
        <f t="shared" si="7"/>
        <v>1.6684145824322747E-4</v>
      </c>
      <c r="F68" s="153" t="s">
        <v>1104</v>
      </c>
      <c r="G68" s="153">
        <v>200</v>
      </c>
      <c r="H68" s="45" t="s">
        <v>1103</v>
      </c>
      <c r="I68" s="47" t="s">
        <v>85</v>
      </c>
      <c r="J68" s="47">
        <v>0.1484</v>
      </c>
      <c r="K68" s="47" t="s">
        <v>61</v>
      </c>
      <c r="L68" s="47" t="s">
        <v>627</v>
      </c>
      <c r="M68" s="176" t="s">
        <v>82</v>
      </c>
    </row>
    <row r="69" spans="1:13" s="146" customFormat="1" ht="18.75" customHeight="1">
      <c r="A69" s="86">
        <v>6</v>
      </c>
      <c r="B69" s="59" t="s">
        <v>9</v>
      </c>
      <c r="C69" s="67">
        <f>SUM(C70:C72)</f>
        <v>12608</v>
      </c>
      <c r="D69" s="48">
        <f t="shared" si="6"/>
        <v>8.5250572852170109E-2</v>
      </c>
      <c r="E69" s="48">
        <f t="shared" si="7"/>
        <v>7.0873891695775335E-2</v>
      </c>
      <c r="F69" s="26"/>
      <c r="G69" s="313"/>
      <c r="H69" s="46"/>
      <c r="I69" s="46"/>
      <c r="J69" s="46"/>
      <c r="K69" s="46"/>
      <c r="L69" s="46"/>
      <c r="M69" s="59"/>
    </row>
    <row r="70" spans="1:13" s="146" customFormat="1" ht="18.75" customHeight="1">
      <c r="A70" s="511" t="s">
        <v>1102</v>
      </c>
      <c r="B70" s="512"/>
      <c r="C70" s="121">
        <f>+G70*J70</f>
        <v>1370</v>
      </c>
      <c r="D70" s="120">
        <f t="shared" si="6"/>
        <v>9.26342677724247E-3</v>
      </c>
      <c r="E70" s="120">
        <f t="shared" si="7"/>
        <v>7.7012398178309179E-3</v>
      </c>
      <c r="F70" s="335" t="s">
        <v>191</v>
      </c>
      <c r="G70" s="186">
        <v>1000</v>
      </c>
      <c r="H70" s="320" t="s">
        <v>185</v>
      </c>
      <c r="I70" s="320" t="s">
        <v>214</v>
      </c>
      <c r="J70" s="332">
        <v>1.37</v>
      </c>
      <c r="K70" s="316" t="s">
        <v>207</v>
      </c>
      <c r="L70" s="330" t="s">
        <v>186</v>
      </c>
      <c r="M70" s="176"/>
    </row>
    <row r="71" spans="1:13" s="146" customFormat="1" ht="18.75" customHeight="1">
      <c r="A71" s="513"/>
      <c r="B71" s="514"/>
      <c r="C71" s="121">
        <f>+G71*J71</f>
        <v>9630</v>
      </c>
      <c r="D71" s="120">
        <f t="shared" si="6"/>
        <v>6.5114452456091224E-2</v>
      </c>
      <c r="E71" s="120">
        <f t="shared" si="7"/>
        <v>5.4133532442125355E-2</v>
      </c>
      <c r="F71" s="334" t="s">
        <v>187</v>
      </c>
      <c r="G71" s="186">
        <v>3000</v>
      </c>
      <c r="H71" s="320" t="s">
        <v>185</v>
      </c>
      <c r="I71" s="320" t="s">
        <v>214</v>
      </c>
      <c r="J71" s="332">
        <v>3.21</v>
      </c>
      <c r="K71" s="316" t="s">
        <v>207</v>
      </c>
      <c r="L71" s="329" t="s">
        <v>188</v>
      </c>
      <c r="M71" s="176"/>
    </row>
    <row r="72" spans="1:13" s="146" customFormat="1" ht="18.75" customHeight="1">
      <c r="A72" s="515"/>
      <c r="B72" s="516"/>
      <c r="C72" s="121">
        <f>+G72*J72</f>
        <v>1607.9999999999998</v>
      </c>
      <c r="D72" s="120">
        <f t="shared" si="6"/>
        <v>1.0872693618836415E-2</v>
      </c>
      <c r="E72" s="120">
        <f t="shared" si="7"/>
        <v>9.0391194358190614E-3</v>
      </c>
      <c r="F72" s="333" t="s">
        <v>189</v>
      </c>
      <c r="G72" s="186">
        <v>800</v>
      </c>
      <c r="H72" s="320" t="s">
        <v>185</v>
      </c>
      <c r="I72" s="320" t="s">
        <v>214</v>
      </c>
      <c r="J72" s="332">
        <v>2.0099999999999998</v>
      </c>
      <c r="K72" s="316" t="s">
        <v>207</v>
      </c>
      <c r="L72" s="329" t="s">
        <v>190</v>
      </c>
      <c r="M72" s="176"/>
    </row>
    <row r="73" spans="1:13" s="146" customFormat="1" ht="18.75" customHeight="1">
      <c r="A73" s="86">
        <v>7</v>
      </c>
      <c r="B73" s="59" t="s">
        <v>10</v>
      </c>
      <c r="C73" s="67">
        <f>SUM(C74:C76)</f>
        <v>9218.3972169512963</v>
      </c>
      <c r="D73" s="48">
        <f t="shared" si="6"/>
        <v>6.2331348629754812E-2</v>
      </c>
      <c r="E73" s="48">
        <f t="shared" si="7"/>
        <v>5.1819772046545289E-2</v>
      </c>
      <c r="F73" s="26"/>
      <c r="G73" s="313"/>
      <c r="H73" s="46"/>
      <c r="I73" s="46"/>
      <c r="J73" s="331"/>
      <c r="K73" s="46"/>
      <c r="L73" s="46"/>
      <c r="M73" s="59"/>
    </row>
    <row r="74" spans="1:13" s="146" customFormat="1" ht="18.75" customHeight="1">
      <c r="A74" s="511" t="s">
        <v>1102</v>
      </c>
      <c r="B74" s="512"/>
      <c r="C74" s="122">
        <f>+G74*J74</f>
        <v>685</v>
      </c>
      <c r="D74" s="120">
        <f t="shared" si="6"/>
        <v>4.631713388621235E-3</v>
      </c>
      <c r="E74" s="120">
        <f t="shared" si="7"/>
        <v>3.850619908915459E-3</v>
      </c>
      <c r="F74" s="319" t="s">
        <v>192</v>
      </c>
      <c r="G74" s="186">
        <v>500</v>
      </c>
      <c r="H74" s="320" t="s">
        <v>185</v>
      </c>
      <c r="I74" s="320" t="s">
        <v>214</v>
      </c>
      <c r="J74" s="322">
        <v>1.37</v>
      </c>
      <c r="K74" s="316" t="s">
        <v>207</v>
      </c>
      <c r="L74" s="330" t="s">
        <v>193</v>
      </c>
      <c r="M74" s="176"/>
    </row>
    <row r="75" spans="1:13" s="146" customFormat="1" ht="18.75" customHeight="1">
      <c r="A75" s="513"/>
      <c r="B75" s="514"/>
      <c r="C75" s="122">
        <f>+G75*J75</f>
        <v>121</v>
      </c>
      <c r="D75" s="120">
        <f t="shared" si="6"/>
        <v>8.1815667156667066E-4</v>
      </c>
      <c r="E75" s="120">
        <f t="shared" si="7"/>
        <v>6.8018249485951902E-4</v>
      </c>
      <c r="F75" s="319" t="s">
        <v>194</v>
      </c>
      <c r="G75" s="186">
        <v>50</v>
      </c>
      <c r="H75" s="320" t="s">
        <v>185</v>
      </c>
      <c r="I75" s="320" t="s">
        <v>214</v>
      </c>
      <c r="J75" s="322">
        <v>2.42</v>
      </c>
      <c r="K75" s="316" t="s">
        <v>203</v>
      </c>
      <c r="L75" s="329" t="s">
        <v>195</v>
      </c>
      <c r="M75" s="176"/>
    </row>
    <row r="76" spans="1:13" s="146" customFormat="1" ht="30" customHeight="1">
      <c r="A76" s="513"/>
      <c r="B76" s="514"/>
      <c r="C76" s="122">
        <f>+G76*J76</f>
        <v>8412.3972169512963</v>
      </c>
      <c r="D76" s="120">
        <f t="shared" si="6"/>
        <v>5.6881478569566907E-2</v>
      </c>
      <c r="E76" s="120">
        <f t="shared" si="7"/>
        <v>4.7288969642770309E-2</v>
      </c>
      <c r="F76" s="319" t="s">
        <v>196</v>
      </c>
      <c r="G76" s="186">
        <v>500</v>
      </c>
      <c r="H76" s="320" t="s">
        <v>185</v>
      </c>
      <c r="I76" s="320" t="s">
        <v>214</v>
      </c>
      <c r="J76" s="328">
        <v>16.824794433902593</v>
      </c>
      <c r="K76" s="316" t="s">
        <v>203</v>
      </c>
      <c r="L76" s="327" t="s">
        <v>197</v>
      </c>
      <c r="M76" s="176" t="s">
        <v>198</v>
      </c>
    </row>
    <row r="77" spans="1:13" s="146" customFormat="1" ht="18.75" customHeight="1">
      <c r="A77" s="86">
        <v>8</v>
      </c>
      <c r="B77" s="59" t="s">
        <v>11</v>
      </c>
      <c r="C77" s="93">
        <f>SUM(C78:C78)</f>
        <v>12.875</v>
      </c>
      <c r="D77" s="48">
        <f t="shared" si="6"/>
        <v>8.705592682992467E-5</v>
      </c>
      <c r="E77" s="48">
        <f t="shared" si="7"/>
        <v>7.2374790258812458E-5</v>
      </c>
      <c r="F77" s="314"/>
      <c r="G77" s="313"/>
      <c r="H77" s="313"/>
      <c r="I77" s="313"/>
      <c r="J77" s="313"/>
      <c r="K77" s="313"/>
      <c r="L77" s="313"/>
      <c r="M77" s="59"/>
    </row>
    <row r="78" spans="1:13" s="146" customFormat="1" ht="45" customHeight="1">
      <c r="A78" s="511" t="s">
        <v>218</v>
      </c>
      <c r="B78" s="518"/>
      <c r="C78" s="326">
        <f>+G78*J78</f>
        <v>12.875</v>
      </c>
      <c r="D78" s="120">
        <f t="shared" si="6"/>
        <v>8.705592682992467E-5</v>
      </c>
      <c r="E78" s="120">
        <f t="shared" si="7"/>
        <v>7.2374790258812458E-5</v>
      </c>
      <c r="F78" s="311" t="s">
        <v>107</v>
      </c>
      <c r="G78" s="186">
        <v>500</v>
      </c>
      <c r="H78" s="186" t="s">
        <v>519</v>
      </c>
      <c r="I78" s="195" t="s">
        <v>110</v>
      </c>
      <c r="J78" s="195">
        <f>0.103*3/12</f>
        <v>2.5749999999999999E-2</v>
      </c>
      <c r="K78" s="195" t="s">
        <v>518</v>
      </c>
      <c r="L78" s="311" t="s">
        <v>280</v>
      </c>
      <c r="M78" s="176" t="s">
        <v>109</v>
      </c>
    </row>
    <row r="79" spans="1:13" s="146" customFormat="1" ht="18.75" customHeight="1">
      <c r="A79" s="86">
        <v>9</v>
      </c>
      <c r="B79" s="59" t="s">
        <v>12</v>
      </c>
      <c r="C79" s="93">
        <f>SUM(C80:C80)</f>
        <v>4.47</v>
      </c>
      <c r="D79" s="48">
        <f t="shared" si="6"/>
        <v>3.0224465470272871E-5</v>
      </c>
      <c r="E79" s="48">
        <f t="shared" si="7"/>
        <v>2.512740290927314E-5</v>
      </c>
      <c r="F79" s="314"/>
      <c r="G79" s="313"/>
      <c r="H79" s="313"/>
      <c r="I79" s="313"/>
      <c r="J79" s="313"/>
      <c r="K79" s="313"/>
      <c r="L79" s="313"/>
      <c r="M79" s="59"/>
    </row>
    <row r="80" spans="1:13" s="146" customFormat="1" ht="90" customHeight="1">
      <c r="A80" s="515" t="s">
        <v>1102</v>
      </c>
      <c r="B80" s="517"/>
      <c r="C80" s="326">
        <f>+G80*J80</f>
        <v>4.47</v>
      </c>
      <c r="D80" s="120">
        <f t="shared" si="6"/>
        <v>3.0224465470272871E-5</v>
      </c>
      <c r="E80" s="120">
        <f t="shared" si="7"/>
        <v>2.512740290927314E-5</v>
      </c>
      <c r="F80" s="311" t="s">
        <v>939</v>
      </c>
      <c r="G80" s="325">
        <f>100000*0.001*60/100*500</f>
        <v>30000</v>
      </c>
      <c r="H80" s="186" t="s">
        <v>1101</v>
      </c>
      <c r="I80" s="311" t="s">
        <v>1100</v>
      </c>
      <c r="J80" s="324">
        <v>1.4899999999999999E-4</v>
      </c>
      <c r="K80" s="47" t="s">
        <v>1099</v>
      </c>
      <c r="L80" s="153" t="s">
        <v>1098</v>
      </c>
      <c r="M80" s="176"/>
    </row>
    <row r="81" spans="1:13" s="146" customFormat="1" ht="18.75" customHeight="1">
      <c r="A81" s="86">
        <v>10</v>
      </c>
      <c r="B81" s="71" t="s">
        <v>13</v>
      </c>
      <c r="C81" s="487" t="s">
        <v>936</v>
      </c>
      <c r="D81" s="438"/>
      <c r="E81" s="438"/>
      <c r="F81" s="438"/>
      <c r="G81" s="438"/>
      <c r="H81" s="438"/>
      <c r="I81" s="438"/>
      <c r="J81" s="438"/>
      <c r="K81" s="438"/>
      <c r="L81" s="438"/>
      <c r="M81" s="439"/>
    </row>
    <row r="82" spans="1:13" s="13" customFormat="1" ht="18.75" customHeight="1">
      <c r="A82" s="321">
        <v>11</v>
      </c>
      <c r="B82" s="323" t="s">
        <v>14</v>
      </c>
      <c r="C82" s="93">
        <f>SUM(C83:C83)</f>
        <v>7.7199999999999989</v>
      </c>
      <c r="D82" s="48">
        <f t="shared" ref="D82:D88" si="9">+C82/$C$104</f>
        <v>5.2199747971030551E-5</v>
      </c>
      <c r="E82" s="48">
        <f t="shared" ref="E82:E88" si="10">+C82/$C$107</f>
        <v>4.339676744062385E-5</v>
      </c>
      <c r="F82" s="314"/>
      <c r="G82" s="313"/>
      <c r="H82" s="313"/>
      <c r="I82" s="313"/>
      <c r="J82" s="313"/>
      <c r="K82" s="313"/>
      <c r="L82" s="313"/>
      <c r="M82" s="59"/>
    </row>
    <row r="83" spans="1:13" s="13" customFormat="1" ht="105" customHeight="1">
      <c r="A83" s="431" t="s">
        <v>935</v>
      </c>
      <c r="B83" s="432"/>
      <c r="C83" s="122">
        <f>+G83*J83</f>
        <v>7.7199999999999989</v>
      </c>
      <c r="D83" s="120">
        <f t="shared" si="9"/>
        <v>5.2199747971030551E-5</v>
      </c>
      <c r="E83" s="120">
        <f t="shared" si="10"/>
        <v>4.339676744062385E-5</v>
      </c>
      <c r="F83" s="319" t="s">
        <v>1097</v>
      </c>
      <c r="G83" s="186">
        <v>200000</v>
      </c>
      <c r="H83" s="320" t="s">
        <v>221</v>
      </c>
      <c r="I83" s="320" t="s">
        <v>1096</v>
      </c>
      <c r="J83" s="322">
        <f>0.000579*8/60*0.5</f>
        <v>3.8599999999999996E-5</v>
      </c>
      <c r="K83" s="316" t="s">
        <v>932</v>
      </c>
      <c r="L83" s="315" t="s">
        <v>1095</v>
      </c>
      <c r="M83" s="176" t="s">
        <v>1094</v>
      </c>
    </row>
    <row r="84" spans="1:13" s="146" customFormat="1" ht="18.75" customHeight="1">
      <c r="A84" s="86">
        <v>12</v>
      </c>
      <c r="B84" s="71" t="s">
        <v>15</v>
      </c>
      <c r="C84" s="67">
        <f>SUM(C85:C85)</f>
        <v>24.35</v>
      </c>
      <c r="D84" s="48">
        <f t="shared" si="9"/>
        <v>1.6464557812106141E-4</v>
      </c>
      <c r="E84" s="48">
        <f t="shared" si="10"/>
        <v>1.368797004118123E-4</v>
      </c>
      <c r="F84" s="25"/>
      <c r="G84" s="25"/>
      <c r="H84" s="27"/>
      <c r="I84" s="25"/>
      <c r="J84" s="25"/>
      <c r="K84" s="25"/>
      <c r="L84" s="25"/>
      <c r="M84" s="61"/>
    </row>
    <row r="85" spans="1:13" s="146" customFormat="1" ht="45" customHeight="1">
      <c r="A85" s="513" t="s">
        <v>1093</v>
      </c>
      <c r="B85" s="529"/>
      <c r="C85" s="312">
        <f>+G85*J85</f>
        <v>24.35</v>
      </c>
      <c r="D85" s="120">
        <f t="shared" si="9"/>
        <v>1.6464557812106141E-4</v>
      </c>
      <c r="E85" s="120">
        <f t="shared" si="10"/>
        <v>1.368797004118123E-4</v>
      </c>
      <c r="F85" s="318" t="s">
        <v>1092</v>
      </c>
      <c r="G85" s="186">
        <v>500</v>
      </c>
      <c r="H85" s="186" t="s">
        <v>825</v>
      </c>
      <c r="I85" s="188" t="s">
        <v>1091</v>
      </c>
      <c r="J85" s="47">
        <v>4.87E-2</v>
      </c>
      <c r="K85" s="47" t="s">
        <v>61</v>
      </c>
      <c r="L85" s="47" t="s">
        <v>1090</v>
      </c>
      <c r="M85" s="213" t="s">
        <v>1089</v>
      </c>
    </row>
    <row r="86" spans="1:13" s="13" customFormat="1" ht="18.75" customHeight="1">
      <c r="A86" s="321">
        <v>13</v>
      </c>
      <c r="B86" s="61" t="s">
        <v>491</v>
      </c>
      <c r="C86" s="67">
        <f>SUM(C87:C88)</f>
        <v>980</v>
      </c>
      <c r="D86" s="48">
        <f t="shared" si="9"/>
        <v>6.6263928771515476E-3</v>
      </c>
      <c r="E86" s="48">
        <f t="shared" si="10"/>
        <v>5.5089160740688318E-3</v>
      </c>
      <c r="F86" s="25"/>
      <c r="G86" s="25"/>
      <c r="H86" s="27"/>
      <c r="I86" s="25"/>
      <c r="J86" s="25"/>
      <c r="K86" s="25"/>
      <c r="L86" s="25"/>
      <c r="M86" s="61"/>
    </row>
    <row r="87" spans="1:13" s="13" customFormat="1" ht="45" customHeight="1">
      <c r="A87" s="431" t="s">
        <v>1088</v>
      </c>
      <c r="B87" s="432"/>
      <c r="C87" s="122">
        <f>+G87*J87</f>
        <v>980</v>
      </c>
      <c r="D87" s="120">
        <f t="shared" si="9"/>
        <v>6.6263928771515476E-3</v>
      </c>
      <c r="E87" s="120">
        <f t="shared" si="10"/>
        <v>5.5089160740688318E-3</v>
      </c>
      <c r="F87" s="319" t="s">
        <v>489</v>
      </c>
      <c r="G87" s="186">
        <v>10000</v>
      </c>
      <c r="H87" s="320" t="s">
        <v>488</v>
      </c>
      <c r="I87" s="320" t="s">
        <v>487</v>
      </c>
      <c r="J87" s="317">
        <f>0.098</f>
        <v>9.8000000000000004E-2</v>
      </c>
      <c r="K87" s="316" t="s">
        <v>486</v>
      </c>
      <c r="L87" s="315" t="s">
        <v>485</v>
      </c>
      <c r="M87" s="176"/>
    </row>
    <row r="88" spans="1:13" s="13" customFormat="1" ht="45" customHeight="1">
      <c r="A88" s="435"/>
      <c r="B88" s="436"/>
      <c r="C88" s="122">
        <f>+G88*J88</f>
        <v>0</v>
      </c>
      <c r="D88" s="120">
        <f t="shared" si="9"/>
        <v>0</v>
      </c>
      <c r="E88" s="120">
        <f t="shared" si="10"/>
        <v>0</v>
      </c>
      <c r="F88" s="319" t="s">
        <v>1087</v>
      </c>
      <c r="G88" s="186"/>
      <c r="H88" s="318"/>
      <c r="I88" s="318"/>
      <c r="J88" s="317"/>
      <c r="K88" s="316"/>
      <c r="L88" s="315"/>
      <c r="M88" s="176" t="s">
        <v>886</v>
      </c>
    </row>
    <row r="89" spans="1:13" s="146" customFormat="1" ht="18.75" customHeight="1">
      <c r="A89" s="86">
        <v>14</v>
      </c>
      <c r="B89" s="71" t="s">
        <v>479</v>
      </c>
      <c r="C89" s="519" t="s">
        <v>1086</v>
      </c>
      <c r="D89" s="519"/>
      <c r="E89" s="519"/>
      <c r="F89" s="519"/>
      <c r="G89" s="519"/>
      <c r="H89" s="519"/>
      <c r="I89" s="519"/>
      <c r="J89" s="519"/>
      <c r="K89" s="519"/>
      <c r="L89" s="519"/>
      <c r="M89" s="520"/>
    </row>
    <row r="90" spans="1:13" s="146" customFormat="1" ht="30" customHeight="1">
      <c r="A90" s="86">
        <v>15</v>
      </c>
      <c r="B90" s="71" t="s">
        <v>1</v>
      </c>
      <c r="C90" s="93">
        <f>SUM(C91:C102)</f>
        <v>4736.1796399423383</v>
      </c>
      <c r="D90" s="48">
        <f t="shared" ref="D90:D102" si="11">+C90/$C$104</f>
        <v>3.2024272480636828E-2</v>
      </c>
      <c r="E90" s="48">
        <f t="shared" ref="E90:E102" si="12">+C90/$C$107</f>
        <v>2.6623689947097837E-2</v>
      </c>
      <c r="F90" s="314" t="s">
        <v>86</v>
      </c>
      <c r="G90" s="103" t="s">
        <v>102</v>
      </c>
      <c r="H90" s="103" t="s">
        <v>126</v>
      </c>
      <c r="I90" s="313" t="s">
        <v>101</v>
      </c>
      <c r="J90" s="314" t="s">
        <v>89</v>
      </c>
      <c r="K90" s="314" t="s">
        <v>97</v>
      </c>
      <c r="L90" s="313" t="s">
        <v>117</v>
      </c>
      <c r="M90" s="59"/>
    </row>
    <row r="91" spans="1:13" s="146" customFormat="1" ht="18.75" customHeight="1">
      <c r="A91" s="382" t="s">
        <v>105</v>
      </c>
      <c r="B91" s="383"/>
      <c r="C91" s="312">
        <f t="shared" ref="C91:C102" si="13">+J91*K91</f>
        <v>1076.6919222103725</v>
      </c>
      <c r="D91" s="120">
        <f t="shared" si="11"/>
        <v>7.2801874328790005E-3</v>
      </c>
      <c r="E91" s="120">
        <f t="shared" si="12"/>
        <v>6.0524545276375401E-3</v>
      </c>
      <c r="F91" s="311" t="s">
        <v>297</v>
      </c>
      <c r="G91" s="186">
        <v>111452494</v>
      </c>
      <c r="H91" s="186">
        <v>1200000</v>
      </c>
      <c r="I91" s="195" t="s">
        <v>88</v>
      </c>
      <c r="J91" s="310">
        <f t="shared" ref="J91:J102" si="14">H91/G91</f>
        <v>1.0766919222103724E-2</v>
      </c>
      <c r="K91" s="186">
        <v>100000</v>
      </c>
      <c r="L91" s="195" t="s">
        <v>90</v>
      </c>
      <c r="M91" s="176"/>
    </row>
    <row r="92" spans="1:13" s="146" customFormat="1" ht="18.75" customHeight="1">
      <c r="A92" s="382"/>
      <c r="B92" s="383"/>
      <c r="C92" s="312">
        <f t="shared" si="13"/>
        <v>264.1765969135302</v>
      </c>
      <c r="D92" s="120">
        <f t="shared" si="11"/>
        <v>1.7862631837734205E-3</v>
      </c>
      <c r="E92" s="120">
        <f t="shared" si="12"/>
        <v>1.4850272460507645E-3</v>
      </c>
      <c r="F92" s="311" t="s">
        <v>298</v>
      </c>
      <c r="G92" s="186">
        <v>416376020</v>
      </c>
      <c r="H92" s="186">
        <v>687480</v>
      </c>
      <c r="I92" s="195" t="s">
        <v>88</v>
      </c>
      <c r="J92" s="310">
        <f t="shared" si="14"/>
        <v>1.6511037307095639E-3</v>
      </c>
      <c r="K92" s="186">
        <v>160000</v>
      </c>
      <c r="L92" s="195" t="s">
        <v>91</v>
      </c>
      <c r="M92" s="176"/>
    </row>
    <row r="93" spans="1:13" s="146" customFormat="1" ht="18.75" customHeight="1">
      <c r="A93" s="382"/>
      <c r="B93" s="383"/>
      <c r="C93" s="312">
        <f t="shared" si="13"/>
        <v>19.042509489546724</v>
      </c>
      <c r="D93" s="120">
        <f t="shared" si="11"/>
        <v>1.2875831555573793E-4</v>
      </c>
      <c r="E93" s="120">
        <f t="shared" si="12"/>
        <v>1.0704447614037981E-4</v>
      </c>
      <c r="F93" s="311" t="s">
        <v>299</v>
      </c>
      <c r="G93" s="186">
        <v>415352294</v>
      </c>
      <c r="H93" s="186">
        <v>158187</v>
      </c>
      <c r="I93" s="195" t="s">
        <v>88</v>
      </c>
      <c r="J93" s="310">
        <f t="shared" si="14"/>
        <v>3.8085018979093445E-4</v>
      </c>
      <c r="K93" s="186">
        <v>50000</v>
      </c>
      <c r="L93" s="195" t="s">
        <v>92</v>
      </c>
      <c r="M93" s="176"/>
    </row>
    <row r="94" spans="1:13" s="146" customFormat="1" ht="18.75" customHeight="1">
      <c r="A94" s="382"/>
      <c r="B94" s="383"/>
      <c r="C94" s="312">
        <f t="shared" si="13"/>
        <v>43.625767034497109</v>
      </c>
      <c r="D94" s="120">
        <f t="shared" si="11"/>
        <v>2.9498109381394331E-4</v>
      </c>
      <c r="E94" s="120">
        <f t="shared" si="12"/>
        <v>2.4523539720400336E-4</v>
      </c>
      <c r="F94" s="311" t="s">
        <v>300</v>
      </c>
      <c r="G94" s="186">
        <v>1237800586</v>
      </c>
      <c r="H94" s="186">
        <v>900000</v>
      </c>
      <c r="I94" s="195" t="s">
        <v>88</v>
      </c>
      <c r="J94" s="310">
        <f t="shared" si="14"/>
        <v>7.2709611724161842E-4</v>
      </c>
      <c r="K94" s="186">
        <v>60000</v>
      </c>
      <c r="L94" s="195" t="s">
        <v>93</v>
      </c>
      <c r="M94" s="176"/>
    </row>
    <row r="95" spans="1:13" s="146" customFormat="1" ht="18.75" customHeight="1">
      <c r="A95" s="382"/>
      <c r="B95" s="383"/>
      <c r="C95" s="312">
        <f t="shared" si="13"/>
        <v>107.43490759668525</v>
      </c>
      <c r="D95" s="120">
        <f t="shared" si="11"/>
        <v>7.2643459842460184E-4</v>
      </c>
      <c r="E95" s="120">
        <f t="shared" si="12"/>
        <v>6.0392845854640722E-4</v>
      </c>
      <c r="F95" s="311" t="s">
        <v>301</v>
      </c>
      <c r="G95" s="186">
        <v>1737940900</v>
      </c>
      <c r="H95" s="186">
        <v>2333944</v>
      </c>
      <c r="I95" s="195" t="s">
        <v>88</v>
      </c>
      <c r="J95" s="310">
        <f t="shared" si="14"/>
        <v>1.3429363449585657E-3</v>
      </c>
      <c r="K95" s="186">
        <v>80000</v>
      </c>
      <c r="L95" s="195" t="s">
        <v>94</v>
      </c>
      <c r="M95" s="176"/>
    </row>
    <row r="96" spans="1:13" s="146" customFormat="1" ht="18.75" customHeight="1">
      <c r="A96" s="382"/>
      <c r="B96" s="383"/>
      <c r="C96" s="312">
        <f t="shared" si="13"/>
        <v>277.39352083240539</v>
      </c>
      <c r="D96" s="120">
        <f t="shared" si="11"/>
        <v>1.8756310720528984E-3</v>
      </c>
      <c r="E96" s="120">
        <f t="shared" si="12"/>
        <v>1.5593241079144748E-3</v>
      </c>
      <c r="F96" s="311" t="s">
        <v>302</v>
      </c>
      <c r="G96" s="186">
        <v>551521094</v>
      </c>
      <c r="H96" s="186">
        <v>1509029</v>
      </c>
      <c r="I96" s="195" t="s">
        <v>88</v>
      </c>
      <c r="J96" s="310">
        <f t="shared" si="14"/>
        <v>2.7361220022529185E-3</v>
      </c>
      <c r="K96" s="186">
        <v>101382</v>
      </c>
      <c r="L96" s="195" t="s">
        <v>95</v>
      </c>
      <c r="M96" s="176"/>
    </row>
    <row r="97" spans="1:13" s="146" customFormat="1" ht="18.75" customHeight="1">
      <c r="A97" s="382"/>
      <c r="B97" s="383"/>
      <c r="C97" s="312">
        <f t="shared" si="13"/>
        <v>512.89707709331537</v>
      </c>
      <c r="D97" s="120">
        <f t="shared" si="11"/>
        <v>3.4680178962887684E-3</v>
      </c>
      <c r="E97" s="120">
        <f t="shared" si="12"/>
        <v>2.8831703595329447E-3</v>
      </c>
      <c r="F97" s="311" t="s">
        <v>303</v>
      </c>
      <c r="G97" s="186">
        <v>700480693</v>
      </c>
      <c r="H97" s="186">
        <v>1381825</v>
      </c>
      <c r="I97" s="195" t="s">
        <v>88</v>
      </c>
      <c r="J97" s="310">
        <f t="shared" si="14"/>
        <v>1.9726810657435209E-3</v>
      </c>
      <c r="K97" s="186">
        <v>260000</v>
      </c>
      <c r="L97" s="195" t="s">
        <v>96</v>
      </c>
      <c r="M97" s="176"/>
    </row>
    <row r="98" spans="1:13" s="146" customFormat="1" ht="18.75" customHeight="1">
      <c r="A98" s="382"/>
      <c r="B98" s="383"/>
      <c r="C98" s="312">
        <f t="shared" si="13"/>
        <v>0</v>
      </c>
      <c r="D98" s="120">
        <f t="shared" si="11"/>
        <v>0</v>
      </c>
      <c r="E98" s="120">
        <f t="shared" si="12"/>
        <v>0</v>
      </c>
      <c r="F98" s="311" t="s">
        <v>304</v>
      </c>
      <c r="G98" s="186">
        <v>28149877</v>
      </c>
      <c r="H98" s="186">
        <v>971000</v>
      </c>
      <c r="I98" s="195" t="s">
        <v>88</v>
      </c>
      <c r="J98" s="310">
        <f t="shared" si="14"/>
        <v>3.449393402322859E-2</v>
      </c>
      <c r="K98" s="186">
        <v>0</v>
      </c>
      <c r="L98" s="195" t="s">
        <v>98</v>
      </c>
      <c r="M98" s="176"/>
    </row>
    <row r="99" spans="1:13" s="146" customFormat="1" ht="18.75" customHeight="1">
      <c r="A99" s="382"/>
      <c r="B99" s="383"/>
      <c r="C99" s="312">
        <f t="shared" si="13"/>
        <v>1771.2732742793926</v>
      </c>
      <c r="D99" s="120">
        <f t="shared" si="11"/>
        <v>1.1976686334871292E-2</v>
      </c>
      <c r="E99" s="120">
        <f t="shared" si="12"/>
        <v>9.9569345022921182E-3</v>
      </c>
      <c r="F99" s="311" t="s">
        <v>305</v>
      </c>
      <c r="G99" s="186">
        <v>271056029</v>
      </c>
      <c r="H99" s="186">
        <v>1600381</v>
      </c>
      <c r="I99" s="195" t="s">
        <v>88</v>
      </c>
      <c r="J99" s="310">
        <f t="shared" si="14"/>
        <v>5.9042442475979754E-3</v>
      </c>
      <c r="K99" s="186">
        <v>300000</v>
      </c>
      <c r="L99" s="195" t="s">
        <v>99</v>
      </c>
      <c r="M99" s="176"/>
    </row>
    <row r="100" spans="1:13" s="146" customFormat="1" ht="18.75" customHeight="1">
      <c r="A100" s="382"/>
      <c r="B100" s="383"/>
      <c r="C100" s="312">
        <f t="shared" si="13"/>
        <v>503.4498897353115</v>
      </c>
      <c r="D100" s="120">
        <f t="shared" si="11"/>
        <v>3.4041395544334697E-3</v>
      </c>
      <c r="E100" s="120">
        <f t="shared" si="12"/>
        <v>2.8300644796439168E-3</v>
      </c>
      <c r="F100" s="311" t="s">
        <v>306</v>
      </c>
      <c r="G100" s="186">
        <v>1075540607</v>
      </c>
      <c r="H100" s="186">
        <v>1289240</v>
      </c>
      <c r="I100" s="195" t="s">
        <v>88</v>
      </c>
      <c r="J100" s="310">
        <f t="shared" si="14"/>
        <v>1.1986902136555035E-3</v>
      </c>
      <c r="K100" s="186">
        <v>420000</v>
      </c>
      <c r="L100" s="195" t="s">
        <v>116</v>
      </c>
      <c r="M100" s="176"/>
    </row>
    <row r="101" spans="1:13" s="146" customFormat="1" ht="18.75" customHeight="1">
      <c r="A101" s="382"/>
      <c r="B101" s="383"/>
      <c r="C101" s="312">
        <f t="shared" si="13"/>
        <v>0</v>
      </c>
      <c r="D101" s="120">
        <f t="shared" si="11"/>
        <v>0</v>
      </c>
      <c r="E101" s="120">
        <f t="shared" si="12"/>
        <v>0</v>
      </c>
      <c r="F101" s="311" t="s">
        <v>307</v>
      </c>
      <c r="G101" s="186">
        <v>490727495</v>
      </c>
      <c r="H101" s="186">
        <v>1822688</v>
      </c>
      <c r="I101" s="195" t="s">
        <v>88</v>
      </c>
      <c r="J101" s="310">
        <f t="shared" si="14"/>
        <v>3.7142569319454986E-3</v>
      </c>
      <c r="K101" s="186">
        <v>0</v>
      </c>
      <c r="L101" s="195" t="s">
        <v>98</v>
      </c>
      <c r="M101" s="176"/>
    </row>
    <row r="102" spans="1:13" s="146" customFormat="1" ht="18.75" customHeight="1">
      <c r="A102" s="382"/>
      <c r="B102" s="383"/>
      <c r="C102" s="312">
        <f t="shared" si="13"/>
        <v>160.19417475728153</v>
      </c>
      <c r="D102" s="120">
        <f t="shared" si="11"/>
        <v>1.0831729985436944E-3</v>
      </c>
      <c r="E102" s="120">
        <f t="shared" si="12"/>
        <v>9.0050639213528543E-4</v>
      </c>
      <c r="F102" s="311" t="s">
        <v>308</v>
      </c>
      <c r="G102" s="186">
        <v>206000000</v>
      </c>
      <c r="H102" s="186">
        <v>66000</v>
      </c>
      <c r="I102" s="195" t="s">
        <v>88</v>
      </c>
      <c r="J102" s="310">
        <f t="shared" si="14"/>
        <v>3.2038834951456308E-4</v>
      </c>
      <c r="K102" s="186">
        <v>500000</v>
      </c>
      <c r="L102" s="195" t="s">
        <v>100</v>
      </c>
      <c r="M102" s="176"/>
    </row>
    <row r="103" spans="1:13" s="137" customFormat="1" ht="18.75" customHeight="1" thickBot="1">
      <c r="A103" s="309">
        <v>16</v>
      </c>
      <c r="B103" s="308" t="s">
        <v>0</v>
      </c>
      <c r="C103" s="377" t="s">
        <v>46</v>
      </c>
      <c r="D103" s="377"/>
      <c r="E103" s="377"/>
      <c r="F103" s="377"/>
      <c r="G103" s="377"/>
      <c r="H103" s="377"/>
      <c r="I103" s="377"/>
      <c r="J103" s="377"/>
      <c r="K103" s="377"/>
      <c r="L103" s="378"/>
      <c r="M103" s="64"/>
    </row>
    <row r="104" spans="1:13" ht="18.75" customHeight="1" thickBot="1">
      <c r="A104" s="527" t="s">
        <v>17</v>
      </c>
      <c r="B104" s="528"/>
      <c r="C104" s="307">
        <f>SUM(C90,C86,C84,C82,C81,C77,C73,C69,C62,C59,C52,C49,C8)</f>
        <v>147893.43435689365</v>
      </c>
      <c r="D104" s="306">
        <f>+C104/$C$104</f>
        <v>1</v>
      </c>
      <c r="E104" s="306">
        <f>+C104/$C$107</f>
        <v>0.83135971201830106</v>
      </c>
      <c r="F104" s="305"/>
      <c r="G104" s="305"/>
      <c r="H104" s="304"/>
      <c r="I104" s="304"/>
      <c r="J104" s="304"/>
      <c r="K104" s="304"/>
      <c r="L104" s="304"/>
      <c r="M104" s="303"/>
    </row>
    <row r="105" spans="1:13" ht="18.75" customHeight="1" thickTop="1">
      <c r="A105" s="525" t="s">
        <v>310</v>
      </c>
      <c r="B105" s="526"/>
      <c r="C105" s="302">
        <v>10000</v>
      </c>
      <c r="D105" s="301"/>
      <c r="E105" s="300">
        <f>+C105/$C$107</f>
        <v>5.6213429327232979E-2</v>
      </c>
      <c r="F105" s="299"/>
      <c r="G105" s="299"/>
      <c r="H105" s="298"/>
      <c r="I105" s="298"/>
      <c r="J105" s="298"/>
      <c r="K105" s="298"/>
      <c r="L105" s="298"/>
      <c r="M105" s="297"/>
    </row>
    <row r="106" spans="1:13" ht="18.75" customHeight="1" thickBot="1">
      <c r="A106" s="507" t="s">
        <v>311</v>
      </c>
      <c r="B106" s="508"/>
      <c r="C106" s="296">
        <v>20000</v>
      </c>
      <c r="D106" s="295"/>
      <c r="E106" s="294">
        <f>+C106/$C$107</f>
        <v>0.11242685865446596</v>
      </c>
      <c r="F106" s="293"/>
      <c r="G106" s="293"/>
      <c r="H106" s="292"/>
      <c r="I106" s="292"/>
      <c r="J106" s="292"/>
      <c r="K106" s="292"/>
      <c r="L106" s="292"/>
      <c r="M106" s="291"/>
    </row>
    <row r="107" spans="1:13" ht="18.75" customHeight="1" thickTop="1" thickBot="1">
      <c r="A107" s="509" t="s">
        <v>18</v>
      </c>
      <c r="B107" s="510"/>
      <c r="C107" s="290">
        <f>SUM(C104:C106)</f>
        <v>177893.43435689365</v>
      </c>
      <c r="D107" s="289"/>
      <c r="E107" s="288">
        <f>+C107/$C$107</f>
        <v>1</v>
      </c>
      <c r="F107" s="287"/>
      <c r="G107" s="287"/>
      <c r="H107" s="286"/>
      <c r="I107" s="286"/>
      <c r="J107" s="286"/>
      <c r="K107" s="286"/>
      <c r="L107" s="286"/>
      <c r="M107" s="285"/>
    </row>
    <row r="109" spans="1:13" ht="14.25" thickBot="1">
      <c r="E109" s="373" t="s">
        <v>23</v>
      </c>
      <c r="F109" s="374"/>
      <c r="G109" s="172" t="s">
        <v>309</v>
      </c>
      <c r="H109" s="172" t="s">
        <v>27</v>
      </c>
    </row>
    <row r="110" spans="1:13" ht="14.25" thickTop="1">
      <c r="E110" s="52" t="s">
        <v>310</v>
      </c>
      <c r="F110" s="53"/>
      <c r="G110" s="7">
        <f>C105</f>
        <v>10000</v>
      </c>
      <c r="H110" s="9">
        <f t="shared" ref="H110:H126" si="15">G110/$G$127</f>
        <v>5.6212016865236865E-2</v>
      </c>
    </row>
    <row r="111" spans="1:13">
      <c r="E111" s="54" t="s">
        <v>311</v>
      </c>
      <c r="F111" s="55"/>
      <c r="G111" s="7">
        <f>C106</f>
        <v>20000</v>
      </c>
      <c r="H111" s="9">
        <f t="shared" si="15"/>
        <v>0.11242403373047373</v>
      </c>
    </row>
    <row r="112" spans="1:13">
      <c r="E112" s="5" t="s">
        <v>484</v>
      </c>
      <c r="F112" s="5" t="s">
        <v>4</v>
      </c>
      <c r="G112" s="8">
        <f>C8</f>
        <v>92772.800000000003</v>
      </c>
      <c r="H112" s="9">
        <f t="shared" si="15"/>
        <v>0.52149461982352463</v>
      </c>
    </row>
    <row r="113" spans="5:9">
      <c r="E113" s="16" t="s">
        <v>483</v>
      </c>
      <c r="F113" s="16" t="s">
        <v>5</v>
      </c>
      <c r="G113" s="8">
        <f>C49</f>
        <v>15750</v>
      </c>
      <c r="H113" s="9">
        <f t="shared" si="15"/>
        <v>8.8533926562748055E-2</v>
      </c>
    </row>
    <row r="114" spans="5:9">
      <c r="E114" s="5" t="s">
        <v>482</v>
      </c>
      <c r="F114" s="16" t="s">
        <v>6</v>
      </c>
      <c r="G114" s="8">
        <f>C52</f>
        <v>4282.3500000000004</v>
      </c>
      <c r="H114" s="9">
        <f t="shared" si="15"/>
        <v>2.4071953042284711E-2</v>
      </c>
    </row>
    <row r="115" spans="5:9">
      <c r="E115" s="16" t="s">
        <v>481</v>
      </c>
      <c r="F115" s="16" t="s">
        <v>7</v>
      </c>
      <c r="G115" s="8">
        <f>C59</f>
        <v>6221.1224999999995</v>
      </c>
      <c r="H115" s="9">
        <f t="shared" si="15"/>
        <v>3.497018428907045E-2</v>
      </c>
    </row>
    <row r="116" spans="5:9">
      <c r="E116" s="5" t="s">
        <v>480</v>
      </c>
      <c r="F116" s="154" t="s">
        <v>8</v>
      </c>
      <c r="G116" s="8">
        <f>C62</f>
        <v>1279.6400000000001</v>
      </c>
      <c r="H116" s="9">
        <f t="shared" si="15"/>
        <v>7.1931145261431703E-3</v>
      </c>
    </row>
    <row r="117" spans="5:9">
      <c r="E117" s="5" t="s">
        <v>133</v>
      </c>
      <c r="F117" s="16" t="s">
        <v>9</v>
      </c>
      <c r="G117" s="8">
        <f>C69</f>
        <v>12608</v>
      </c>
      <c r="H117" s="9">
        <f t="shared" si="15"/>
        <v>7.0872110863690635E-2</v>
      </c>
    </row>
    <row r="118" spans="5:9">
      <c r="E118" s="16" t="s">
        <v>134</v>
      </c>
      <c r="F118" s="16" t="s">
        <v>10</v>
      </c>
      <c r="G118" s="8">
        <f>C73</f>
        <v>9218.3972169512963</v>
      </c>
      <c r="H118" s="9">
        <f t="shared" si="15"/>
        <v>5.1818469982971883E-2</v>
      </c>
    </row>
    <row r="119" spans="5:9">
      <c r="E119" s="5" t="s">
        <v>135</v>
      </c>
      <c r="F119" s="16" t="s">
        <v>11</v>
      </c>
      <c r="G119" s="8">
        <f>C77</f>
        <v>12.875</v>
      </c>
      <c r="H119" s="9">
        <f t="shared" si="15"/>
        <v>7.2372971713992464E-5</v>
      </c>
    </row>
    <row r="120" spans="5:9">
      <c r="E120" s="16" t="s">
        <v>136</v>
      </c>
      <c r="F120" s="16" t="s">
        <v>12</v>
      </c>
      <c r="G120" s="8">
        <f>C79</f>
        <v>4.47</v>
      </c>
      <c r="H120" s="9">
        <f t="shared" si="15"/>
        <v>2.5126771538760875E-5</v>
      </c>
    </row>
    <row r="121" spans="5:9">
      <c r="E121" s="5" t="s">
        <v>137</v>
      </c>
      <c r="F121" s="16" t="s">
        <v>13</v>
      </c>
      <c r="G121" s="28">
        <v>0</v>
      </c>
      <c r="H121" s="9">
        <f t="shared" si="15"/>
        <v>0</v>
      </c>
    </row>
    <row r="122" spans="5:9">
      <c r="E122" s="5" t="s">
        <v>138</v>
      </c>
      <c r="F122" s="12" t="s">
        <v>14</v>
      </c>
      <c r="G122" s="8">
        <f>C82</f>
        <v>7.7199999999999989</v>
      </c>
      <c r="H122" s="9">
        <f t="shared" si="15"/>
        <v>4.3395677019962851E-5</v>
      </c>
    </row>
    <row r="123" spans="5:9">
      <c r="E123" s="16" t="s">
        <v>139</v>
      </c>
      <c r="F123" s="16" t="s">
        <v>15</v>
      </c>
      <c r="G123" s="8">
        <f>C84</f>
        <v>24.35</v>
      </c>
      <c r="H123" s="9">
        <f t="shared" si="15"/>
        <v>1.3687626106685178E-4</v>
      </c>
    </row>
    <row r="124" spans="5:9">
      <c r="E124" s="5" t="s">
        <v>140</v>
      </c>
      <c r="F124" s="19" t="s">
        <v>2</v>
      </c>
      <c r="G124" s="8">
        <f>C86</f>
        <v>980</v>
      </c>
      <c r="H124" s="9">
        <f t="shared" si="15"/>
        <v>5.5087776527932121E-3</v>
      </c>
    </row>
    <row r="125" spans="5:9">
      <c r="E125" s="16" t="s">
        <v>141</v>
      </c>
      <c r="F125" s="16" t="s">
        <v>479</v>
      </c>
      <c r="G125" s="28">
        <v>0</v>
      </c>
      <c r="H125" s="9">
        <f t="shared" si="15"/>
        <v>0</v>
      </c>
    </row>
    <row r="126" spans="5:9" ht="14.25" thickBot="1">
      <c r="E126" s="5" t="s">
        <v>142</v>
      </c>
      <c r="F126" s="80" t="s">
        <v>1</v>
      </c>
      <c r="G126" s="6">
        <f>C90</f>
        <v>4736.1796399423383</v>
      </c>
      <c r="H126" s="81">
        <f t="shared" si="15"/>
        <v>2.6623020979723019E-2</v>
      </c>
    </row>
    <row r="127" spans="5:9" ht="14.25" thickTop="1">
      <c r="E127" s="375" t="s">
        <v>18</v>
      </c>
      <c r="F127" s="376"/>
      <c r="G127" s="7">
        <f>SUM(G110:G126)</f>
        <v>177897.90435689365</v>
      </c>
      <c r="H127" s="9">
        <f>G127/G127</f>
        <v>1</v>
      </c>
      <c r="I127" s="51"/>
    </row>
  </sheetData>
  <mergeCells count="30">
    <mergeCell ref="A9:B48"/>
    <mergeCell ref="A60:B61"/>
    <mergeCell ref="M63:M65"/>
    <mergeCell ref="E109:F109"/>
    <mergeCell ref="A53:B58"/>
    <mergeCell ref="A50:B51"/>
    <mergeCell ref="A105:B105"/>
    <mergeCell ref="A91:B102"/>
    <mergeCell ref="A104:B104"/>
    <mergeCell ref="A85:B85"/>
    <mergeCell ref="A87:B88"/>
    <mergeCell ref="E127:F127"/>
    <mergeCell ref="C103:L103"/>
    <mergeCell ref="A106:B106"/>
    <mergeCell ref="A107:B107"/>
    <mergeCell ref="A63:B68"/>
    <mergeCell ref="A70:B72"/>
    <mergeCell ref="A83:B83"/>
    <mergeCell ref="A80:B80"/>
    <mergeCell ref="C81:M81"/>
    <mergeCell ref="A74:B76"/>
    <mergeCell ref="A78:B78"/>
    <mergeCell ref="C89:M89"/>
    <mergeCell ref="M6:M7"/>
    <mergeCell ref="A6:B7"/>
    <mergeCell ref="C6:C7"/>
    <mergeCell ref="D6:E6"/>
    <mergeCell ref="F6:F7"/>
    <mergeCell ref="J6:L6"/>
    <mergeCell ref="G6:I6"/>
  </mergeCells>
  <phoneticPr fontId="3"/>
  <pageMargins left="0.70866141732283472" right="0.70866141732283472" top="0.74803149606299213" bottom="0.74803149606299213" header="0.31496062992125984" footer="0.31496062992125984"/>
  <pageSetup paperSize="8" scale="45" fitToHeight="2" orientation="landscape" r:id="rId1"/>
  <rowBreaks count="1" manualBreakCount="1">
    <brk id="68"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view="pageBreakPreview" zoomScale="80" zoomScaleNormal="85" zoomScaleSheetLayoutView="80" workbookViewId="0">
      <pane ySplit="7" topLeftCell="A8" activePane="bottomLeft" state="frozen"/>
      <selection pane="bottomLeft"/>
    </sheetView>
  </sheetViews>
  <sheetFormatPr defaultRowHeight="13.5"/>
  <cols>
    <col min="1" max="1" width="3.5" bestFit="1" customWidth="1"/>
    <col min="2" max="2" width="29.875" customWidth="1"/>
    <col min="3" max="3" width="10.875" style="3" customWidth="1"/>
    <col min="4" max="4" width="7.875" style="4" bestFit="1" customWidth="1"/>
    <col min="5" max="5" width="9.875" style="4" bestFit="1" customWidth="1"/>
    <col min="6" max="6" width="24.75" style="1" customWidth="1"/>
    <col min="7" max="7" width="13.125" style="1" customWidth="1"/>
    <col min="8" max="8" width="13.125" customWidth="1"/>
    <col min="9" max="9" width="40" customWidth="1"/>
    <col min="10" max="11" width="13.125" customWidth="1"/>
    <col min="12" max="12" width="40" customWidth="1"/>
    <col min="13" max="13" width="65.75" style="1" customWidth="1"/>
  </cols>
  <sheetData>
    <row r="1" spans="1:13" s="29" customFormat="1">
      <c r="C1" s="3"/>
      <c r="D1" s="4"/>
      <c r="E1" s="4"/>
      <c r="F1" s="1"/>
      <c r="G1" s="1"/>
      <c r="M1" s="1"/>
    </row>
    <row r="2" spans="1:13" s="29" customFormat="1">
      <c r="B2" s="29" t="s">
        <v>151</v>
      </c>
      <c r="C2" s="3"/>
      <c r="D2" s="4"/>
      <c r="E2" s="4"/>
      <c r="F2" s="1"/>
      <c r="G2" s="1"/>
      <c r="M2" s="1"/>
    </row>
    <row r="3" spans="1:13" s="29" customFormat="1">
      <c r="B3" s="29" t="s">
        <v>220</v>
      </c>
      <c r="C3" s="3"/>
      <c r="D3" s="4"/>
      <c r="E3" s="4"/>
      <c r="F3" s="1"/>
      <c r="G3" s="1"/>
      <c r="M3" s="1"/>
    </row>
    <row r="4" spans="1:13" s="29" customFormat="1">
      <c r="C4" s="3"/>
      <c r="D4" s="4"/>
      <c r="E4" s="4"/>
      <c r="F4" s="1"/>
      <c r="G4" s="1"/>
      <c r="M4" s="1"/>
    </row>
    <row r="5" spans="1:13" s="29" customFormat="1" ht="14.25" thickBot="1">
      <c r="C5" s="3"/>
      <c r="D5" s="4"/>
      <c r="E5" s="4"/>
      <c r="F5" s="1"/>
      <c r="G5" s="1"/>
      <c r="M5" s="1"/>
    </row>
    <row r="6" spans="1:13" ht="14.25" thickBot="1">
      <c r="A6" s="412" t="s">
        <v>48</v>
      </c>
      <c r="B6" s="412"/>
      <c r="C6" s="413" t="s">
        <v>49</v>
      </c>
      <c r="D6" s="415" t="s">
        <v>121</v>
      </c>
      <c r="E6" s="415"/>
      <c r="F6" s="416" t="s">
        <v>16</v>
      </c>
      <c r="G6" s="417" t="s">
        <v>50</v>
      </c>
      <c r="H6" s="418"/>
      <c r="I6" s="419"/>
      <c r="J6" s="412" t="s">
        <v>51</v>
      </c>
      <c r="K6" s="412"/>
      <c r="L6" s="412"/>
      <c r="M6" s="410" t="s">
        <v>43</v>
      </c>
    </row>
    <row r="7" spans="1:13" s="2" customFormat="1" ht="14.25" thickBot="1">
      <c r="A7" s="412"/>
      <c r="B7" s="412"/>
      <c r="C7" s="414"/>
      <c r="D7" s="90" t="s">
        <v>52</v>
      </c>
      <c r="E7" s="90" t="s">
        <v>53</v>
      </c>
      <c r="F7" s="416"/>
      <c r="G7" s="91" t="s">
        <v>54</v>
      </c>
      <c r="H7" s="92" t="s">
        <v>55</v>
      </c>
      <c r="I7" s="92" t="s">
        <v>56</v>
      </c>
      <c r="J7" s="92" t="s">
        <v>57</v>
      </c>
      <c r="K7" s="92" t="s">
        <v>55</v>
      </c>
      <c r="L7" s="109" t="s">
        <v>56</v>
      </c>
      <c r="M7" s="411"/>
    </row>
    <row r="8" spans="1:13" ht="18.75" customHeight="1">
      <c r="A8" s="89">
        <v>1</v>
      </c>
      <c r="B8" s="68" t="s">
        <v>4</v>
      </c>
      <c r="C8" s="65">
        <f>SUM(C9:C22)</f>
        <v>110062.94</v>
      </c>
      <c r="D8" s="36">
        <f t="shared" ref="D8:D55" si="0">+C8/$C$78</f>
        <v>0.49442757569326151</v>
      </c>
      <c r="E8" s="36">
        <f t="shared" ref="E8:E55" si="1">+C8/$C$81</f>
        <v>0.23288480025081709</v>
      </c>
      <c r="F8" s="24"/>
      <c r="G8" s="24"/>
      <c r="H8" s="35"/>
      <c r="I8" s="35"/>
      <c r="J8" s="35"/>
      <c r="K8" s="35"/>
      <c r="L8" s="35"/>
      <c r="M8" s="56"/>
    </row>
    <row r="9" spans="1:13" s="14" customFormat="1" ht="18.75" customHeight="1">
      <c r="A9" s="423" t="s">
        <v>215</v>
      </c>
      <c r="B9" s="424"/>
      <c r="C9" s="125">
        <f>+G9*J9</f>
        <v>682.80000000000007</v>
      </c>
      <c r="D9" s="124">
        <f t="shared" si="0"/>
        <v>3.0672917576375753E-3</v>
      </c>
      <c r="E9" s="124">
        <f t="shared" si="1"/>
        <v>1.4447528079048035E-3</v>
      </c>
      <c r="F9" s="131" t="s">
        <v>143</v>
      </c>
      <c r="G9" s="132">
        <v>60</v>
      </c>
      <c r="H9" s="110" t="s">
        <v>157</v>
      </c>
      <c r="I9" s="126" t="s">
        <v>144</v>
      </c>
      <c r="J9" s="127">
        <v>11.38</v>
      </c>
      <c r="K9" s="158" t="s">
        <v>59</v>
      </c>
      <c r="L9" s="147" t="s">
        <v>162</v>
      </c>
      <c r="M9" s="104"/>
    </row>
    <row r="10" spans="1:13" s="14" customFormat="1" ht="18.75" customHeight="1">
      <c r="A10" s="425"/>
      <c r="B10" s="426"/>
      <c r="C10" s="125">
        <f t="shared" ref="C10:C18" si="2">+G10*J10</f>
        <v>7140</v>
      </c>
      <c r="D10" s="124">
        <f t="shared" si="0"/>
        <v>3.2074492017475517E-2</v>
      </c>
      <c r="E10" s="124">
        <f t="shared" si="1"/>
        <v>1.5107696321675888E-2</v>
      </c>
      <c r="F10" s="131" t="s">
        <v>145</v>
      </c>
      <c r="G10" s="132">
        <v>1000</v>
      </c>
      <c r="H10" s="110" t="s">
        <v>157</v>
      </c>
      <c r="I10" s="126" t="s">
        <v>144</v>
      </c>
      <c r="J10" s="127">
        <v>7.14</v>
      </c>
      <c r="K10" s="158" t="s">
        <v>59</v>
      </c>
      <c r="L10" s="147" t="s">
        <v>164</v>
      </c>
      <c r="M10" s="104" t="s">
        <v>158</v>
      </c>
    </row>
    <row r="11" spans="1:13" s="14" customFormat="1" ht="18.75" customHeight="1">
      <c r="A11" s="425"/>
      <c r="B11" s="426"/>
      <c r="C11" s="125">
        <f t="shared" si="2"/>
        <v>47700</v>
      </c>
      <c r="D11" s="124">
        <f t="shared" si="0"/>
        <v>0.21427916936044569</v>
      </c>
      <c r="E11" s="124">
        <f t="shared" si="1"/>
        <v>0.1009295678632969</v>
      </c>
      <c r="F11" s="131" t="s">
        <v>146</v>
      </c>
      <c r="G11" s="132">
        <v>6000</v>
      </c>
      <c r="H11" s="110" t="s">
        <v>157</v>
      </c>
      <c r="I11" s="126" t="s">
        <v>144</v>
      </c>
      <c r="J11" s="127">
        <v>7.95</v>
      </c>
      <c r="K11" s="158" t="s">
        <v>59</v>
      </c>
      <c r="L11" s="147" t="s">
        <v>163</v>
      </c>
      <c r="M11" s="104" t="s">
        <v>159</v>
      </c>
    </row>
    <row r="12" spans="1:13" s="14" customFormat="1" ht="18.75" customHeight="1">
      <c r="A12" s="425"/>
      <c r="B12" s="426"/>
      <c r="C12" s="125">
        <f t="shared" si="2"/>
        <v>0</v>
      </c>
      <c r="D12" s="124">
        <f t="shared" si="0"/>
        <v>0</v>
      </c>
      <c r="E12" s="124">
        <f t="shared" si="1"/>
        <v>0</v>
      </c>
      <c r="F12" s="131" t="s">
        <v>147</v>
      </c>
      <c r="G12" s="133">
        <v>200</v>
      </c>
      <c r="H12" s="110" t="s">
        <v>157</v>
      </c>
      <c r="I12" s="126" t="s">
        <v>144</v>
      </c>
      <c r="J12" s="127">
        <v>0</v>
      </c>
      <c r="K12" s="158" t="s">
        <v>59</v>
      </c>
      <c r="L12" s="147" t="s">
        <v>165</v>
      </c>
      <c r="M12" s="104"/>
    </row>
    <row r="13" spans="1:13" ht="18.75" customHeight="1">
      <c r="A13" s="425"/>
      <c r="B13" s="426"/>
      <c r="C13" s="125">
        <f t="shared" si="2"/>
        <v>475</v>
      </c>
      <c r="D13" s="124">
        <f t="shared" si="0"/>
        <v>2.1338072420589455E-3</v>
      </c>
      <c r="E13" s="124">
        <f t="shared" si="1"/>
        <v>1.0050638309238161E-3</v>
      </c>
      <c r="F13" s="131" t="s">
        <v>148</v>
      </c>
      <c r="G13" s="132">
        <v>500</v>
      </c>
      <c r="H13" s="110" t="s">
        <v>149</v>
      </c>
      <c r="I13" s="126" t="s">
        <v>144</v>
      </c>
      <c r="J13" s="115">
        <v>0.95</v>
      </c>
      <c r="K13" s="158" t="s">
        <v>160</v>
      </c>
      <c r="L13" s="147" t="s">
        <v>150</v>
      </c>
      <c r="M13" s="104"/>
    </row>
    <row r="14" spans="1:13" ht="18.75" customHeight="1">
      <c r="A14" s="425"/>
      <c r="B14" s="426"/>
      <c r="C14" s="125">
        <f t="shared" si="2"/>
        <v>686.5</v>
      </c>
      <c r="D14" s="124">
        <f t="shared" si="0"/>
        <v>3.083912992996771E-3</v>
      </c>
      <c r="E14" s="124">
        <f t="shared" si="1"/>
        <v>1.4525817261667362E-3</v>
      </c>
      <c r="F14" s="136" t="s">
        <v>152</v>
      </c>
      <c r="G14" s="37">
        <v>50</v>
      </c>
      <c r="H14" s="110" t="s">
        <v>157</v>
      </c>
      <c r="I14" s="126" t="s">
        <v>144</v>
      </c>
      <c r="J14" s="31">
        <v>13.73</v>
      </c>
      <c r="K14" s="158" t="s">
        <v>59</v>
      </c>
      <c r="L14" s="147" t="s">
        <v>166</v>
      </c>
      <c r="M14" s="104"/>
    </row>
    <row r="15" spans="1:13" ht="18.75" customHeight="1">
      <c r="A15" s="425"/>
      <c r="B15" s="426"/>
      <c r="C15" s="125">
        <f t="shared" si="2"/>
        <v>3570</v>
      </c>
      <c r="D15" s="124">
        <f t="shared" si="0"/>
        <v>1.6037246008737759E-2</v>
      </c>
      <c r="E15" s="124">
        <f t="shared" si="1"/>
        <v>7.5538481608379438E-3</v>
      </c>
      <c r="F15" s="136" t="s">
        <v>154</v>
      </c>
      <c r="G15" s="37">
        <v>500</v>
      </c>
      <c r="H15" s="110" t="s">
        <v>157</v>
      </c>
      <c r="I15" s="126" t="s">
        <v>144</v>
      </c>
      <c r="J15" s="127">
        <v>7.14</v>
      </c>
      <c r="K15" s="158" t="s">
        <v>59</v>
      </c>
      <c r="L15" s="147" t="s">
        <v>164</v>
      </c>
      <c r="M15" s="104" t="s">
        <v>158</v>
      </c>
    </row>
    <row r="16" spans="1:13" s="130" customFormat="1" ht="18.75" customHeight="1">
      <c r="A16" s="425"/>
      <c r="B16" s="426"/>
      <c r="C16" s="125">
        <f t="shared" ref="C16" si="3">+G16*J16</f>
        <v>23850</v>
      </c>
      <c r="D16" s="124">
        <f t="shared" si="0"/>
        <v>0.10713958468022285</v>
      </c>
      <c r="E16" s="124">
        <f t="shared" si="1"/>
        <v>5.0464783931648452E-2</v>
      </c>
      <c r="F16" s="136" t="s">
        <v>155</v>
      </c>
      <c r="G16" s="37">
        <v>3000</v>
      </c>
      <c r="H16" s="110" t="s">
        <v>157</v>
      </c>
      <c r="I16" s="126" t="s">
        <v>161</v>
      </c>
      <c r="J16" s="127">
        <v>7.95</v>
      </c>
      <c r="K16" s="158" t="s">
        <v>59</v>
      </c>
      <c r="L16" s="147" t="s">
        <v>163</v>
      </c>
      <c r="M16" s="104" t="s">
        <v>159</v>
      </c>
    </row>
    <row r="17" spans="1:13" ht="18.75" customHeight="1">
      <c r="A17" s="425"/>
      <c r="B17" s="426"/>
      <c r="C17" s="125">
        <f t="shared" si="2"/>
        <v>0</v>
      </c>
      <c r="D17" s="124">
        <f t="shared" si="0"/>
        <v>0</v>
      </c>
      <c r="E17" s="124">
        <f t="shared" si="1"/>
        <v>0</v>
      </c>
      <c r="F17" s="136" t="s">
        <v>153</v>
      </c>
      <c r="G17" s="37">
        <v>30</v>
      </c>
      <c r="H17" s="110" t="s">
        <v>157</v>
      </c>
      <c r="I17" s="126" t="s">
        <v>144</v>
      </c>
      <c r="J17" s="127">
        <v>0</v>
      </c>
      <c r="K17" s="158" t="s">
        <v>59</v>
      </c>
      <c r="L17" s="147" t="s">
        <v>165</v>
      </c>
      <c r="M17" s="104"/>
    </row>
    <row r="18" spans="1:13" ht="18.75" customHeight="1">
      <c r="A18" s="425"/>
      <c r="B18" s="426"/>
      <c r="C18" s="125">
        <f t="shared" si="2"/>
        <v>255</v>
      </c>
      <c r="D18" s="124">
        <f t="shared" si="0"/>
        <v>1.1455175720526971E-3</v>
      </c>
      <c r="E18" s="124">
        <f t="shared" si="1"/>
        <v>5.3956058291699594E-4</v>
      </c>
      <c r="F18" s="136" t="s">
        <v>148</v>
      </c>
      <c r="G18" s="37">
        <v>300</v>
      </c>
      <c r="H18" s="110" t="s">
        <v>149</v>
      </c>
      <c r="I18" s="126" t="s">
        <v>144</v>
      </c>
      <c r="J18" s="31">
        <v>0.85</v>
      </c>
      <c r="K18" s="158" t="s">
        <v>160</v>
      </c>
      <c r="L18" s="147" t="s">
        <v>150</v>
      </c>
      <c r="M18" s="104"/>
    </row>
    <row r="19" spans="1:13" s="29" customFormat="1" ht="18.75" customHeight="1">
      <c r="A19" s="425"/>
      <c r="B19" s="426"/>
      <c r="C19" s="125">
        <f>+G19*J19</f>
        <v>154.5</v>
      </c>
      <c r="D19" s="124">
        <f t="shared" si="0"/>
        <v>6.9404888189075178E-4</v>
      </c>
      <c r="E19" s="124">
        <f t="shared" si="1"/>
        <v>3.269102355320623E-4</v>
      </c>
      <c r="F19" s="136" t="s">
        <v>62</v>
      </c>
      <c r="G19" s="136">
        <v>10</v>
      </c>
      <c r="H19" s="111" t="s">
        <v>64</v>
      </c>
      <c r="I19" s="31" t="s">
        <v>67</v>
      </c>
      <c r="J19" s="31">
        <v>15.45</v>
      </c>
      <c r="K19" s="157" t="s">
        <v>59</v>
      </c>
      <c r="L19" s="30" t="s">
        <v>74</v>
      </c>
      <c r="M19" s="420" t="s">
        <v>122</v>
      </c>
    </row>
    <row r="20" spans="1:13" s="29" customFormat="1" ht="18.75" customHeight="1">
      <c r="A20" s="425"/>
      <c r="B20" s="426"/>
      <c r="C20" s="125">
        <f>+G20*J20</f>
        <v>81</v>
      </c>
      <c r="D20" s="124">
        <f t="shared" si="0"/>
        <v>3.6387028759320969E-4</v>
      </c>
      <c r="E20" s="124">
        <f t="shared" si="1"/>
        <v>1.7138983222069284E-4</v>
      </c>
      <c r="F20" s="136" t="s">
        <v>66</v>
      </c>
      <c r="G20" s="136">
        <v>15</v>
      </c>
      <c r="H20" s="111" t="s">
        <v>64</v>
      </c>
      <c r="I20" s="31" t="s">
        <v>67</v>
      </c>
      <c r="J20" s="31">
        <v>5.4</v>
      </c>
      <c r="K20" s="157" t="s">
        <v>59</v>
      </c>
      <c r="L20" s="30" t="s">
        <v>73</v>
      </c>
      <c r="M20" s="421"/>
    </row>
    <row r="21" spans="1:13" s="29" customFormat="1" ht="18.75" customHeight="1">
      <c r="A21" s="425"/>
      <c r="B21" s="426"/>
      <c r="C21" s="125">
        <f>+G21*J21</f>
        <v>69</v>
      </c>
      <c r="D21" s="124">
        <f t="shared" si="0"/>
        <v>3.0996357832014157E-4</v>
      </c>
      <c r="E21" s="124">
        <f t="shared" si="1"/>
        <v>1.4599874596577539E-4</v>
      </c>
      <c r="F21" s="39" t="s">
        <v>58</v>
      </c>
      <c r="G21" s="40">
        <v>30</v>
      </c>
      <c r="H21" s="112" t="s">
        <v>64</v>
      </c>
      <c r="I21" s="31" t="s">
        <v>67</v>
      </c>
      <c r="J21" s="22">
        <v>2.2999999999999998</v>
      </c>
      <c r="K21" s="157" t="s">
        <v>59</v>
      </c>
      <c r="L21" s="30" t="s">
        <v>63</v>
      </c>
      <c r="M21" s="422"/>
    </row>
    <row r="22" spans="1:13" s="14" customFormat="1" ht="18.75" customHeight="1">
      <c r="A22" s="427"/>
      <c r="B22" s="428"/>
      <c r="C22" s="125">
        <f>+G22*J22/100</f>
        <v>25399.14</v>
      </c>
      <c r="D22" s="124">
        <f t="shared" si="0"/>
        <v>0.11409867131382957</v>
      </c>
      <c r="E22" s="124">
        <f t="shared" si="1"/>
        <v>5.3742646211727016E-2</v>
      </c>
      <c r="F22" s="32" t="s">
        <v>84</v>
      </c>
      <c r="G22" s="15">
        <f>SUM(C9:C21)</f>
        <v>84663.8</v>
      </c>
      <c r="H22" s="113" t="s">
        <v>60</v>
      </c>
      <c r="I22" s="32" t="s">
        <v>106</v>
      </c>
      <c r="J22" s="32">
        <v>30</v>
      </c>
      <c r="K22" s="32" t="s">
        <v>22</v>
      </c>
      <c r="L22" s="78" t="s">
        <v>65</v>
      </c>
      <c r="M22" s="82" t="s">
        <v>118</v>
      </c>
    </row>
    <row r="23" spans="1:13" s="14" customFormat="1" ht="18.75" customHeight="1">
      <c r="A23" s="60">
        <v>2</v>
      </c>
      <c r="B23" s="69" t="s">
        <v>5</v>
      </c>
      <c r="C23" s="93">
        <f>SUM(C24:C26)</f>
        <v>12102</v>
      </c>
      <c r="D23" s="42">
        <f t="shared" si="0"/>
        <v>5.436491630188918E-2</v>
      </c>
      <c r="E23" s="42">
        <f t="shared" si="1"/>
        <v>2.5606910488084257E-2</v>
      </c>
      <c r="F23" s="94"/>
      <c r="G23" s="95"/>
      <c r="H23" s="95"/>
      <c r="I23" s="95"/>
      <c r="J23" s="95"/>
      <c r="K23" s="95"/>
      <c r="L23" s="95"/>
      <c r="M23" s="108"/>
    </row>
    <row r="24" spans="1:13" s="14" customFormat="1" ht="18.75" customHeight="1">
      <c r="A24" s="386" t="s">
        <v>104</v>
      </c>
      <c r="B24" s="387"/>
      <c r="C24" s="123">
        <f>+G24*J24</f>
        <v>3056</v>
      </c>
      <c r="D24" s="118">
        <f t="shared" si="0"/>
        <v>1.3728241961541343E-2</v>
      </c>
      <c r="E24" s="118">
        <f t="shared" si="1"/>
        <v>6.4662632995856461E-3</v>
      </c>
      <c r="F24" s="134" t="s">
        <v>167</v>
      </c>
      <c r="G24" s="22">
        <v>800</v>
      </c>
      <c r="H24" s="139" t="s">
        <v>156</v>
      </c>
      <c r="I24" s="22" t="s">
        <v>211</v>
      </c>
      <c r="J24" s="134">
        <v>3.82</v>
      </c>
      <c r="K24" s="135" t="s">
        <v>204</v>
      </c>
      <c r="L24" s="138" t="s">
        <v>168</v>
      </c>
      <c r="M24" s="104"/>
    </row>
    <row r="25" spans="1:13" s="146" customFormat="1" ht="18.75" customHeight="1">
      <c r="A25" s="388"/>
      <c r="B25" s="389"/>
      <c r="C25" s="123">
        <f t="shared" ref="C25:C26" si="4">+G25*J25</f>
        <v>6940</v>
      </c>
      <c r="D25" s="118">
        <f t="shared" si="0"/>
        <v>3.1176046862924384E-2</v>
      </c>
      <c r="E25" s="118">
        <f t="shared" si="1"/>
        <v>1.4684511550760598E-2</v>
      </c>
      <c r="F25" s="134" t="s">
        <v>201</v>
      </c>
      <c r="G25" s="22">
        <v>2000</v>
      </c>
      <c r="H25" s="139" t="s">
        <v>156</v>
      </c>
      <c r="I25" s="22" t="s">
        <v>211</v>
      </c>
      <c r="J25" s="134">
        <v>3.47</v>
      </c>
      <c r="K25" s="135" t="s">
        <v>203</v>
      </c>
      <c r="L25" s="138" t="s">
        <v>209</v>
      </c>
      <c r="M25" s="104"/>
    </row>
    <row r="26" spans="1:13" s="146" customFormat="1" ht="18" customHeight="1">
      <c r="A26" s="390"/>
      <c r="B26" s="391"/>
      <c r="C26" s="123">
        <f t="shared" si="4"/>
        <v>2106</v>
      </c>
      <c r="D26" s="118">
        <f t="shared" si="0"/>
        <v>9.4606274774234507E-3</v>
      </c>
      <c r="E26" s="118">
        <f t="shared" si="1"/>
        <v>4.4561356377380143E-3</v>
      </c>
      <c r="F26" s="134" t="s">
        <v>202</v>
      </c>
      <c r="G26" s="22">
        <v>600</v>
      </c>
      <c r="H26" s="139" t="s">
        <v>156</v>
      </c>
      <c r="I26" s="22" t="s">
        <v>211</v>
      </c>
      <c r="J26" s="134">
        <v>3.51</v>
      </c>
      <c r="K26" s="135" t="s">
        <v>203</v>
      </c>
      <c r="L26" s="138" t="s">
        <v>210</v>
      </c>
      <c r="M26" s="104"/>
    </row>
    <row r="27" spans="1:13" s="20" customFormat="1" ht="18.75" customHeight="1">
      <c r="A27" s="85">
        <v>3</v>
      </c>
      <c r="B27" s="70" t="s">
        <v>6</v>
      </c>
      <c r="C27" s="66">
        <f>SUM(C28:C35)</f>
        <v>24184</v>
      </c>
      <c r="D27" s="43">
        <f t="shared" si="0"/>
        <v>0.10863998808832324</v>
      </c>
      <c r="E27" s="43">
        <f t="shared" si="1"/>
        <v>5.1171502499076982E-2</v>
      </c>
      <c r="F27" s="25"/>
      <c r="G27" s="25"/>
      <c r="H27" s="44"/>
      <c r="I27" s="44"/>
      <c r="J27" s="25"/>
      <c r="K27" s="44"/>
      <c r="L27" s="44"/>
      <c r="M27" s="57"/>
    </row>
    <row r="28" spans="1:13" s="20" customFormat="1" ht="18.75" customHeight="1">
      <c r="A28" s="429" t="s">
        <v>104</v>
      </c>
      <c r="B28" s="430"/>
      <c r="C28" s="117">
        <f>+G28*J28</f>
        <v>5310</v>
      </c>
      <c r="D28" s="116">
        <f t="shared" si="0"/>
        <v>2.3853718853332633E-2</v>
      </c>
      <c r="E28" s="116">
        <f t="shared" si="1"/>
        <v>1.1235555667800975E-2</v>
      </c>
      <c r="F28" s="32" t="s">
        <v>29</v>
      </c>
      <c r="G28" s="96">
        <v>150000</v>
      </c>
      <c r="H28" s="33" t="s">
        <v>80</v>
      </c>
      <c r="I28" s="33" t="s">
        <v>75</v>
      </c>
      <c r="J28" s="33">
        <v>3.5400000000000001E-2</v>
      </c>
      <c r="K28" s="33" t="s">
        <v>71</v>
      </c>
      <c r="L28" s="22" t="s">
        <v>44</v>
      </c>
      <c r="M28" s="58"/>
    </row>
    <row r="29" spans="1:13" s="20" customFormat="1" ht="18.75" customHeight="1">
      <c r="A29" s="429"/>
      <c r="B29" s="430"/>
      <c r="C29" s="117">
        <f>+G29*J29</f>
        <v>2744</v>
      </c>
      <c r="D29" s="116">
        <f t="shared" si="0"/>
        <v>1.2326667520441571E-2</v>
      </c>
      <c r="E29" s="116">
        <f t="shared" si="1"/>
        <v>5.8060950569577925E-3</v>
      </c>
      <c r="F29" s="141" t="s">
        <v>178</v>
      </c>
      <c r="G29" s="138">
        <v>8000</v>
      </c>
      <c r="H29" s="156" t="s">
        <v>170</v>
      </c>
      <c r="I29" s="33" t="s">
        <v>75</v>
      </c>
      <c r="J29" s="142">
        <v>0.34300000000000003</v>
      </c>
      <c r="K29" s="140" t="s">
        <v>205</v>
      </c>
      <c r="L29" s="141" t="s">
        <v>179</v>
      </c>
      <c r="M29" s="58"/>
    </row>
    <row r="30" spans="1:13" s="20" customFormat="1" ht="18.75" customHeight="1">
      <c r="A30" s="429"/>
      <c r="B30" s="430"/>
      <c r="C30" s="117">
        <f>+G30*J30</f>
        <v>605</v>
      </c>
      <c r="D30" s="116">
        <f t="shared" si="0"/>
        <v>2.7177965925171835E-3</v>
      </c>
      <c r="E30" s="116">
        <f t="shared" si="1"/>
        <v>1.2801339320187553E-3</v>
      </c>
      <c r="F30" s="141" t="s">
        <v>169</v>
      </c>
      <c r="G30" s="138">
        <v>5000</v>
      </c>
      <c r="H30" s="156" t="s">
        <v>170</v>
      </c>
      <c r="I30" s="33" t="s">
        <v>75</v>
      </c>
      <c r="J30" s="142">
        <v>0.121</v>
      </c>
      <c r="K30" s="140" t="s">
        <v>205</v>
      </c>
      <c r="L30" s="141" t="s">
        <v>171</v>
      </c>
      <c r="M30" s="58"/>
    </row>
    <row r="31" spans="1:13" s="137" customFormat="1" ht="18.75" customHeight="1">
      <c r="A31" s="429"/>
      <c r="B31" s="430"/>
      <c r="C31" s="117">
        <f t="shared" ref="C31:C34" si="5">+G31*J31</f>
        <v>6080</v>
      </c>
      <c r="D31" s="116">
        <f t="shared" si="0"/>
        <v>2.7312732698354502E-2</v>
      </c>
      <c r="E31" s="116">
        <f t="shared" si="1"/>
        <v>1.2864817035824845E-2</v>
      </c>
      <c r="F31" s="141" t="s">
        <v>172</v>
      </c>
      <c r="G31" s="138">
        <v>40000</v>
      </c>
      <c r="H31" s="156" t="s">
        <v>170</v>
      </c>
      <c r="I31" s="33" t="s">
        <v>75</v>
      </c>
      <c r="J31" s="142">
        <v>0.152</v>
      </c>
      <c r="K31" s="140" t="s">
        <v>205</v>
      </c>
      <c r="L31" s="141" t="s">
        <v>173</v>
      </c>
      <c r="M31" s="58"/>
    </row>
    <row r="32" spans="1:13" s="137" customFormat="1" ht="18.75" customHeight="1">
      <c r="A32" s="429"/>
      <c r="B32" s="430"/>
      <c r="C32" s="117">
        <f t="shared" si="5"/>
        <v>4280</v>
      </c>
      <c r="D32" s="116">
        <f t="shared" si="0"/>
        <v>1.922672630739429E-2</v>
      </c>
      <c r="E32" s="116">
        <f t="shared" si="1"/>
        <v>9.0561540975872268E-3</v>
      </c>
      <c r="F32" s="141" t="s">
        <v>174</v>
      </c>
      <c r="G32" s="138">
        <v>20000</v>
      </c>
      <c r="H32" s="156" t="s">
        <v>170</v>
      </c>
      <c r="I32" s="33" t="s">
        <v>75</v>
      </c>
      <c r="J32" s="142">
        <v>0.214</v>
      </c>
      <c r="K32" s="140" t="s">
        <v>205</v>
      </c>
      <c r="L32" s="141" t="s">
        <v>175</v>
      </c>
      <c r="M32" s="58"/>
    </row>
    <row r="33" spans="1:13" s="137" customFormat="1" ht="18.75" customHeight="1">
      <c r="A33" s="429"/>
      <c r="B33" s="430"/>
      <c r="C33" s="117">
        <f t="shared" si="5"/>
        <v>2250</v>
      </c>
      <c r="D33" s="116">
        <f t="shared" si="0"/>
        <v>1.0107507988700269E-2</v>
      </c>
      <c r="E33" s="116">
        <f t="shared" si="1"/>
        <v>4.7608286727970238E-3</v>
      </c>
      <c r="F33" s="141" t="s">
        <v>176</v>
      </c>
      <c r="G33" s="138">
        <v>10000</v>
      </c>
      <c r="H33" s="156" t="s">
        <v>170</v>
      </c>
      <c r="I33" s="33" t="s">
        <v>75</v>
      </c>
      <c r="J33" s="142">
        <v>0.22500000000000001</v>
      </c>
      <c r="K33" s="140" t="s">
        <v>205</v>
      </c>
      <c r="L33" s="141" t="s">
        <v>177</v>
      </c>
      <c r="M33" s="58"/>
    </row>
    <row r="34" spans="1:13" s="137" customFormat="1" ht="18.75" customHeight="1">
      <c r="A34" s="429"/>
      <c r="B34" s="430"/>
      <c r="C34" s="117">
        <f t="shared" si="5"/>
        <v>2220</v>
      </c>
      <c r="D34" s="116">
        <f t="shared" si="0"/>
        <v>9.9727412155175988E-3</v>
      </c>
      <c r="E34" s="116">
        <f t="shared" si="1"/>
        <v>4.6973509571597303E-3</v>
      </c>
      <c r="F34" s="141" t="s">
        <v>180</v>
      </c>
      <c r="G34" s="138">
        <v>3000</v>
      </c>
      <c r="H34" s="156" t="s">
        <v>181</v>
      </c>
      <c r="I34" s="33" t="s">
        <v>75</v>
      </c>
      <c r="J34" s="142">
        <v>0.74</v>
      </c>
      <c r="K34" s="144" t="s">
        <v>206</v>
      </c>
      <c r="L34" s="141" t="s">
        <v>182</v>
      </c>
      <c r="M34" s="58"/>
    </row>
    <row r="35" spans="1:13" s="20" customFormat="1" ht="18.75" customHeight="1">
      <c r="A35" s="429"/>
      <c r="B35" s="430"/>
      <c r="C35" s="117">
        <f>+G35*J35</f>
        <v>695</v>
      </c>
      <c r="D35" s="116">
        <f t="shared" si="0"/>
        <v>3.1220969120651942E-3</v>
      </c>
      <c r="E35" s="116">
        <f t="shared" si="1"/>
        <v>1.4705670789306362E-3</v>
      </c>
      <c r="F35" s="32" t="s">
        <v>30</v>
      </c>
      <c r="G35" s="97">
        <v>50000</v>
      </c>
      <c r="H35" s="33" t="s">
        <v>28</v>
      </c>
      <c r="I35" s="33" t="s">
        <v>75</v>
      </c>
      <c r="J35" s="33">
        <v>1.3899999999999999E-2</v>
      </c>
      <c r="K35" s="33" t="s">
        <v>72</v>
      </c>
      <c r="L35" s="22" t="s">
        <v>45</v>
      </c>
      <c r="M35" s="58"/>
    </row>
    <row r="36" spans="1:13" s="14" customFormat="1" ht="18.75" customHeight="1">
      <c r="A36" s="60">
        <v>4</v>
      </c>
      <c r="B36" s="108" t="s">
        <v>7</v>
      </c>
      <c r="C36" s="67">
        <f>SUM(C37:C40)</f>
        <v>60227.780738123896</v>
      </c>
      <c r="D36" s="42">
        <f t="shared" si="0"/>
        <v>0.27055678886767798</v>
      </c>
      <c r="E36" s="42">
        <f t="shared" si="1"/>
        <v>0.12743739797199669</v>
      </c>
      <c r="F36" s="107"/>
      <c r="G36" s="107"/>
      <c r="H36" s="41"/>
      <c r="I36" s="41"/>
      <c r="J36" s="41"/>
      <c r="K36" s="41"/>
      <c r="L36" s="41"/>
      <c r="M36" s="108"/>
    </row>
    <row r="37" spans="1:13" s="14" customFormat="1" ht="30" customHeight="1">
      <c r="A37" s="423" t="s">
        <v>103</v>
      </c>
      <c r="B37" s="424"/>
      <c r="C37" s="122">
        <f>G37-J37</f>
        <v>18000</v>
      </c>
      <c r="D37" s="118">
        <f t="shared" si="0"/>
        <v>8.0860063909602153E-2</v>
      </c>
      <c r="E37" s="118">
        <f t="shared" si="1"/>
        <v>3.808662938237619E-2</v>
      </c>
      <c r="F37" s="136" t="s">
        <v>68</v>
      </c>
      <c r="G37" s="98">
        <v>30000</v>
      </c>
      <c r="H37" s="31" t="s">
        <v>123</v>
      </c>
      <c r="I37" s="136" t="s">
        <v>124</v>
      </c>
      <c r="J37" s="98">
        <v>12000</v>
      </c>
      <c r="K37" s="31" t="s">
        <v>123</v>
      </c>
      <c r="L37" s="31" t="s">
        <v>125</v>
      </c>
      <c r="M37" s="104" t="s">
        <v>232</v>
      </c>
    </row>
    <row r="38" spans="1:13" s="14" customFormat="1" ht="30" customHeight="1">
      <c r="A38" s="425"/>
      <c r="B38" s="426"/>
      <c r="C38" s="122">
        <v>0</v>
      </c>
      <c r="D38" s="118">
        <f t="shared" si="0"/>
        <v>0</v>
      </c>
      <c r="E38" s="118">
        <f t="shared" si="1"/>
        <v>0</v>
      </c>
      <c r="F38" s="136" t="s">
        <v>69</v>
      </c>
      <c r="G38" s="136"/>
      <c r="H38" s="31"/>
      <c r="I38" s="31"/>
      <c r="J38" s="34"/>
      <c r="K38" s="31"/>
      <c r="L38" s="31"/>
      <c r="M38" s="104" t="s">
        <v>70</v>
      </c>
    </row>
    <row r="39" spans="1:13" s="14" customFormat="1" ht="30" customHeight="1">
      <c r="A39" s="425"/>
      <c r="B39" s="426"/>
      <c r="C39" s="117">
        <f>+G39*J39</f>
        <v>25097.7807381239</v>
      </c>
      <c r="D39" s="118">
        <f t="shared" si="0"/>
        <v>0.11274489747077113</v>
      </c>
      <c r="E39" s="118">
        <f t="shared" si="1"/>
        <v>5.3104992960725822E-2</v>
      </c>
      <c r="F39" s="136" t="s">
        <v>212</v>
      </c>
      <c r="G39" s="34">
        <f>60000*16403.7782602117</f>
        <v>984226695.61270201</v>
      </c>
      <c r="H39" s="31" t="s">
        <v>78</v>
      </c>
      <c r="I39" s="99" t="s">
        <v>216</v>
      </c>
      <c r="J39" s="34">
        <v>2.55E-5</v>
      </c>
      <c r="K39" s="31" t="s">
        <v>77</v>
      </c>
      <c r="L39" s="136" t="s">
        <v>87</v>
      </c>
      <c r="M39" s="104"/>
    </row>
    <row r="40" spans="1:13" s="14" customFormat="1" ht="30" customHeight="1">
      <c r="A40" s="427"/>
      <c r="B40" s="428"/>
      <c r="C40" s="117">
        <f>+G40*J40</f>
        <v>17130</v>
      </c>
      <c r="D40" s="118">
        <f t="shared" si="0"/>
        <v>7.6951827487304711E-2</v>
      </c>
      <c r="E40" s="118">
        <f t="shared" si="1"/>
        <v>3.6245775628894673E-2</v>
      </c>
      <c r="F40" s="136" t="s">
        <v>213</v>
      </c>
      <c r="G40" s="34">
        <f>60000*500</f>
        <v>30000000</v>
      </c>
      <c r="H40" s="31" t="s">
        <v>78</v>
      </c>
      <c r="I40" s="136" t="s">
        <v>79</v>
      </c>
      <c r="J40" s="34">
        <v>5.71E-4</v>
      </c>
      <c r="K40" s="31" t="s">
        <v>77</v>
      </c>
      <c r="L40" s="136" t="s">
        <v>184</v>
      </c>
      <c r="M40" s="104" t="s">
        <v>183</v>
      </c>
    </row>
    <row r="41" spans="1:13" s="18" customFormat="1" ht="18.75" customHeight="1">
      <c r="A41" s="86">
        <v>5</v>
      </c>
      <c r="B41" s="71" t="s">
        <v>8</v>
      </c>
      <c r="C41" s="67">
        <f>SUM(C42:C44)</f>
        <v>678.4</v>
      </c>
      <c r="D41" s="42">
        <f t="shared" si="0"/>
        <v>3.0475259642374496E-3</v>
      </c>
      <c r="E41" s="42">
        <f t="shared" si="1"/>
        <v>1.435442742944667E-3</v>
      </c>
      <c r="F41" s="26"/>
      <c r="G41" s="26"/>
      <c r="H41" s="46"/>
      <c r="I41" s="46"/>
      <c r="J41" s="46"/>
      <c r="K41" s="46"/>
      <c r="L41" s="46"/>
      <c r="M41" s="59"/>
    </row>
    <row r="42" spans="1:13" s="18" customFormat="1" ht="18.75" customHeight="1">
      <c r="A42" s="382" t="s">
        <v>229</v>
      </c>
      <c r="B42" s="383"/>
      <c r="C42" s="122">
        <f>+G42*J42</f>
        <v>324.3</v>
      </c>
      <c r="D42" s="118">
        <f t="shared" si="0"/>
        <v>1.4568288181046655E-3</v>
      </c>
      <c r="E42" s="118">
        <f t="shared" si="1"/>
        <v>6.8619410603914437E-4</v>
      </c>
      <c r="F42" s="153" t="s">
        <v>19</v>
      </c>
      <c r="G42" s="45">
        <v>1500</v>
      </c>
      <c r="H42" s="47" t="s">
        <v>21</v>
      </c>
      <c r="I42" s="47" t="s">
        <v>83</v>
      </c>
      <c r="J42" s="47">
        <v>0.2162</v>
      </c>
      <c r="K42" s="47" t="s">
        <v>61</v>
      </c>
      <c r="L42" s="47" t="s">
        <v>115</v>
      </c>
      <c r="M42" s="407" t="s">
        <v>114</v>
      </c>
    </row>
    <row r="43" spans="1:13" s="18" customFormat="1" ht="18.75" customHeight="1">
      <c r="A43" s="382"/>
      <c r="B43" s="383"/>
      <c r="C43" s="122">
        <f t="shared" ref="C43:C45" si="6">+G43*J43</f>
        <v>48.7</v>
      </c>
      <c r="D43" s="118">
        <f t="shared" si="0"/>
        <v>2.1877139513320137E-4</v>
      </c>
      <c r="E43" s="118">
        <f t="shared" si="1"/>
        <v>1.0304549171787336E-4</v>
      </c>
      <c r="F43" s="153" t="s">
        <v>20</v>
      </c>
      <c r="G43" s="45">
        <v>1000</v>
      </c>
      <c r="H43" s="47" t="s">
        <v>21</v>
      </c>
      <c r="I43" s="47" t="s">
        <v>83</v>
      </c>
      <c r="J43" s="47">
        <v>4.87E-2</v>
      </c>
      <c r="K43" s="47" t="s">
        <v>61</v>
      </c>
      <c r="L43" s="47" t="s">
        <v>115</v>
      </c>
      <c r="M43" s="408"/>
    </row>
    <row r="44" spans="1:13" s="18" customFormat="1" ht="18.75" customHeight="1">
      <c r="A44" s="382"/>
      <c r="B44" s="383"/>
      <c r="C44" s="122">
        <f t="shared" si="6"/>
        <v>305.39999999999998</v>
      </c>
      <c r="D44" s="118">
        <f t="shared" si="0"/>
        <v>1.371925750999583E-3</v>
      </c>
      <c r="E44" s="118">
        <f t="shared" si="1"/>
        <v>6.4620314518764926E-4</v>
      </c>
      <c r="F44" s="153" t="s">
        <v>217</v>
      </c>
      <c r="G44" s="45">
        <v>6000</v>
      </c>
      <c r="H44" s="47" t="s">
        <v>21</v>
      </c>
      <c r="I44" s="47" t="s">
        <v>83</v>
      </c>
      <c r="J44" s="47">
        <v>5.0900000000000001E-2</v>
      </c>
      <c r="K44" s="47" t="s">
        <v>61</v>
      </c>
      <c r="L44" s="47" t="s">
        <v>115</v>
      </c>
      <c r="M44" s="409"/>
    </row>
    <row r="45" spans="1:13" s="18" customFormat="1" ht="18.75" customHeight="1">
      <c r="A45" s="382"/>
      <c r="B45" s="383"/>
      <c r="C45" s="122">
        <f t="shared" si="6"/>
        <v>2.968</v>
      </c>
      <c r="D45" s="118">
        <f t="shared" si="0"/>
        <v>1.3332926093538843E-5</v>
      </c>
      <c r="E45" s="118">
        <f t="shared" si="1"/>
        <v>6.2800620003829178E-6</v>
      </c>
      <c r="F45" s="153" t="s">
        <v>81</v>
      </c>
      <c r="G45" s="153">
        <v>20</v>
      </c>
      <c r="H45" s="45" t="s">
        <v>76</v>
      </c>
      <c r="I45" s="47" t="s">
        <v>85</v>
      </c>
      <c r="J45" s="47">
        <v>0.1484</v>
      </c>
      <c r="K45" s="47" t="s">
        <v>61</v>
      </c>
      <c r="L45" s="47" t="s">
        <v>115</v>
      </c>
      <c r="M45" s="105" t="s">
        <v>82</v>
      </c>
    </row>
    <row r="46" spans="1:13" s="14" customFormat="1" ht="18.75" customHeight="1">
      <c r="A46" s="60">
        <v>6</v>
      </c>
      <c r="B46" s="108" t="s">
        <v>9</v>
      </c>
      <c r="C46" s="67">
        <f>SUM(C47:C49)</f>
        <v>14.933500000000002</v>
      </c>
      <c r="D46" s="42">
        <f t="shared" si="0"/>
        <v>6.708465357744688E-5</v>
      </c>
      <c r="E46" s="42">
        <f t="shared" si="1"/>
        <v>3.1598148882317497E-5</v>
      </c>
      <c r="F46" s="107"/>
      <c r="G46" s="95"/>
      <c r="H46" s="41"/>
      <c r="I46" s="41"/>
      <c r="J46" s="41"/>
      <c r="K46" s="41"/>
      <c r="L46" s="41"/>
      <c r="M46" s="108"/>
    </row>
    <row r="47" spans="1:13" s="14" customFormat="1" ht="18.75" customHeight="1">
      <c r="A47" s="386" t="s">
        <v>230</v>
      </c>
      <c r="B47" s="387"/>
      <c r="C47" s="121">
        <f>+G47*J47</f>
        <v>6.8499999999999991E-2</v>
      </c>
      <c r="D47" s="118">
        <f t="shared" si="0"/>
        <v>3.0771746543376369E-7</v>
      </c>
      <c r="E47" s="118">
        <f t="shared" si="1"/>
        <v>1.4494078403848715E-7</v>
      </c>
      <c r="F47" s="148" t="s">
        <v>191</v>
      </c>
      <c r="G47" s="22">
        <v>50</v>
      </c>
      <c r="H47" s="160" t="s">
        <v>185</v>
      </c>
      <c r="I47" s="159" t="s">
        <v>214</v>
      </c>
      <c r="J47" s="149">
        <v>1.3699999999999999E-3</v>
      </c>
      <c r="K47" s="161" t="s">
        <v>207</v>
      </c>
      <c r="L47" s="151" t="s">
        <v>186</v>
      </c>
      <c r="M47" s="162"/>
    </row>
    <row r="48" spans="1:13" s="143" customFormat="1" ht="18.75" customHeight="1">
      <c r="A48" s="388"/>
      <c r="B48" s="389"/>
      <c r="C48" s="121">
        <f t="shared" ref="C48:C49" si="7">+G48*J48</f>
        <v>4.8150000000000004</v>
      </c>
      <c r="D48" s="118">
        <f t="shared" si="0"/>
        <v>2.1630067095818577E-5</v>
      </c>
      <c r="E48" s="118">
        <f t="shared" si="1"/>
        <v>1.0188173359785631E-5</v>
      </c>
      <c r="F48" s="147" t="s">
        <v>187</v>
      </c>
      <c r="G48" s="22">
        <v>1500</v>
      </c>
      <c r="H48" s="160" t="s">
        <v>185</v>
      </c>
      <c r="I48" s="159" t="s">
        <v>214</v>
      </c>
      <c r="J48" s="149">
        <v>3.2100000000000002E-3</v>
      </c>
      <c r="K48" s="161" t="s">
        <v>207</v>
      </c>
      <c r="L48" s="152" t="s">
        <v>188</v>
      </c>
      <c r="M48" s="162"/>
    </row>
    <row r="49" spans="1:13" s="143" customFormat="1" ht="18.75" customHeight="1">
      <c r="A49" s="390"/>
      <c r="B49" s="391"/>
      <c r="C49" s="121">
        <f t="shared" si="7"/>
        <v>10.050000000000001</v>
      </c>
      <c r="D49" s="118">
        <f t="shared" si="0"/>
        <v>4.514686901619454E-5</v>
      </c>
      <c r="E49" s="118">
        <f t="shared" si="1"/>
        <v>2.1265034738493373E-5</v>
      </c>
      <c r="F49" s="145" t="s">
        <v>189</v>
      </c>
      <c r="G49" s="22">
        <v>5000</v>
      </c>
      <c r="H49" s="160" t="s">
        <v>185</v>
      </c>
      <c r="I49" s="159" t="s">
        <v>214</v>
      </c>
      <c r="J49" s="149">
        <v>2.0100000000000001E-3</v>
      </c>
      <c r="K49" s="161" t="s">
        <v>207</v>
      </c>
      <c r="L49" s="152" t="s">
        <v>190</v>
      </c>
      <c r="M49" s="162"/>
    </row>
    <row r="50" spans="1:13" s="14" customFormat="1" ht="18.75" customHeight="1">
      <c r="A50" s="60">
        <v>7</v>
      </c>
      <c r="B50" s="108" t="s">
        <v>10</v>
      </c>
      <c r="C50" s="67">
        <f>SUM(C51:C53)</f>
        <v>844.10072169512966</v>
      </c>
      <c r="D50" s="42">
        <f t="shared" si="0"/>
        <v>3.7918910168005266E-3</v>
      </c>
      <c r="E50" s="42">
        <f t="shared" si="1"/>
        <v>1.7860528526999261E-3</v>
      </c>
      <c r="F50" s="107"/>
      <c r="G50" s="95"/>
      <c r="H50" s="46"/>
      <c r="I50" s="41"/>
      <c r="J50" s="41"/>
      <c r="K50" s="41"/>
      <c r="L50" s="41"/>
      <c r="M50" s="108"/>
    </row>
    <row r="51" spans="1:13" s="14" customFormat="1" ht="18.75" customHeight="1">
      <c r="A51" s="386" t="s">
        <v>230</v>
      </c>
      <c r="B51" s="387"/>
      <c r="C51" s="122">
        <f>+G51*J51</f>
        <v>2.7399999999999998</v>
      </c>
      <c r="D51" s="118">
        <f t="shared" si="0"/>
        <v>1.2308698617350549E-5</v>
      </c>
      <c r="E51" s="118">
        <f t="shared" si="1"/>
        <v>5.7976313615394862E-6</v>
      </c>
      <c r="F51" s="150" t="s">
        <v>192</v>
      </c>
      <c r="G51" s="22">
        <v>2000</v>
      </c>
      <c r="H51" s="160" t="s">
        <v>185</v>
      </c>
      <c r="I51" s="159" t="s">
        <v>214</v>
      </c>
      <c r="J51" s="128">
        <v>1.3699999999999999E-3</v>
      </c>
      <c r="K51" s="161" t="s">
        <v>207</v>
      </c>
      <c r="L51" s="151" t="s">
        <v>193</v>
      </c>
      <c r="M51" s="162"/>
    </row>
    <row r="52" spans="1:13" s="146" customFormat="1" ht="18.75" customHeight="1">
      <c r="A52" s="388"/>
      <c r="B52" s="389"/>
      <c r="C52" s="122">
        <f t="shared" ref="C52:C53" si="8">+G52*J52</f>
        <v>0.121</v>
      </c>
      <c r="D52" s="118">
        <f t="shared" si="0"/>
        <v>5.4355931850343667E-7</v>
      </c>
      <c r="E52" s="118">
        <f t="shared" si="1"/>
        <v>2.5602678640375105E-7</v>
      </c>
      <c r="F52" s="150" t="s">
        <v>194</v>
      </c>
      <c r="G52" s="22">
        <v>50</v>
      </c>
      <c r="H52" s="160" t="s">
        <v>185</v>
      </c>
      <c r="I52" s="159" t="s">
        <v>214</v>
      </c>
      <c r="J52" s="128">
        <v>2.4199999999999998E-3</v>
      </c>
      <c r="K52" s="161" t="s">
        <v>203</v>
      </c>
      <c r="L52" s="152" t="s">
        <v>195</v>
      </c>
      <c r="M52" s="162"/>
    </row>
    <row r="53" spans="1:13" s="146" customFormat="1" ht="30" customHeight="1">
      <c r="A53" s="390"/>
      <c r="B53" s="391"/>
      <c r="C53" s="122">
        <f t="shared" si="8"/>
        <v>841.23972169512967</v>
      </c>
      <c r="D53" s="118">
        <f t="shared" si="0"/>
        <v>3.7790387588646727E-3</v>
      </c>
      <c r="E53" s="118">
        <f t="shared" si="1"/>
        <v>1.779999194551983E-3</v>
      </c>
      <c r="F53" s="150" t="s">
        <v>196</v>
      </c>
      <c r="G53" s="22">
        <v>50</v>
      </c>
      <c r="H53" s="160" t="s">
        <v>185</v>
      </c>
      <c r="I53" s="159" t="s">
        <v>214</v>
      </c>
      <c r="J53" s="38">
        <v>16.824794433902593</v>
      </c>
      <c r="K53" s="161" t="s">
        <v>203</v>
      </c>
      <c r="L53" s="114" t="s">
        <v>197</v>
      </c>
      <c r="M53" s="162" t="s">
        <v>198</v>
      </c>
    </row>
    <row r="54" spans="1:13" s="14" customFormat="1" ht="18.75" customHeight="1">
      <c r="A54" s="60">
        <v>8</v>
      </c>
      <c r="B54" s="108" t="s">
        <v>11</v>
      </c>
      <c r="C54" s="93">
        <f>SUM(C55:C55)</f>
        <v>12.875</v>
      </c>
      <c r="D54" s="42">
        <f t="shared" si="0"/>
        <v>5.7837406824229315E-5</v>
      </c>
      <c r="E54" s="42">
        <f t="shared" si="1"/>
        <v>2.7242519627671855E-5</v>
      </c>
      <c r="F54" s="94"/>
      <c r="G54" s="95"/>
      <c r="H54" s="95"/>
      <c r="I54" s="95"/>
      <c r="J54" s="95"/>
      <c r="K54" s="95"/>
      <c r="L54" s="95"/>
      <c r="M54" s="108"/>
    </row>
    <row r="55" spans="1:13" s="14" customFormat="1" ht="45" customHeight="1">
      <c r="A55" s="384" t="s">
        <v>218</v>
      </c>
      <c r="B55" s="385"/>
      <c r="C55" s="123">
        <f>+G55*J55</f>
        <v>12.875</v>
      </c>
      <c r="D55" s="118">
        <f t="shared" si="0"/>
        <v>5.7837406824229315E-5</v>
      </c>
      <c r="E55" s="118">
        <f t="shared" si="1"/>
        <v>2.7242519627671855E-5</v>
      </c>
      <c r="F55" s="21" t="s">
        <v>107</v>
      </c>
      <c r="G55" s="100">
        <v>500</v>
      </c>
      <c r="H55" s="100" t="s">
        <v>111</v>
      </c>
      <c r="I55" s="22" t="s">
        <v>110</v>
      </c>
      <c r="J55" s="22">
        <f>0.103*3/12</f>
        <v>2.5749999999999999E-2</v>
      </c>
      <c r="K55" s="22" t="s">
        <v>108</v>
      </c>
      <c r="L55" s="21" t="s">
        <v>120</v>
      </c>
      <c r="M55" s="104" t="s">
        <v>109</v>
      </c>
    </row>
    <row r="56" spans="1:13" s="14" customFormat="1" ht="18.75" customHeight="1">
      <c r="A56" s="60">
        <v>9</v>
      </c>
      <c r="B56" s="108" t="s">
        <v>12</v>
      </c>
      <c r="C56" s="404" t="s">
        <v>199</v>
      </c>
      <c r="D56" s="405"/>
      <c r="E56" s="405"/>
      <c r="F56" s="405"/>
      <c r="G56" s="405"/>
      <c r="H56" s="405"/>
      <c r="I56" s="405"/>
      <c r="J56" s="405"/>
      <c r="K56" s="405"/>
      <c r="L56" s="405"/>
      <c r="M56" s="406"/>
    </row>
    <row r="57" spans="1:13" s="14" customFormat="1" ht="18.75" customHeight="1">
      <c r="A57" s="60">
        <v>10</v>
      </c>
      <c r="B57" s="69" t="s">
        <v>13</v>
      </c>
      <c r="C57" s="93">
        <f>SUM(C58)</f>
        <v>2300</v>
      </c>
      <c r="D57" s="42">
        <f>+C57/$C$78</f>
        <v>1.0332119277338053E-2</v>
      </c>
      <c r="E57" s="42">
        <f>+C57/$C$81</f>
        <v>4.8666248655258463E-3</v>
      </c>
      <c r="F57" s="94"/>
      <c r="G57" s="95"/>
      <c r="H57" s="95"/>
      <c r="I57" s="95"/>
      <c r="J57" s="95"/>
      <c r="K57" s="95"/>
      <c r="L57" s="95"/>
      <c r="M57" s="108"/>
    </row>
    <row r="58" spans="1:13" s="146" customFormat="1" ht="45" customHeight="1">
      <c r="A58" s="402" t="s">
        <v>222</v>
      </c>
      <c r="B58" s="403"/>
      <c r="C58" s="123">
        <f>+G58*J58</f>
        <v>2300</v>
      </c>
      <c r="D58" s="118">
        <f>+C58/$C$78</f>
        <v>1.0332119277338053E-2</v>
      </c>
      <c r="E58" s="118">
        <f>+C58/$C$81</f>
        <v>4.8666248655258463E-3</v>
      </c>
      <c r="F58" s="21" t="s">
        <v>223</v>
      </c>
      <c r="G58" s="100">
        <v>10000</v>
      </c>
      <c r="H58" s="100" t="s">
        <v>221</v>
      </c>
      <c r="I58" s="22" t="s">
        <v>224</v>
      </c>
      <c r="J58" s="22">
        <v>0.23</v>
      </c>
      <c r="K58" s="22" t="s">
        <v>225</v>
      </c>
      <c r="L58" s="21" t="s">
        <v>227</v>
      </c>
      <c r="M58" s="104" t="s">
        <v>228</v>
      </c>
    </row>
    <row r="59" spans="1:13" s="13" customFormat="1" ht="18.75" customHeight="1">
      <c r="A59" s="85">
        <v>11</v>
      </c>
      <c r="B59" s="70" t="s">
        <v>14</v>
      </c>
      <c r="C59" s="404" t="s">
        <v>199</v>
      </c>
      <c r="D59" s="405"/>
      <c r="E59" s="405"/>
      <c r="F59" s="405"/>
      <c r="G59" s="405"/>
      <c r="H59" s="405"/>
      <c r="I59" s="405"/>
      <c r="J59" s="405"/>
      <c r="K59" s="405"/>
      <c r="L59" s="405"/>
      <c r="M59" s="406"/>
    </row>
    <row r="60" spans="1:13" s="14" customFormat="1" ht="18.75" customHeight="1">
      <c r="A60" s="60">
        <v>12</v>
      </c>
      <c r="B60" s="69" t="s">
        <v>15</v>
      </c>
      <c r="C60" s="404" t="s">
        <v>199</v>
      </c>
      <c r="D60" s="405"/>
      <c r="E60" s="405"/>
      <c r="F60" s="405"/>
      <c r="G60" s="405"/>
      <c r="H60" s="405"/>
      <c r="I60" s="405"/>
      <c r="J60" s="405"/>
      <c r="K60" s="405"/>
      <c r="L60" s="405"/>
      <c r="M60" s="406"/>
    </row>
    <row r="61" spans="1:13" s="13" customFormat="1" ht="18.75" customHeight="1">
      <c r="A61" s="85">
        <v>13</v>
      </c>
      <c r="B61" s="87" t="s">
        <v>47</v>
      </c>
      <c r="C61" s="67">
        <f>C62</f>
        <v>10000</v>
      </c>
      <c r="D61" s="42">
        <f>+C61/$C$78</f>
        <v>4.4922257727556751E-2</v>
      </c>
      <c r="E61" s="48">
        <f>+C61/$C$81</f>
        <v>2.1159238545764548E-2</v>
      </c>
      <c r="F61" s="25"/>
      <c r="G61" s="25"/>
      <c r="H61" s="27"/>
      <c r="I61" s="25"/>
      <c r="J61" s="25"/>
      <c r="K61" s="25"/>
      <c r="L61" s="25"/>
      <c r="M61" s="61"/>
    </row>
    <row r="62" spans="1:13" s="18" customFormat="1" ht="56.25" customHeight="1">
      <c r="A62" s="398" t="s">
        <v>219</v>
      </c>
      <c r="B62" s="399"/>
      <c r="C62" s="122">
        <f>+G62*J62</f>
        <v>10000</v>
      </c>
      <c r="D62" s="118">
        <f>+C62/$C$78</f>
        <v>4.4922257727556751E-2</v>
      </c>
      <c r="E62" s="120">
        <f>+C62/$C$81</f>
        <v>2.1159238545764548E-2</v>
      </c>
      <c r="F62" s="153" t="s">
        <v>200</v>
      </c>
      <c r="G62" s="153">
        <v>10</v>
      </c>
      <c r="H62" s="155" t="s">
        <v>119</v>
      </c>
      <c r="I62" s="154" t="s">
        <v>231</v>
      </c>
      <c r="J62" s="153">
        <v>1000</v>
      </c>
      <c r="K62" s="153" t="s">
        <v>208</v>
      </c>
      <c r="L62" s="153" t="s">
        <v>226</v>
      </c>
      <c r="M62" s="105"/>
    </row>
    <row r="63" spans="1:13" s="14" customFormat="1" ht="18.75" customHeight="1">
      <c r="A63" s="60">
        <v>14</v>
      </c>
      <c r="B63" s="69" t="s">
        <v>3</v>
      </c>
      <c r="C63" s="379" t="s">
        <v>31</v>
      </c>
      <c r="D63" s="380"/>
      <c r="E63" s="380"/>
      <c r="F63" s="380"/>
      <c r="G63" s="380"/>
      <c r="H63" s="380"/>
      <c r="I63" s="380"/>
      <c r="J63" s="380"/>
      <c r="K63" s="380"/>
      <c r="L63" s="380"/>
      <c r="M63" s="381"/>
    </row>
    <row r="64" spans="1:13" s="14" customFormat="1" ht="30" customHeight="1">
      <c r="A64" s="60">
        <v>15</v>
      </c>
      <c r="B64" s="69" t="s">
        <v>1</v>
      </c>
      <c r="C64" s="93">
        <f>SUM(C65:C76)</f>
        <v>4479.7691162140536</v>
      </c>
      <c r="D64" s="42">
        <f t="shared" ref="D64:D76" si="9">+C64/$C$78</f>
        <v>2.0124134279851685E-2</v>
      </c>
      <c r="E64" s="42">
        <f t="shared" ref="E64:E76" si="10">+C64/$C$81</f>
        <v>9.4788503359921998E-3</v>
      </c>
      <c r="F64" s="94" t="s">
        <v>86</v>
      </c>
      <c r="G64" s="102" t="s">
        <v>102</v>
      </c>
      <c r="H64" s="103" t="s">
        <v>126</v>
      </c>
      <c r="I64" s="95" t="s">
        <v>101</v>
      </c>
      <c r="J64" s="94" t="s">
        <v>89</v>
      </c>
      <c r="K64" s="94" t="s">
        <v>97</v>
      </c>
      <c r="L64" s="95" t="s">
        <v>117</v>
      </c>
      <c r="M64" s="108"/>
    </row>
    <row r="65" spans="1:13" s="14" customFormat="1" ht="18.75" customHeight="1">
      <c r="A65" s="384" t="s">
        <v>105</v>
      </c>
      <c r="B65" s="385"/>
      <c r="C65" s="123">
        <f>+J65*K65</f>
        <v>1076.6919222103725</v>
      </c>
      <c r="D65" s="118">
        <f t="shared" si="9"/>
        <v>4.8367432022712832E-3</v>
      </c>
      <c r="E65" s="118">
        <f t="shared" si="10"/>
        <v>2.2781981222347036E-3</v>
      </c>
      <c r="F65" s="21" t="s">
        <v>127</v>
      </c>
      <c r="G65" s="100">
        <v>111452494</v>
      </c>
      <c r="H65" s="100">
        <v>1200000</v>
      </c>
      <c r="I65" s="22" t="s">
        <v>88</v>
      </c>
      <c r="J65" s="101">
        <f>H65/G65</f>
        <v>1.0766919222103724E-2</v>
      </c>
      <c r="K65" s="100">
        <v>100000</v>
      </c>
      <c r="L65" s="22" t="s">
        <v>90</v>
      </c>
      <c r="M65" s="104"/>
    </row>
    <row r="66" spans="1:13" s="14" customFormat="1" ht="18.75" customHeight="1">
      <c r="A66" s="384"/>
      <c r="B66" s="385"/>
      <c r="C66" s="123">
        <f t="shared" ref="C66:C70" si="11">+J66*K66</f>
        <v>7.7660731852452498</v>
      </c>
      <c r="D66" s="118">
        <f t="shared" si="9"/>
        <v>3.4886954115865468E-5</v>
      </c>
      <c r="E66" s="118">
        <f t="shared" si="10"/>
        <v>1.6432419509046975E-5</v>
      </c>
      <c r="F66" s="21" t="s">
        <v>32</v>
      </c>
      <c r="G66" s="100">
        <v>14163760420</v>
      </c>
      <c r="H66" s="100">
        <v>687480</v>
      </c>
      <c r="I66" s="22" t="s">
        <v>88</v>
      </c>
      <c r="J66" s="101">
        <f t="shared" ref="J66:J76" si="12">H66/G66</f>
        <v>4.8537957407782814E-5</v>
      </c>
      <c r="K66" s="100">
        <v>160000</v>
      </c>
      <c r="L66" s="22" t="s">
        <v>91</v>
      </c>
      <c r="M66" s="104"/>
    </row>
    <row r="67" spans="1:13" s="14" customFormat="1" ht="18.75" customHeight="1">
      <c r="A67" s="384"/>
      <c r="B67" s="385"/>
      <c r="C67" s="123">
        <f t="shared" si="11"/>
        <v>19.042509489546724</v>
      </c>
      <c r="D67" s="118">
        <f t="shared" si="9"/>
        <v>8.5543251906886305E-5</v>
      </c>
      <c r="E67" s="118">
        <f t="shared" si="10"/>
        <v>4.0292500079930428E-5</v>
      </c>
      <c r="F67" s="21" t="s">
        <v>33</v>
      </c>
      <c r="G67" s="100">
        <v>415352294</v>
      </c>
      <c r="H67" s="100">
        <v>158187</v>
      </c>
      <c r="I67" s="22" t="s">
        <v>88</v>
      </c>
      <c r="J67" s="101">
        <f t="shared" si="12"/>
        <v>3.8085018979093445E-4</v>
      </c>
      <c r="K67" s="100">
        <v>50000</v>
      </c>
      <c r="L67" s="22" t="s">
        <v>92</v>
      </c>
      <c r="M67" s="104"/>
    </row>
    <row r="68" spans="1:13" s="14" customFormat="1" ht="18.75" customHeight="1">
      <c r="A68" s="384"/>
      <c r="B68" s="385"/>
      <c r="C68" s="123">
        <f t="shared" si="11"/>
        <v>43.625767034497109</v>
      </c>
      <c r="D68" s="118">
        <f t="shared" si="9"/>
        <v>1.9597679502860282E-4</v>
      </c>
      <c r="E68" s="118">
        <f t="shared" si="10"/>
        <v>9.2308801142487566E-5</v>
      </c>
      <c r="F68" s="21" t="s">
        <v>34</v>
      </c>
      <c r="G68" s="100">
        <v>1237800586</v>
      </c>
      <c r="H68" s="100">
        <v>900000</v>
      </c>
      <c r="I68" s="22" t="s">
        <v>88</v>
      </c>
      <c r="J68" s="101">
        <f t="shared" si="12"/>
        <v>7.2709611724161842E-4</v>
      </c>
      <c r="K68" s="100">
        <v>60000</v>
      </c>
      <c r="L68" s="22" t="s">
        <v>93</v>
      </c>
      <c r="M68" s="104"/>
    </row>
    <row r="69" spans="1:13" s="14" customFormat="1" ht="18.75" customHeight="1">
      <c r="A69" s="384"/>
      <c r="B69" s="385"/>
      <c r="C69" s="123">
        <f t="shared" si="11"/>
        <v>107.43490759668525</v>
      </c>
      <c r="D69" s="118">
        <f t="shared" si="9"/>
        <v>4.8262186079945393E-4</v>
      </c>
      <c r="E69" s="118">
        <f t="shared" si="10"/>
        <v>2.273240837980435E-4</v>
      </c>
      <c r="F69" s="21" t="s">
        <v>42</v>
      </c>
      <c r="G69" s="100">
        <v>1737940900</v>
      </c>
      <c r="H69" s="100">
        <v>2333944</v>
      </c>
      <c r="I69" s="22" t="s">
        <v>88</v>
      </c>
      <c r="J69" s="101">
        <f t="shared" si="12"/>
        <v>1.3429363449585657E-3</v>
      </c>
      <c r="K69" s="100">
        <v>80000</v>
      </c>
      <c r="L69" s="22" t="s">
        <v>94</v>
      </c>
      <c r="M69" s="104"/>
    </row>
    <row r="70" spans="1:13" s="14" customFormat="1" ht="18.75" customHeight="1">
      <c r="A70" s="384"/>
      <c r="B70" s="385"/>
      <c r="C70" s="123">
        <f t="shared" si="11"/>
        <v>277.39352083240539</v>
      </c>
      <c r="D70" s="118">
        <f t="shared" si="9"/>
        <v>1.2461143234787698E-3</v>
      </c>
      <c r="E70" s="118">
        <f t="shared" si="10"/>
        <v>5.8694356783423735E-4</v>
      </c>
      <c r="F70" s="21" t="s">
        <v>35</v>
      </c>
      <c r="G70" s="100">
        <v>551521094</v>
      </c>
      <c r="H70" s="100">
        <v>1509029</v>
      </c>
      <c r="I70" s="22" t="s">
        <v>88</v>
      </c>
      <c r="J70" s="101">
        <f t="shared" si="12"/>
        <v>2.7361220022529185E-3</v>
      </c>
      <c r="K70" s="100">
        <v>101382</v>
      </c>
      <c r="L70" s="22" t="s">
        <v>95</v>
      </c>
      <c r="M70" s="104"/>
    </row>
    <row r="71" spans="1:13" s="14" customFormat="1" ht="18.75" customHeight="1">
      <c r="A71" s="384"/>
      <c r="B71" s="385"/>
      <c r="C71" s="123">
        <f>+J71*K71</f>
        <v>512.89707709331537</v>
      </c>
      <c r="D71" s="118">
        <f t="shared" si="9"/>
        <v>2.3040494684896458E-3</v>
      </c>
      <c r="E71" s="118">
        <f t="shared" si="10"/>
        <v>1.085251160364285E-3</v>
      </c>
      <c r="F71" s="21" t="s">
        <v>36</v>
      </c>
      <c r="G71" s="100">
        <v>700480693</v>
      </c>
      <c r="H71" s="100">
        <v>1381825</v>
      </c>
      <c r="I71" s="22" t="s">
        <v>88</v>
      </c>
      <c r="J71" s="101">
        <f t="shared" si="12"/>
        <v>1.9726810657435209E-3</v>
      </c>
      <c r="K71" s="100">
        <v>260000</v>
      </c>
      <c r="L71" s="22" t="s">
        <v>96</v>
      </c>
      <c r="M71" s="104"/>
    </row>
    <row r="72" spans="1:13" s="14" customFormat="1" ht="18.75" customHeight="1">
      <c r="A72" s="384"/>
      <c r="B72" s="385"/>
      <c r="C72" s="123">
        <f t="shared" ref="C72:C76" si="13">+J72*K72</f>
        <v>0</v>
      </c>
      <c r="D72" s="118">
        <f t="shared" si="9"/>
        <v>0</v>
      </c>
      <c r="E72" s="118">
        <f t="shared" si="10"/>
        <v>0</v>
      </c>
      <c r="F72" s="21" t="s">
        <v>37</v>
      </c>
      <c r="G72" s="100">
        <v>28149877</v>
      </c>
      <c r="H72" s="100">
        <v>971000</v>
      </c>
      <c r="I72" s="22" t="s">
        <v>88</v>
      </c>
      <c r="J72" s="101">
        <f t="shared" si="12"/>
        <v>3.449393402322859E-2</v>
      </c>
      <c r="K72" s="100">
        <v>0</v>
      </c>
      <c r="L72" s="22" t="s">
        <v>98</v>
      </c>
      <c r="M72" s="104"/>
    </row>
    <row r="73" spans="1:13" s="14" customFormat="1" ht="18.75" customHeight="1">
      <c r="A73" s="384"/>
      <c r="B73" s="385"/>
      <c r="C73" s="123">
        <f t="shared" si="13"/>
        <v>1771.2732742793926</v>
      </c>
      <c r="D73" s="118">
        <f t="shared" si="9"/>
        <v>7.9569594533112197E-3</v>
      </c>
      <c r="E73" s="118">
        <f t="shared" si="10"/>
        <v>3.7478793740215103E-3</v>
      </c>
      <c r="F73" s="21" t="s">
        <v>38</v>
      </c>
      <c r="G73" s="100">
        <v>271056029</v>
      </c>
      <c r="H73" s="100">
        <v>1600381</v>
      </c>
      <c r="I73" s="22" t="s">
        <v>88</v>
      </c>
      <c r="J73" s="101">
        <f t="shared" si="12"/>
        <v>5.9042442475979754E-3</v>
      </c>
      <c r="K73" s="100">
        <v>300000</v>
      </c>
      <c r="L73" s="22" t="s">
        <v>99</v>
      </c>
      <c r="M73" s="104"/>
    </row>
    <row r="74" spans="1:13" s="14" customFormat="1" ht="18.75" customHeight="1">
      <c r="A74" s="384"/>
      <c r="B74" s="385"/>
      <c r="C74" s="123">
        <f t="shared" si="13"/>
        <v>503.4498897353115</v>
      </c>
      <c r="D74" s="118">
        <f t="shared" si="9"/>
        <v>2.2616105699599692E-3</v>
      </c>
      <c r="E74" s="118">
        <f t="shared" si="10"/>
        <v>1.0652616312748315E-3</v>
      </c>
      <c r="F74" s="21" t="s">
        <v>39</v>
      </c>
      <c r="G74" s="100">
        <v>1075540607</v>
      </c>
      <c r="H74" s="100">
        <v>1289240</v>
      </c>
      <c r="I74" s="22" t="s">
        <v>88</v>
      </c>
      <c r="J74" s="101">
        <f t="shared" si="12"/>
        <v>1.1986902136555035E-3</v>
      </c>
      <c r="K74" s="100">
        <v>420000</v>
      </c>
      <c r="L74" s="22" t="s">
        <v>116</v>
      </c>
      <c r="M74" s="104"/>
    </row>
    <row r="75" spans="1:13" s="14" customFormat="1" ht="18.75" customHeight="1">
      <c r="A75" s="384"/>
      <c r="B75" s="385"/>
      <c r="C75" s="123">
        <f t="shared" si="13"/>
        <v>0</v>
      </c>
      <c r="D75" s="118">
        <f t="shared" si="9"/>
        <v>0</v>
      </c>
      <c r="E75" s="118">
        <f t="shared" si="10"/>
        <v>0</v>
      </c>
      <c r="F75" s="21" t="s">
        <v>40</v>
      </c>
      <c r="G75" s="100">
        <v>490727495</v>
      </c>
      <c r="H75" s="100">
        <v>1822688</v>
      </c>
      <c r="I75" s="22" t="s">
        <v>88</v>
      </c>
      <c r="J75" s="101">
        <f t="shared" si="12"/>
        <v>3.7142569319454986E-3</v>
      </c>
      <c r="K75" s="100">
        <v>0</v>
      </c>
      <c r="L75" s="22" t="s">
        <v>98</v>
      </c>
      <c r="M75" s="104"/>
    </row>
    <row r="76" spans="1:13" s="14" customFormat="1" ht="18.75" customHeight="1">
      <c r="A76" s="384"/>
      <c r="B76" s="385"/>
      <c r="C76" s="123">
        <f t="shared" si="13"/>
        <v>160.19417475728153</v>
      </c>
      <c r="D76" s="118">
        <f t="shared" si="9"/>
        <v>7.196284004899867E-4</v>
      </c>
      <c r="E76" s="118">
        <f t="shared" si="10"/>
        <v>3.3895867573312136E-4</v>
      </c>
      <c r="F76" s="21" t="s">
        <v>41</v>
      </c>
      <c r="G76" s="100">
        <v>206000000</v>
      </c>
      <c r="H76" s="100">
        <v>66000</v>
      </c>
      <c r="I76" s="22" t="s">
        <v>88</v>
      </c>
      <c r="J76" s="101">
        <f t="shared" si="12"/>
        <v>3.2038834951456308E-4</v>
      </c>
      <c r="K76" s="100">
        <v>500000</v>
      </c>
      <c r="L76" s="22" t="s">
        <v>100</v>
      </c>
      <c r="M76" s="104"/>
    </row>
    <row r="77" spans="1:13" s="20" customFormat="1" ht="18.75" customHeight="1" thickBot="1">
      <c r="A77" s="85">
        <v>16</v>
      </c>
      <c r="B77" s="88" t="s">
        <v>0</v>
      </c>
      <c r="C77" s="377" t="s">
        <v>46</v>
      </c>
      <c r="D77" s="377"/>
      <c r="E77" s="377"/>
      <c r="F77" s="377"/>
      <c r="G77" s="377"/>
      <c r="H77" s="377"/>
      <c r="I77" s="377"/>
      <c r="J77" s="377"/>
      <c r="K77" s="377"/>
      <c r="L77" s="378"/>
      <c r="M77" s="64"/>
    </row>
    <row r="78" spans="1:13" ht="18.75" customHeight="1" thickBot="1">
      <c r="A78" s="400" t="s">
        <v>17</v>
      </c>
      <c r="B78" s="401"/>
      <c r="C78" s="119">
        <f>SUM(C64,C61,C60,C59,C56,C54,C50,C46,C41,C36,C27,C23,C8)</f>
        <v>222606.79907603309</v>
      </c>
      <c r="D78" s="129">
        <f>+C78/$C$78</f>
        <v>1</v>
      </c>
      <c r="E78" s="129">
        <f>+C78/$C$81</f>
        <v>0.47101903635588632</v>
      </c>
      <c r="F78" s="72"/>
      <c r="G78" s="72"/>
      <c r="H78" s="73"/>
      <c r="I78" s="73"/>
      <c r="J78" s="73"/>
      <c r="K78" s="73"/>
      <c r="L78" s="73"/>
      <c r="M78" s="74"/>
    </row>
    <row r="79" spans="1:13" ht="18.75" customHeight="1" thickTop="1">
      <c r="A79" s="392" t="s">
        <v>25</v>
      </c>
      <c r="B79" s="393"/>
      <c r="C79" s="83">
        <v>200000</v>
      </c>
      <c r="D79" s="49"/>
      <c r="E79" s="124">
        <f>+C79/$C$81</f>
        <v>0.423184770915291</v>
      </c>
      <c r="F79" s="10"/>
      <c r="G79" s="10"/>
      <c r="H79" s="79"/>
      <c r="I79" s="79"/>
      <c r="J79" s="79"/>
      <c r="K79" s="79"/>
      <c r="L79" s="79"/>
      <c r="M79" s="62"/>
    </row>
    <row r="80" spans="1:13" ht="18.75" customHeight="1" thickBot="1">
      <c r="A80" s="394" t="s">
        <v>26</v>
      </c>
      <c r="B80" s="395"/>
      <c r="C80" s="84">
        <v>50000</v>
      </c>
      <c r="D80" s="50"/>
      <c r="E80" s="165">
        <f>+C80/$C$81</f>
        <v>0.10579619272882275</v>
      </c>
      <c r="F80" s="11"/>
      <c r="G80" s="11"/>
      <c r="H80" s="106"/>
      <c r="I80" s="106"/>
      <c r="J80" s="106"/>
      <c r="K80" s="106"/>
      <c r="L80" s="106"/>
      <c r="M80" s="63"/>
    </row>
    <row r="81" spans="1:13" ht="18.75" customHeight="1" thickTop="1" thickBot="1">
      <c r="A81" s="396" t="s">
        <v>18</v>
      </c>
      <c r="B81" s="397"/>
      <c r="C81" s="163">
        <f>SUM(C78:C80)</f>
        <v>472606.79907603306</v>
      </c>
      <c r="D81" s="166"/>
      <c r="E81" s="164">
        <f>+C81/$C$81</f>
        <v>1</v>
      </c>
      <c r="F81" s="75"/>
      <c r="G81" s="75"/>
      <c r="H81" s="76"/>
      <c r="I81" s="76"/>
      <c r="J81" s="76"/>
      <c r="K81" s="76"/>
      <c r="L81" s="76"/>
      <c r="M81" s="77"/>
    </row>
    <row r="83" spans="1:13" ht="14.25" thickBot="1">
      <c r="E83" s="373" t="s">
        <v>23</v>
      </c>
      <c r="F83" s="374"/>
      <c r="G83" s="23" t="s">
        <v>24</v>
      </c>
      <c r="H83" s="23" t="s">
        <v>27</v>
      </c>
    </row>
    <row r="84" spans="1:13" ht="14.25" thickTop="1">
      <c r="E84" s="52" t="s">
        <v>112</v>
      </c>
      <c r="F84" s="53"/>
      <c r="G84" s="7">
        <f>C79</f>
        <v>200000</v>
      </c>
      <c r="H84" s="9">
        <f>G84/$G$101</f>
        <v>0.423184770915291</v>
      </c>
    </row>
    <row r="85" spans="1:13" s="29" customFormat="1">
      <c r="C85" s="3"/>
      <c r="D85" s="4"/>
      <c r="E85" s="54" t="s">
        <v>113</v>
      </c>
      <c r="F85" s="55"/>
      <c r="G85" s="7">
        <f>C80</f>
        <v>50000</v>
      </c>
      <c r="H85" s="9">
        <f>G85/$G$101</f>
        <v>0.10579619272882275</v>
      </c>
      <c r="M85" s="1"/>
    </row>
    <row r="86" spans="1:13">
      <c r="E86" s="5" t="s">
        <v>128</v>
      </c>
      <c r="F86" s="5" t="s">
        <v>4</v>
      </c>
      <c r="G86" s="8">
        <f>C8</f>
        <v>110062.94</v>
      </c>
      <c r="H86" s="9">
        <f t="shared" ref="H86:H100" si="14">G86/$G$101</f>
        <v>0.23288480025081709</v>
      </c>
    </row>
    <row r="87" spans="1:13">
      <c r="E87" s="16" t="s">
        <v>129</v>
      </c>
      <c r="F87" s="16" t="s">
        <v>5</v>
      </c>
      <c r="G87" s="8">
        <f>C23</f>
        <v>12102</v>
      </c>
      <c r="H87" s="9">
        <f t="shared" si="14"/>
        <v>2.5606910488084257E-2</v>
      </c>
    </row>
    <row r="88" spans="1:13">
      <c r="E88" s="5" t="s">
        <v>130</v>
      </c>
      <c r="F88" s="16" t="s">
        <v>6</v>
      </c>
      <c r="G88" s="8">
        <f>C27</f>
        <v>24184</v>
      </c>
      <c r="H88" s="9">
        <f t="shared" si="14"/>
        <v>5.1171502499076982E-2</v>
      </c>
    </row>
    <row r="89" spans="1:13">
      <c r="E89" s="16" t="s">
        <v>131</v>
      </c>
      <c r="F89" s="16" t="s">
        <v>7</v>
      </c>
      <c r="G89" s="8">
        <f>C36</f>
        <v>60227.780738123896</v>
      </c>
      <c r="H89" s="9">
        <f t="shared" si="14"/>
        <v>0.12743739797199669</v>
      </c>
    </row>
    <row r="90" spans="1:13">
      <c r="E90" s="5" t="s">
        <v>132</v>
      </c>
      <c r="F90" s="17" t="s">
        <v>8</v>
      </c>
      <c r="G90" s="8">
        <f>C41</f>
        <v>678.4</v>
      </c>
      <c r="H90" s="9">
        <f t="shared" si="14"/>
        <v>1.435442742944667E-3</v>
      </c>
    </row>
    <row r="91" spans="1:13">
      <c r="E91" s="5" t="s">
        <v>133</v>
      </c>
      <c r="F91" s="16" t="s">
        <v>9</v>
      </c>
      <c r="G91" s="8">
        <f>C46</f>
        <v>14.933500000000002</v>
      </c>
      <c r="H91" s="9">
        <f t="shared" si="14"/>
        <v>3.1598148882317497E-5</v>
      </c>
    </row>
    <row r="92" spans="1:13">
      <c r="E92" s="16" t="s">
        <v>134</v>
      </c>
      <c r="F92" s="16" t="s">
        <v>10</v>
      </c>
      <c r="G92" s="8">
        <f>C50</f>
        <v>844.10072169512966</v>
      </c>
      <c r="H92" s="9">
        <f t="shared" si="14"/>
        <v>1.7860528526999261E-3</v>
      </c>
    </row>
    <row r="93" spans="1:13">
      <c r="E93" s="5" t="s">
        <v>135</v>
      </c>
      <c r="F93" s="16" t="s">
        <v>11</v>
      </c>
      <c r="G93" s="8">
        <f>C54</f>
        <v>12.875</v>
      </c>
      <c r="H93" s="9">
        <f t="shared" si="14"/>
        <v>2.7242519627671855E-5</v>
      </c>
    </row>
    <row r="94" spans="1:13">
      <c r="E94" s="16" t="s">
        <v>136</v>
      </c>
      <c r="F94" s="16" t="s">
        <v>12</v>
      </c>
      <c r="G94" s="8">
        <v>0</v>
      </c>
      <c r="H94" s="9">
        <f t="shared" si="14"/>
        <v>0</v>
      </c>
    </row>
    <row r="95" spans="1:13">
      <c r="E95" s="5" t="s">
        <v>137</v>
      </c>
      <c r="F95" s="16" t="s">
        <v>13</v>
      </c>
      <c r="G95" s="28">
        <v>0</v>
      </c>
      <c r="H95" s="9">
        <f t="shared" si="14"/>
        <v>0</v>
      </c>
    </row>
    <row r="96" spans="1:13">
      <c r="E96" s="5" t="s">
        <v>138</v>
      </c>
      <c r="F96" s="12" t="s">
        <v>14</v>
      </c>
      <c r="G96" s="8">
        <v>0</v>
      </c>
      <c r="H96" s="9">
        <f t="shared" si="14"/>
        <v>0</v>
      </c>
    </row>
    <row r="97" spans="5:9">
      <c r="E97" s="16" t="s">
        <v>139</v>
      </c>
      <c r="F97" s="16" t="s">
        <v>15</v>
      </c>
      <c r="G97" s="8">
        <v>0</v>
      </c>
      <c r="H97" s="9">
        <f t="shared" si="14"/>
        <v>0</v>
      </c>
    </row>
    <row r="98" spans="5:9">
      <c r="E98" s="5" t="s">
        <v>140</v>
      </c>
      <c r="F98" s="19" t="s">
        <v>2</v>
      </c>
      <c r="G98" s="8">
        <f>C61</f>
        <v>10000</v>
      </c>
      <c r="H98" s="9">
        <f t="shared" si="14"/>
        <v>2.1159238545764548E-2</v>
      </c>
    </row>
    <row r="99" spans="5:9">
      <c r="E99" s="16" t="s">
        <v>141</v>
      </c>
      <c r="F99" s="16" t="s">
        <v>3</v>
      </c>
      <c r="G99" s="28">
        <v>0</v>
      </c>
      <c r="H99" s="9">
        <f t="shared" si="14"/>
        <v>0</v>
      </c>
    </row>
    <row r="100" spans="5:9" ht="14.25" thickBot="1">
      <c r="E100" s="5" t="s">
        <v>142</v>
      </c>
      <c r="F100" s="80" t="s">
        <v>1</v>
      </c>
      <c r="G100" s="6">
        <f>C64</f>
        <v>4479.7691162140536</v>
      </c>
      <c r="H100" s="81">
        <f t="shared" si="14"/>
        <v>9.4788503359921998E-3</v>
      </c>
    </row>
    <row r="101" spans="5:9" ht="14.25" thickTop="1">
      <c r="E101" s="375" t="s">
        <v>18</v>
      </c>
      <c r="F101" s="376"/>
      <c r="G101" s="7">
        <f>SUM(G84:G100)</f>
        <v>472606.79907603306</v>
      </c>
      <c r="H101" s="9">
        <f>G101/G101</f>
        <v>1</v>
      </c>
      <c r="I101" s="51"/>
    </row>
  </sheetData>
  <mergeCells count="31">
    <mergeCell ref="C59:M59"/>
    <mergeCell ref="C60:M60"/>
    <mergeCell ref="M42:M44"/>
    <mergeCell ref="M6:M7"/>
    <mergeCell ref="A6:B7"/>
    <mergeCell ref="C6:C7"/>
    <mergeCell ref="D6:E6"/>
    <mergeCell ref="F6:F7"/>
    <mergeCell ref="J6:L6"/>
    <mergeCell ref="G6:I6"/>
    <mergeCell ref="M19:M21"/>
    <mergeCell ref="A9:B22"/>
    <mergeCell ref="A28:B35"/>
    <mergeCell ref="A37:B40"/>
    <mergeCell ref="A24:B26"/>
    <mergeCell ref="E83:F83"/>
    <mergeCell ref="E101:F101"/>
    <mergeCell ref="C77:L77"/>
    <mergeCell ref="C63:M63"/>
    <mergeCell ref="A42:B45"/>
    <mergeCell ref="A55:B55"/>
    <mergeCell ref="A51:B53"/>
    <mergeCell ref="A47:B49"/>
    <mergeCell ref="A79:B79"/>
    <mergeCell ref="A80:B80"/>
    <mergeCell ref="A81:B81"/>
    <mergeCell ref="A62:B62"/>
    <mergeCell ref="A65:B76"/>
    <mergeCell ref="A78:B78"/>
    <mergeCell ref="A58:B58"/>
    <mergeCell ref="C56:M56"/>
  </mergeCells>
  <phoneticPr fontId="3"/>
  <pageMargins left="0.70866141732283472" right="0.70866141732283472" top="0.74803149606299213" bottom="0.74803149606299213" header="0.31496062992125984" footer="0.31496062992125984"/>
  <pageSetup paperSize="8" scale="55" fitToHeight="2" orientation="landscape" r:id="rId1"/>
  <rowBreaks count="1" manualBreakCount="1">
    <brk id="60"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3"/>
  <sheetViews>
    <sheetView view="pageBreakPreview" zoomScale="80" zoomScaleNormal="85" zoomScaleSheetLayoutView="80" workbookViewId="0">
      <pane ySplit="7" topLeftCell="A8" activePane="bottomLeft" state="frozen"/>
      <selection pane="bottomLeft"/>
    </sheetView>
  </sheetViews>
  <sheetFormatPr defaultRowHeight="13.5"/>
  <cols>
    <col min="1" max="1" width="3.5" style="130" bestFit="1" customWidth="1"/>
    <col min="2" max="2" width="29.875" style="130" customWidth="1"/>
    <col min="3" max="3" width="10.875" style="3" customWidth="1"/>
    <col min="4" max="4" width="7.875" style="4" bestFit="1" customWidth="1"/>
    <col min="5" max="5" width="9.875" style="4" bestFit="1" customWidth="1"/>
    <col min="6" max="6" width="24.75" style="1" customWidth="1"/>
    <col min="7" max="7" width="13.125" style="1" customWidth="1"/>
    <col min="8" max="8" width="13.125" style="130" customWidth="1"/>
    <col min="9" max="9" width="40" style="130" customWidth="1"/>
    <col min="10" max="11" width="13.125" style="130" customWidth="1"/>
    <col min="12" max="12" width="40" style="130" customWidth="1"/>
    <col min="13" max="13" width="65.75" style="1" customWidth="1"/>
    <col min="14" max="16384" width="9" style="130"/>
  </cols>
  <sheetData>
    <row r="2" spans="1:13">
      <c r="B2" s="130" t="s">
        <v>151</v>
      </c>
    </row>
    <row r="3" spans="1:13">
      <c r="B3" s="130" t="s">
        <v>233</v>
      </c>
    </row>
    <row r="5" spans="1:13" ht="14.25" thickBot="1"/>
    <row r="6" spans="1:13" ht="14.25" thickBot="1">
      <c r="A6" s="412" t="s">
        <v>48</v>
      </c>
      <c r="B6" s="412"/>
      <c r="C6" s="413" t="s">
        <v>49</v>
      </c>
      <c r="D6" s="415" t="s">
        <v>121</v>
      </c>
      <c r="E6" s="415"/>
      <c r="F6" s="416" t="s">
        <v>16</v>
      </c>
      <c r="G6" s="417" t="s">
        <v>50</v>
      </c>
      <c r="H6" s="418"/>
      <c r="I6" s="419"/>
      <c r="J6" s="412" t="s">
        <v>51</v>
      </c>
      <c r="K6" s="412"/>
      <c r="L6" s="412"/>
      <c r="M6" s="410" t="s">
        <v>43</v>
      </c>
    </row>
    <row r="7" spans="1:13" s="2" customFormat="1" ht="14.25" thickBot="1">
      <c r="A7" s="412"/>
      <c r="B7" s="412"/>
      <c r="C7" s="414"/>
      <c r="D7" s="90" t="s">
        <v>52</v>
      </c>
      <c r="E7" s="90" t="s">
        <v>53</v>
      </c>
      <c r="F7" s="416"/>
      <c r="G7" s="91" t="s">
        <v>54</v>
      </c>
      <c r="H7" s="92" t="s">
        <v>55</v>
      </c>
      <c r="I7" s="92" t="s">
        <v>56</v>
      </c>
      <c r="J7" s="92" t="s">
        <v>57</v>
      </c>
      <c r="K7" s="92" t="s">
        <v>55</v>
      </c>
      <c r="L7" s="169" t="s">
        <v>56</v>
      </c>
      <c r="M7" s="411"/>
    </row>
    <row r="8" spans="1:13" ht="18.75" customHeight="1">
      <c r="A8" s="89">
        <v>1</v>
      </c>
      <c r="B8" s="68" t="s">
        <v>4</v>
      </c>
      <c r="C8" s="65">
        <f>SUM(C9:C16)</f>
        <v>19526</v>
      </c>
      <c r="D8" s="36">
        <f t="shared" ref="D8:D46" si="0">+C8/$C$70</f>
        <v>0.48764263186793794</v>
      </c>
      <c r="E8" s="36">
        <f t="shared" ref="E8:E46" si="1">+C8/$C$73</f>
        <v>0.34231146791823747</v>
      </c>
      <c r="F8" s="24"/>
      <c r="G8" s="24"/>
      <c r="H8" s="35"/>
      <c r="I8" s="35"/>
      <c r="J8" s="35"/>
      <c r="K8" s="35"/>
      <c r="L8" s="35"/>
      <c r="M8" s="56"/>
    </row>
    <row r="9" spans="1:13" s="146" customFormat="1" ht="30" customHeight="1">
      <c r="A9" s="386" t="s">
        <v>104</v>
      </c>
      <c r="B9" s="387"/>
      <c r="C9" s="125">
        <f>+G9*J9</f>
        <v>12270</v>
      </c>
      <c r="D9" s="124">
        <f t="shared" si="0"/>
        <v>0.30643117346203003</v>
      </c>
      <c r="E9" s="124">
        <f t="shared" si="1"/>
        <v>0.21510610014118478</v>
      </c>
      <c r="F9" s="131" t="s">
        <v>234</v>
      </c>
      <c r="G9" s="37">
        <v>3000</v>
      </c>
      <c r="H9" s="131" t="s">
        <v>21</v>
      </c>
      <c r="I9" s="158" t="s">
        <v>144</v>
      </c>
      <c r="J9" s="178">
        <v>4.09</v>
      </c>
      <c r="K9" s="158" t="s">
        <v>235</v>
      </c>
      <c r="L9" s="179" t="s">
        <v>236</v>
      </c>
      <c r="M9" s="177"/>
    </row>
    <row r="10" spans="1:13" s="146" customFormat="1" ht="30" customHeight="1">
      <c r="A10" s="388"/>
      <c r="B10" s="389"/>
      <c r="C10" s="125">
        <f t="shared" ref="C10:C13" si="2">+G10*J10</f>
        <v>5985</v>
      </c>
      <c r="D10" s="124">
        <f t="shared" si="0"/>
        <v>0.14946948436595353</v>
      </c>
      <c r="E10" s="124">
        <f t="shared" si="1"/>
        <v>0.10492339114466102</v>
      </c>
      <c r="F10" s="131" t="s">
        <v>237</v>
      </c>
      <c r="G10" s="37">
        <v>4500</v>
      </c>
      <c r="H10" s="131" t="s">
        <v>21</v>
      </c>
      <c r="I10" s="158" t="s">
        <v>144</v>
      </c>
      <c r="J10" s="178">
        <v>1.33</v>
      </c>
      <c r="K10" s="158" t="s">
        <v>235</v>
      </c>
      <c r="L10" s="39" t="s">
        <v>238</v>
      </c>
      <c r="M10" s="177"/>
    </row>
    <row r="11" spans="1:13" s="146" customFormat="1" ht="30" customHeight="1">
      <c r="A11" s="388"/>
      <c r="B11" s="389"/>
      <c r="C11" s="125">
        <f t="shared" si="2"/>
        <v>582</v>
      </c>
      <c r="D11" s="124">
        <f t="shared" si="0"/>
        <v>1.4534877176438588E-2</v>
      </c>
      <c r="E11" s="124">
        <f t="shared" si="1"/>
        <v>1.0203076632613654E-2</v>
      </c>
      <c r="F11" s="131" t="s">
        <v>239</v>
      </c>
      <c r="G11" s="37">
        <v>1500</v>
      </c>
      <c r="H11" s="131" t="s">
        <v>21</v>
      </c>
      <c r="I11" s="158" t="s">
        <v>144</v>
      </c>
      <c r="J11" s="178">
        <v>0.38800000000000001</v>
      </c>
      <c r="K11" s="158" t="s">
        <v>240</v>
      </c>
      <c r="L11" s="179" t="s">
        <v>241</v>
      </c>
      <c r="M11" s="177" t="s">
        <v>159</v>
      </c>
    </row>
    <row r="12" spans="1:13" s="146" customFormat="1" ht="18.75" customHeight="1">
      <c r="A12" s="388"/>
      <c r="B12" s="389"/>
      <c r="C12" s="125">
        <f t="shared" si="2"/>
        <v>88.5</v>
      </c>
      <c r="D12" s="124">
        <f t="shared" si="0"/>
        <v>2.21020039538628E-3</v>
      </c>
      <c r="E12" s="124">
        <f t="shared" si="1"/>
        <v>1.551498766299499E-3</v>
      </c>
      <c r="F12" s="131" t="s">
        <v>242</v>
      </c>
      <c r="G12" s="133">
        <v>50</v>
      </c>
      <c r="H12" s="131" t="s">
        <v>243</v>
      </c>
      <c r="I12" s="158" t="s">
        <v>144</v>
      </c>
      <c r="J12" s="178">
        <v>1.77</v>
      </c>
      <c r="K12" s="158" t="s">
        <v>244</v>
      </c>
      <c r="L12" s="39" t="s">
        <v>245</v>
      </c>
      <c r="M12" s="177"/>
    </row>
    <row r="13" spans="1:13" ht="18.75" customHeight="1">
      <c r="A13" s="388"/>
      <c r="B13" s="389"/>
      <c r="C13" s="125">
        <f t="shared" si="2"/>
        <v>296</v>
      </c>
      <c r="D13" s="124">
        <f t="shared" si="0"/>
        <v>7.3923086670546773E-3</v>
      </c>
      <c r="E13" s="124">
        <f t="shared" si="1"/>
        <v>5.189193613837872E-3</v>
      </c>
      <c r="F13" s="131" t="s">
        <v>246</v>
      </c>
      <c r="G13" s="37">
        <v>100</v>
      </c>
      <c r="H13" s="131" t="s">
        <v>247</v>
      </c>
      <c r="I13" s="158" t="s">
        <v>144</v>
      </c>
      <c r="J13" s="180">
        <v>2.96</v>
      </c>
      <c r="K13" s="158" t="s">
        <v>235</v>
      </c>
      <c r="L13" s="39" t="s">
        <v>248</v>
      </c>
      <c r="M13" s="177"/>
    </row>
    <row r="14" spans="1:13" ht="18.75" customHeight="1">
      <c r="A14" s="388"/>
      <c r="B14" s="389"/>
      <c r="C14" s="125">
        <f>+G14*J14</f>
        <v>154.5</v>
      </c>
      <c r="D14" s="124">
        <f t="shared" si="0"/>
        <v>3.8584854360133366E-3</v>
      </c>
      <c r="E14" s="124">
        <f t="shared" si="1"/>
        <v>2.7085486937092947E-3</v>
      </c>
      <c r="F14" s="136" t="s">
        <v>62</v>
      </c>
      <c r="G14" s="136">
        <v>10</v>
      </c>
      <c r="H14" s="111" t="s">
        <v>64</v>
      </c>
      <c r="I14" s="31" t="s">
        <v>67</v>
      </c>
      <c r="J14" s="31">
        <v>15.45</v>
      </c>
      <c r="K14" s="157" t="s">
        <v>59</v>
      </c>
      <c r="L14" s="30" t="s">
        <v>74</v>
      </c>
      <c r="M14" s="420" t="s">
        <v>122</v>
      </c>
    </row>
    <row r="15" spans="1:13" ht="18.75" customHeight="1">
      <c r="A15" s="388"/>
      <c r="B15" s="389"/>
      <c r="C15" s="125">
        <f>+G15*J15</f>
        <v>81</v>
      </c>
      <c r="D15" s="124">
        <f t="shared" si="0"/>
        <v>2.0228952771332055E-3</v>
      </c>
      <c r="E15" s="124">
        <f t="shared" si="1"/>
        <v>1.4200158200029312E-3</v>
      </c>
      <c r="F15" s="136" t="s">
        <v>66</v>
      </c>
      <c r="G15" s="136">
        <v>15</v>
      </c>
      <c r="H15" s="111" t="s">
        <v>64</v>
      </c>
      <c r="I15" s="31" t="s">
        <v>67</v>
      </c>
      <c r="J15" s="31">
        <v>5.4</v>
      </c>
      <c r="K15" s="157" t="s">
        <v>59</v>
      </c>
      <c r="L15" s="30" t="s">
        <v>73</v>
      </c>
      <c r="M15" s="421"/>
    </row>
    <row r="16" spans="1:13" ht="18.75" customHeight="1">
      <c r="A16" s="388"/>
      <c r="B16" s="389"/>
      <c r="C16" s="125">
        <f>+G16*J16</f>
        <v>69</v>
      </c>
      <c r="D16" s="124">
        <f t="shared" si="0"/>
        <v>1.7232070879282862E-3</v>
      </c>
      <c r="E16" s="124">
        <f t="shared" si="1"/>
        <v>1.209643105928423E-3</v>
      </c>
      <c r="F16" s="39" t="s">
        <v>58</v>
      </c>
      <c r="G16" s="40">
        <v>30</v>
      </c>
      <c r="H16" s="112" t="s">
        <v>64</v>
      </c>
      <c r="I16" s="31" t="s">
        <v>67</v>
      </c>
      <c r="J16" s="22">
        <v>2.2999999999999998</v>
      </c>
      <c r="K16" s="157" t="s">
        <v>59</v>
      </c>
      <c r="L16" s="30" t="s">
        <v>63</v>
      </c>
      <c r="M16" s="422"/>
    </row>
    <row r="17" spans="1:13" s="146" customFormat="1" ht="18.75" customHeight="1">
      <c r="A17" s="60">
        <v>2</v>
      </c>
      <c r="B17" s="69" t="s">
        <v>5</v>
      </c>
      <c r="C17" s="93">
        <f>SUM(C18:C19)</f>
        <v>3084</v>
      </c>
      <c r="D17" s="42">
        <f t="shared" si="0"/>
        <v>7.7019864625664264E-2</v>
      </c>
      <c r="E17" s="42">
        <f t="shared" si="1"/>
        <v>5.406578751714864E-2</v>
      </c>
      <c r="F17" s="94"/>
      <c r="G17" s="95"/>
      <c r="H17" s="95"/>
      <c r="I17" s="95"/>
      <c r="J17" s="95"/>
      <c r="K17" s="95"/>
      <c r="L17" s="95"/>
      <c r="M17" s="175"/>
    </row>
    <row r="18" spans="1:13" s="146" customFormat="1" ht="18.75" customHeight="1">
      <c r="A18" s="386" t="s">
        <v>104</v>
      </c>
      <c r="B18" s="387"/>
      <c r="C18" s="123">
        <f>+G18*J18</f>
        <v>2752</v>
      </c>
      <c r="D18" s="118">
        <f t="shared" si="0"/>
        <v>6.8728491390994836E-2</v>
      </c>
      <c r="E18" s="118">
        <f t="shared" si="1"/>
        <v>4.8245475761087245E-2</v>
      </c>
      <c r="F18" s="158" t="s">
        <v>249</v>
      </c>
      <c r="G18" s="22">
        <v>800</v>
      </c>
      <c r="H18" s="139" t="s">
        <v>156</v>
      </c>
      <c r="I18" s="22" t="s">
        <v>211</v>
      </c>
      <c r="J18" s="158">
        <v>3.44</v>
      </c>
      <c r="K18" s="135" t="s">
        <v>250</v>
      </c>
      <c r="L18" s="33" t="s">
        <v>251</v>
      </c>
      <c r="M18" s="177"/>
    </row>
    <row r="19" spans="1:13" s="146" customFormat="1" ht="18.75" customHeight="1">
      <c r="A19" s="390"/>
      <c r="B19" s="391"/>
      <c r="C19" s="123">
        <f>+G19*J19</f>
        <v>332</v>
      </c>
      <c r="D19" s="118">
        <f t="shared" si="0"/>
        <v>8.2913732346694344E-3</v>
      </c>
      <c r="E19" s="118">
        <f t="shared" si="1"/>
        <v>5.8203117560613974E-3</v>
      </c>
      <c r="F19" s="158" t="s">
        <v>252</v>
      </c>
      <c r="G19" s="22">
        <v>100</v>
      </c>
      <c r="H19" s="139" t="s">
        <v>253</v>
      </c>
      <c r="I19" s="22" t="s">
        <v>88</v>
      </c>
      <c r="J19" s="158">
        <v>3.32</v>
      </c>
      <c r="K19" s="135" t="s">
        <v>254</v>
      </c>
      <c r="L19" s="33" t="s">
        <v>255</v>
      </c>
      <c r="M19" s="177"/>
    </row>
    <row r="20" spans="1:13" s="137" customFormat="1" ht="18.75" customHeight="1">
      <c r="A20" s="85">
        <v>3</v>
      </c>
      <c r="B20" s="70" t="s">
        <v>6</v>
      </c>
      <c r="C20" s="66">
        <f>SUM(C21:C27)</f>
        <v>2521.9</v>
      </c>
      <c r="D20" s="43">
        <f t="shared" si="0"/>
        <v>6.2981970362990511E-2</v>
      </c>
      <c r="E20" s="43">
        <f t="shared" si="1"/>
        <v>4.4211578968708545E-2</v>
      </c>
      <c r="F20" s="25"/>
      <c r="G20" s="25"/>
      <c r="H20" s="44"/>
      <c r="I20" s="44"/>
      <c r="J20" s="25"/>
      <c r="K20" s="44"/>
      <c r="L20" s="44"/>
      <c r="M20" s="57"/>
    </row>
    <row r="21" spans="1:13" s="137" customFormat="1" ht="18.75" customHeight="1">
      <c r="A21" s="431" t="s">
        <v>104</v>
      </c>
      <c r="B21" s="432"/>
      <c r="C21" s="117">
        <f>+G21*J21</f>
        <v>1416</v>
      </c>
      <c r="D21" s="116">
        <f t="shared" si="0"/>
        <v>3.536320632618048E-2</v>
      </c>
      <c r="E21" s="116">
        <f t="shared" si="1"/>
        <v>2.4823980260791984E-2</v>
      </c>
      <c r="F21" s="32" t="s">
        <v>29</v>
      </c>
      <c r="G21" s="96">
        <v>40000</v>
      </c>
      <c r="H21" s="33" t="s">
        <v>256</v>
      </c>
      <c r="I21" s="33" t="s">
        <v>75</v>
      </c>
      <c r="J21" s="33">
        <v>3.5400000000000001E-2</v>
      </c>
      <c r="K21" s="33" t="s">
        <v>257</v>
      </c>
      <c r="L21" s="22" t="s">
        <v>44</v>
      </c>
      <c r="M21" s="58"/>
    </row>
    <row r="22" spans="1:13" s="137" customFormat="1" ht="18.75" customHeight="1">
      <c r="A22" s="433"/>
      <c r="B22" s="434"/>
      <c r="C22" s="117">
        <f>+G22*J22</f>
        <v>171.5</v>
      </c>
      <c r="D22" s="116">
        <f t="shared" si="0"/>
        <v>4.2830437040536386E-3</v>
      </c>
      <c r="E22" s="116">
        <f t="shared" si="1"/>
        <v>3.0065767053148481E-3</v>
      </c>
      <c r="F22" s="141" t="s">
        <v>178</v>
      </c>
      <c r="G22" s="33">
        <v>500</v>
      </c>
      <c r="H22" s="156" t="s">
        <v>170</v>
      </c>
      <c r="I22" s="33" t="s">
        <v>75</v>
      </c>
      <c r="J22" s="181">
        <v>0.34300000000000003</v>
      </c>
      <c r="K22" s="157" t="s">
        <v>205</v>
      </c>
      <c r="L22" s="141" t="s">
        <v>179</v>
      </c>
      <c r="M22" s="58"/>
    </row>
    <row r="23" spans="1:13" s="137" customFormat="1" ht="18.75" customHeight="1">
      <c r="A23" s="433"/>
      <c r="B23" s="434"/>
      <c r="C23" s="117">
        <f t="shared" ref="C23:C26" si="3">+G23*J23</f>
        <v>228</v>
      </c>
      <c r="D23" s="116">
        <f t="shared" si="0"/>
        <v>5.6940755948934677E-3</v>
      </c>
      <c r="E23" s="116">
        <f t="shared" si="1"/>
        <v>3.9970815674156583E-3</v>
      </c>
      <c r="F23" s="141" t="s">
        <v>172</v>
      </c>
      <c r="G23" s="33">
        <v>1500</v>
      </c>
      <c r="H23" s="156" t="s">
        <v>170</v>
      </c>
      <c r="I23" s="33" t="s">
        <v>75</v>
      </c>
      <c r="J23" s="181">
        <v>0.152</v>
      </c>
      <c r="K23" s="157" t="s">
        <v>205</v>
      </c>
      <c r="L23" s="141" t="s">
        <v>173</v>
      </c>
      <c r="M23" s="58"/>
    </row>
    <row r="24" spans="1:13" s="137" customFormat="1" ht="18.75" customHeight="1">
      <c r="A24" s="433"/>
      <c r="B24" s="434"/>
      <c r="C24" s="117">
        <f t="shared" si="3"/>
        <v>107</v>
      </c>
      <c r="D24" s="116">
        <f t="shared" si="0"/>
        <v>2.6722196870771972E-3</v>
      </c>
      <c r="E24" s="116">
        <f t="shared" si="1"/>
        <v>1.875823367164366E-3</v>
      </c>
      <c r="F24" s="141" t="s">
        <v>174</v>
      </c>
      <c r="G24" s="33">
        <v>500</v>
      </c>
      <c r="H24" s="156" t="s">
        <v>170</v>
      </c>
      <c r="I24" s="33" t="s">
        <v>75</v>
      </c>
      <c r="J24" s="181">
        <v>0.214</v>
      </c>
      <c r="K24" s="157" t="s">
        <v>205</v>
      </c>
      <c r="L24" s="141" t="s">
        <v>175</v>
      </c>
      <c r="M24" s="58"/>
    </row>
    <row r="25" spans="1:13" s="137" customFormat="1" ht="18.75" customHeight="1">
      <c r="A25" s="433"/>
      <c r="B25" s="434"/>
      <c r="C25" s="117">
        <f t="shared" si="3"/>
        <v>67.5</v>
      </c>
      <c r="D25" s="116">
        <f t="shared" si="0"/>
        <v>1.6857460642776712E-3</v>
      </c>
      <c r="E25" s="116">
        <f t="shared" si="1"/>
        <v>1.1833465166691095E-3</v>
      </c>
      <c r="F25" s="141" t="s">
        <v>176</v>
      </c>
      <c r="G25" s="33">
        <v>300</v>
      </c>
      <c r="H25" s="156" t="s">
        <v>170</v>
      </c>
      <c r="I25" s="33" t="s">
        <v>75</v>
      </c>
      <c r="J25" s="181">
        <v>0.22500000000000001</v>
      </c>
      <c r="K25" s="157" t="s">
        <v>205</v>
      </c>
      <c r="L25" s="141" t="s">
        <v>177</v>
      </c>
      <c r="M25" s="58"/>
    </row>
    <row r="26" spans="1:13" s="137" customFormat="1" ht="18.75" customHeight="1">
      <c r="A26" s="433"/>
      <c r="B26" s="434"/>
      <c r="C26" s="117">
        <f t="shared" si="3"/>
        <v>518</v>
      </c>
      <c r="D26" s="116">
        <f t="shared" si="0"/>
        <v>1.2936540167345684E-2</v>
      </c>
      <c r="E26" s="116">
        <f t="shared" si="1"/>
        <v>9.0810888242162761E-3</v>
      </c>
      <c r="F26" s="141" t="s">
        <v>180</v>
      </c>
      <c r="G26" s="33">
        <v>700</v>
      </c>
      <c r="H26" s="156" t="s">
        <v>181</v>
      </c>
      <c r="I26" s="33" t="s">
        <v>75</v>
      </c>
      <c r="J26" s="181">
        <v>0.74</v>
      </c>
      <c r="K26" s="182" t="s">
        <v>206</v>
      </c>
      <c r="L26" s="141" t="s">
        <v>182</v>
      </c>
      <c r="M26" s="58"/>
    </row>
    <row r="27" spans="1:13" s="137" customFormat="1" ht="18.75" customHeight="1">
      <c r="A27" s="435"/>
      <c r="B27" s="436"/>
      <c r="C27" s="117">
        <f>+G27*J27</f>
        <v>13.899999999999999</v>
      </c>
      <c r="D27" s="116">
        <f t="shared" si="0"/>
        <v>3.4713881916236488E-4</v>
      </c>
      <c r="E27" s="116">
        <f t="shared" si="1"/>
        <v>2.4368172713630547E-4</v>
      </c>
      <c r="F27" s="32" t="s">
        <v>30</v>
      </c>
      <c r="G27" s="97">
        <v>1000</v>
      </c>
      <c r="H27" s="33" t="s">
        <v>258</v>
      </c>
      <c r="I27" s="33" t="s">
        <v>75</v>
      </c>
      <c r="J27" s="33">
        <v>1.3899999999999999E-2</v>
      </c>
      <c r="K27" s="33" t="s">
        <v>259</v>
      </c>
      <c r="L27" s="22" t="s">
        <v>45</v>
      </c>
      <c r="M27" s="58"/>
    </row>
    <row r="28" spans="1:13" s="146" customFormat="1" ht="18.75" customHeight="1">
      <c r="A28" s="60">
        <v>4</v>
      </c>
      <c r="B28" s="175" t="s">
        <v>7</v>
      </c>
      <c r="C28" s="67">
        <f>SUM(C29:C32)</f>
        <v>7985.5926912707964</v>
      </c>
      <c r="D28" s="42">
        <f t="shared" si="0"/>
        <v>0.19943231778124862</v>
      </c>
      <c r="E28" s="42">
        <f t="shared" si="1"/>
        <v>0.13999590066301623</v>
      </c>
      <c r="F28" s="174"/>
      <c r="G28" s="174"/>
      <c r="H28" s="41"/>
      <c r="I28" s="41"/>
      <c r="J28" s="41"/>
      <c r="K28" s="41"/>
      <c r="L28" s="41"/>
      <c r="M28" s="175"/>
    </row>
    <row r="29" spans="1:13" s="146" customFormat="1" ht="30" customHeight="1">
      <c r="A29" s="423" t="s">
        <v>103</v>
      </c>
      <c r="B29" s="424"/>
      <c r="C29" s="122">
        <f>G29-J29</f>
        <v>7000</v>
      </c>
      <c r="D29" s="118">
        <f t="shared" si="0"/>
        <v>0.17481811036953629</v>
      </c>
      <c r="E29" s="118">
        <f t="shared" si="1"/>
        <v>0.12271741654346319</v>
      </c>
      <c r="F29" s="136" t="s">
        <v>68</v>
      </c>
      <c r="G29" s="98">
        <v>10000</v>
      </c>
      <c r="H29" s="31" t="s">
        <v>260</v>
      </c>
      <c r="I29" s="136" t="s">
        <v>124</v>
      </c>
      <c r="J29" s="98">
        <v>3000</v>
      </c>
      <c r="K29" s="31" t="s">
        <v>260</v>
      </c>
      <c r="L29" s="31" t="s">
        <v>125</v>
      </c>
      <c r="M29" s="177" t="s">
        <v>232</v>
      </c>
    </row>
    <row r="30" spans="1:13" s="146" customFormat="1" ht="30" customHeight="1">
      <c r="A30" s="425"/>
      <c r="B30" s="426"/>
      <c r="C30" s="122">
        <v>0</v>
      </c>
      <c r="D30" s="118">
        <f t="shared" si="0"/>
        <v>0</v>
      </c>
      <c r="E30" s="118">
        <f t="shared" si="1"/>
        <v>0</v>
      </c>
      <c r="F30" s="136" t="s">
        <v>69</v>
      </c>
      <c r="G30" s="136"/>
      <c r="H30" s="31"/>
      <c r="I30" s="31"/>
      <c r="J30" s="34"/>
      <c r="K30" s="31"/>
      <c r="L30" s="31"/>
      <c r="M30" s="177" t="s">
        <v>70</v>
      </c>
    </row>
    <row r="31" spans="1:13" s="146" customFormat="1" ht="30" customHeight="1">
      <c r="A31" s="425"/>
      <c r="B31" s="426"/>
      <c r="C31" s="117">
        <f>+G31*J31</f>
        <v>836.59269127079676</v>
      </c>
      <c r="D31" s="118">
        <f t="shared" si="0"/>
        <v>2.0893079062417934E-2</v>
      </c>
      <c r="E31" s="118">
        <f t="shared" si="1"/>
        <v>1.4666356253127896E-2</v>
      </c>
      <c r="F31" s="136" t="s">
        <v>261</v>
      </c>
      <c r="G31" s="34">
        <f>2000*16403.7782602117</f>
        <v>32807556.520423401</v>
      </c>
      <c r="H31" s="31" t="s">
        <v>262</v>
      </c>
      <c r="I31" s="99" t="s">
        <v>263</v>
      </c>
      <c r="J31" s="34">
        <v>2.55E-5</v>
      </c>
      <c r="K31" s="31" t="s">
        <v>264</v>
      </c>
      <c r="L31" s="136" t="s">
        <v>87</v>
      </c>
      <c r="M31" s="177"/>
    </row>
    <row r="32" spans="1:13" s="146" customFormat="1" ht="45" customHeight="1">
      <c r="A32" s="427"/>
      <c r="B32" s="428"/>
      <c r="C32" s="117">
        <f>+G32*J32</f>
        <v>149</v>
      </c>
      <c r="D32" s="118">
        <f t="shared" si="0"/>
        <v>3.7211283492944152E-3</v>
      </c>
      <c r="E32" s="118">
        <f t="shared" si="1"/>
        <v>2.6121278664251453E-3</v>
      </c>
      <c r="F32" s="136" t="s">
        <v>265</v>
      </c>
      <c r="G32" s="34">
        <f>2000*500</f>
        <v>1000000</v>
      </c>
      <c r="H32" s="31" t="s">
        <v>266</v>
      </c>
      <c r="I32" s="136" t="s">
        <v>79</v>
      </c>
      <c r="J32" s="34">
        <v>1.4899999999999999E-4</v>
      </c>
      <c r="K32" s="31" t="s">
        <v>267</v>
      </c>
      <c r="L32" s="136" t="s">
        <v>269</v>
      </c>
      <c r="M32" s="177" t="s">
        <v>270</v>
      </c>
    </row>
    <row r="33" spans="1:13" s="18" customFormat="1" ht="18.75" customHeight="1">
      <c r="A33" s="86">
        <v>5</v>
      </c>
      <c r="B33" s="71" t="s">
        <v>8</v>
      </c>
      <c r="C33" s="67">
        <f>SUM(C34:C35)</f>
        <v>88.096999999999994</v>
      </c>
      <c r="D33" s="42">
        <f t="shared" si="0"/>
        <v>2.2001358670321481E-3</v>
      </c>
      <c r="E33" s="42">
        <f t="shared" si="1"/>
        <v>1.5444337493184966E-3</v>
      </c>
      <c r="F33" s="26"/>
      <c r="G33" s="26"/>
      <c r="H33" s="46"/>
      <c r="I33" s="46"/>
      <c r="J33" s="46"/>
      <c r="K33" s="46"/>
      <c r="L33" s="46"/>
      <c r="M33" s="59"/>
    </row>
    <row r="34" spans="1:13" s="18" customFormat="1" ht="18.75" customHeight="1">
      <c r="A34" s="382" t="s">
        <v>271</v>
      </c>
      <c r="B34" s="383"/>
      <c r="C34" s="122">
        <f>+G34*J34</f>
        <v>87.39</v>
      </c>
      <c r="D34" s="118">
        <f t="shared" si="0"/>
        <v>2.1824792378848249E-3</v>
      </c>
      <c r="E34" s="118">
        <f t="shared" si="1"/>
        <v>1.532039290247607E-3</v>
      </c>
      <c r="F34" s="153" t="s">
        <v>272</v>
      </c>
      <c r="G34" s="45">
        <v>100</v>
      </c>
      <c r="H34" s="47" t="s">
        <v>273</v>
      </c>
      <c r="I34" s="47" t="s">
        <v>83</v>
      </c>
      <c r="J34" s="47">
        <v>0.87390000000000001</v>
      </c>
      <c r="K34" s="47" t="s">
        <v>61</v>
      </c>
      <c r="L34" s="47" t="s">
        <v>115</v>
      </c>
      <c r="M34" s="407" t="s">
        <v>114</v>
      </c>
    </row>
    <row r="35" spans="1:13" s="18" customFormat="1" ht="18.75" customHeight="1">
      <c r="A35" s="382"/>
      <c r="B35" s="383"/>
      <c r="C35" s="122">
        <f t="shared" ref="C35:C36" si="4">+G35*J35</f>
        <v>0.70699999999999996</v>
      </c>
      <c r="D35" s="118">
        <f t="shared" si="0"/>
        <v>1.7656629147323162E-5</v>
      </c>
      <c r="E35" s="118">
        <f t="shared" si="1"/>
        <v>1.2394459070889782E-5</v>
      </c>
      <c r="F35" s="153" t="s">
        <v>274</v>
      </c>
      <c r="G35" s="45">
        <v>10</v>
      </c>
      <c r="H35" s="47" t="s">
        <v>273</v>
      </c>
      <c r="I35" s="47" t="s">
        <v>83</v>
      </c>
      <c r="J35" s="47">
        <v>7.0699999999999999E-2</v>
      </c>
      <c r="K35" s="47" t="s">
        <v>61</v>
      </c>
      <c r="L35" s="47" t="s">
        <v>115</v>
      </c>
      <c r="M35" s="408"/>
    </row>
    <row r="36" spans="1:13" s="18" customFormat="1" ht="18.75" customHeight="1">
      <c r="A36" s="382"/>
      <c r="B36" s="383"/>
      <c r="C36" s="122">
        <f t="shared" si="4"/>
        <v>2.968</v>
      </c>
      <c r="D36" s="118">
        <f t="shared" si="0"/>
        <v>7.4122878796683379E-5</v>
      </c>
      <c r="E36" s="118">
        <f t="shared" si="1"/>
        <v>5.2032184614428392E-5</v>
      </c>
      <c r="F36" s="153" t="s">
        <v>276</v>
      </c>
      <c r="G36" s="153">
        <v>20</v>
      </c>
      <c r="H36" s="45" t="s">
        <v>273</v>
      </c>
      <c r="I36" s="47" t="s">
        <v>85</v>
      </c>
      <c r="J36" s="47">
        <v>0.1484</v>
      </c>
      <c r="K36" s="47" t="s">
        <v>61</v>
      </c>
      <c r="L36" s="47" t="s">
        <v>115</v>
      </c>
      <c r="M36" s="176" t="s">
        <v>82</v>
      </c>
    </row>
    <row r="37" spans="1:13" s="146" customFormat="1" ht="18.75" customHeight="1">
      <c r="A37" s="60">
        <v>6</v>
      </c>
      <c r="B37" s="175" t="s">
        <v>9</v>
      </c>
      <c r="C37" s="67">
        <f>SUM(C38:C40)</f>
        <v>14.933500000000002</v>
      </c>
      <c r="D37" s="42">
        <f t="shared" si="0"/>
        <v>3.7294946445763861E-4</v>
      </c>
      <c r="E37" s="42">
        <f t="shared" si="1"/>
        <v>2.6180007713597254E-4</v>
      </c>
      <c r="F37" s="174"/>
      <c r="G37" s="95"/>
      <c r="H37" s="41"/>
      <c r="I37" s="41"/>
      <c r="J37" s="41"/>
      <c r="K37" s="41"/>
      <c r="L37" s="41"/>
      <c r="M37" s="175"/>
    </row>
    <row r="38" spans="1:13" s="146" customFormat="1" ht="18.75" customHeight="1">
      <c r="A38" s="386" t="s">
        <v>277</v>
      </c>
      <c r="B38" s="387"/>
      <c r="C38" s="121">
        <f>+G38*J38</f>
        <v>6.8499999999999991E-2</v>
      </c>
      <c r="D38" s="118">
        <f t="shared" si="0"/>
        <v>1.7107200800447477E-6</v>
      </c>
      <c r="E38" s="118">
        <f t="shared" si="1"/>
        <v>1.2008775761753182E-6</v>
      </c>
      <c r="F38" s="183" t="s">
        <v>191</v>
      </c>
      <c r="G38" s="22">
        <v>50</v>
      </c>
      <c r="H38" s="160" t="s">
        <v>185</v>
      </c>
      <c r="I38" s="159" t="s">
        <v>214</v>
      </c>
      <c r="J38" s="184">
        <v>1.3699999999999999E-3</v>
      </c>
      <c r="K38" s="161" t="s">
        <v>207</v>
      </c>
      <c r="L38" s="151" t="s">
        <v>186</v>
      </c>
      <c r="M38" s="177"/>
    </row>
    <row r="39" spans="1:13" s="146" customFormat="1" ht="18.75" customHeight="1">
      <c r="A39" s="388"/>
      <c r="B39" s="389"/>
      <c r="C39" s="121">
        <f t="shared" ref="C39:C40" si="5">+G39*J39</f>
        <v>4.8150000000000004</v>
      </c>
      <c r="D39" s="118">
        <f t="shared" si="0"/>
        <v>1.202498859184739E-4</v>
      </c>
      <c r="E39" s="118">
        <f t="shared" si="1"/>
        <v>8.4412051522396474E-5</v>
      </c>
      <c r="F39" s="39" t="s">
        <v>187</v>
      </c>
      <c r="G39" s="22">
        <v>1500</v>
      </c>
      <c r="H39" s="160" t="s">
        <v>185</v>
      </c>
      <c r="I39" s="159" t="s">
        <v>214</v>
      </c>
      <c r="J39" s="184">
        <v>3.2100000000000002E-3</v>
      </c>
      <c r="K39" s="161" t="s">
        <v>207</v>
      </c>
      <c r="L39" s="152" t="s">
        <v>188</v>
      </c>
      <c r="M39" s="177"/>
    </row>
    <row r="40" spans="1:13" s="146" customFormat="1" ht="18.75" customHeight="1">
      <c r="A40" s="390"/>
      <c r="B40" s="391"/>
      <c r="C40" s="121">
        <f t="shared" si="5"/>
        <v>10.050000000000001</v>
      </c>
      <c r="D40" s="118">
        <f t="shared" si="0"/>
        <v>2.5098885845911998E-4</v>
      </c>
      <c r="E40" s="118">
        <f t="shared" si="1"/>
        <v>1.7618714803740074E-4</v>
      </c>
      <c r="F40" s="185" t="s">
        <v>189</v>
      </c>
      <c r="G40" s="22">
        <v>5000</v>
      </c>
      <c r="H40" s="160" t="s">
        <v>185</v>
      </c>
      <c r="I40" s="159" t="s">
        <v>214</v>
      </c>
      <c r="J40" s="184">
        <v>2.0100000000000001E-3</v>
      </c>
      <c r="K40" s="161" t="s">
        <v>207</v>
      </c>
      <c r="L40" s="152" t="s">
        <v>190</v>
      </c>
      <c r="M40" s="177"/>
    </row>
    <row r="41" spans="1:13" s="146" customFormat="1" ht="18.75" customHeight="1">
      <c r="A41" s="60">
        <v>7</v>
      </c>
      <c r="B41" s="175" t="s">
        <v>10</v>
      </c>
      <c r="C41" s="67">
        <f>SUM(C42:C44)</f>
        <v>844.10072169512966</v>
      </c>
      <c r="D41" s="42">
        <f t="shared" si="0"/>
        <v>2.1080584732614916E-2</v>
      </c>
      <c r="E41" s="42">
        <f t="shared" si="1"/>
        <v>1.4797979981271303E-2</v>
      </c>
      <c r="F41" s="174"/>
      <c r="G41" s="95"/>
      <c r="H41" s="46"/>
      <c r="I41" s="41"/>
      <c r="J41" s="41"/>
      <c r="K41" s="41"/>
      <c r="L41" s="41"/>
      <c r="M41" s="175"/>
    </row>
    <row r="42" spans="1:13" s="146" customFormat="1" ht="18.75" customHeight="1">
      <c r="A42" s="386" t="s">
        <v>277</v>
      </c>
      <c r="B42" s="387"/>
      <c r="C42" s="122">
        <f>+G42*J42</f>
        <v>2.7399999999999998</v>
      </c>
      <c r="D42" s="118">
        <f t="shared" si="0"/>
        <v>6.8428803201789912E-5</v>
      </c>
      <c r="E42" s="118">
        <f t="shared" si="1"/>
        <v>4.8035103047012733E-5</v>
      </c>
      <c r="F42" s="150" t="s">
        <v>192</v>
      </c>
      <c r="G42" s="22">
        <v>2000</v>
      </c>
      <c r="H42" s="160" t="s">
        <v>185</v>
      </c>
      <c r="I42" s="159" t="s">
        <v>214</v>
      </c>
      <c r="J42" s="128">
        <v>1.3699999999999999E-3</v>
      </c>
      <c r="K42" s="161" t="s">
        <v>207</v>
      </c>
      <c r="L42" s="151" t="s">
        <v>193</v>
      </c>
      <c r="M42" s="177"/>
    </row>
    <row r="43" spans="1:13" s="146" customFormat="1" ht="18.75" customHeight="1">
      <c r="A43" s="388"/>
      <c r="B43" s="389"/>
      <c r="C43" s="122">
        <f t="shared" ref="C43:C44" si="6">+G43*J43</f>
        <v>0.121</v>
      </c>
      <c r="D43" s="118">
        <f t="shared" si="0"/>
        <v>3.02185590781627E-6</v>
      </c>
      <c r="E43" s="118">
        <f t="shared" si="1"/>
        <v>2.1212582002512921E-6</v>
      </c>
      <c r="F43" s="150" t="s">
        <v>194</v>
      </c>
      <c r="G43" s="22">
        <v>50</v>
      </c>
      <c r="H43" s="160" t="s">
        <v>185</v>
      </c>
      <c r="I43" s="159" t="s">
        <v>214</v>
      </c>
      <c r="J43" s="128">
        <v>2.4199999999999998E-3</v>
      </c>
      <c r="K43" s="161" t="s">
        <v>203</v>
      </c>
      <c r="L43" s="152" t="s">
        <v>195</v>
      </c>
      <c r="M43" s="177"/>
    </row>
    <row r="44" spans="1:13" s="146" customFormat="1" ht="30" customHeight="1">
      <c r="A44" s="390"/>
      <c r="B44" s="391"/>
      <c r="C44" s="122">
        <f t="shared" si="6"/>
        <v>841.23972169512967</v>
      </c>
      <c r="D44" s="118">
        <f t="shared" si="0"/>
        <v>2.1009134073505308E-2</v>
      </c>
      <c r="E44" s="118">
        <f t="shared" si="1"/>
        <v>1.4747823620024039E-2</v>
      </c>
      <c r="F44" s="150" t="s">
        <v>196</v>
      </c>
      <c r="G44" s="22">
        <v>50</v>
      </c>
      <c r="H44" s="160" t="s">
        <v>185</v>
      </c>
      <c r="I44" s="159" t="s">
        <v>214</v>
      </c>
      <c r="J44" s="38">
        <v>16.824794433902593</v>
      </c>
      <c r="K44" s="161" t="s">
        <v>203</v>
      </c>
      <c r="L44" s="114" t="s">
        <v>197</v>
      </c>
      <c r="M44" s="177" t="s">
        <v>198</v>
      </c>
    </row>
    <row r="45" spans="1:13" s="146" customFormat="1" ht="18.75" customHeight="1">
      <c r="A45" s="60">
        <v>8</v>
      </c>
      <c r="B45" s="175" t="s">
        <v>11</v>
      </c>
      <c r="C45" s="93">
        <f>SUM(C46:C46)</f>
        <v>12.875</v>
      </c>
      <c r="D45" s="42">
        <f t="shared" si="0"/>
        <v>3.2154045300111138E-4</v>
      </c>
      <c r="E45" s="42">
        <f t="shared" si="1"/>
        <v>2.2571239114244123E-4</v>
      </c>
      <c r="F45" s="94"/>
      <c r="G45" s="95"/>
      <c r="H45" s="95"/>
      <c r="I45" s="95"/>
      <c r="J45" s="95"/>
      <c r="K45" s="95"/>
      <c r="L45" s="95"/>
      <c r="M45" s="175"/>
    </row>
    <row r="46" spans="1:13" s="146" customFormat="1" ht="45" customHeight="1">
      <c r="A46" s="384" t="s">
        <v>218</v>
      </c>
      <c r="B46" s="385"/>
      <c r="C46" s="123">
        <f>+G46*J46</f>
        <v>12.875</v>
      </c>
      <c r="D46" s="118">
        <f t="shared" si="0"/>
        <v>3.2154045300111138E-4</v>
      </c>
      <c r="E46" s="118">
        <f t="shared" si="1"/>
        <v>2.2571239114244123E-4</v>
      </c>
      <c r="F46" s="21" t="s">
        <v>107</v>
      </c>
      <c r="G46" s="100">
        <v>500</v>
      </c>
      <c r="H46" s="100" t="s">
        <v>278</v>
      </c>
      <c r="I46" s="22" t="s">
        <v>110</v>
      </c>
      <c r="J46" s="22">
        <f>0.103*3/12</f>
        <v>2.5749999999999999E-2</v>
      </c>
      <c r="K46" s="22" t="s">
        <v>279</v>
      </c>
      <c r="L46" s="21" t="s">
        <v>280</v>
      </c>
      <c r="M46" s="177" t="s">
        <v>109</v>
      </c>
    </row>
    <row r="47" spans="1:13" s="146" customFormat="1" ht="18.75" customHeight="1">
      <c r="A47" s="60">
        <v>9</v>
      </c>
      <c r="B47" s="175" t="s">
        <v>12</v>
      </c>
      <c r="C47" s="437" t="s">
        <v>281</v>
      </c>
      <c r="D47" s="438"/>
      <c r="E47" s="438"/>
      <c r="F47" s="438"/>
      <c r="G47" s="438"/>
      <c r="H47" s="438"/>
      <c r="I47" s="438"/>
      <c r="J47" s="438"/>
      <c r="K47" s="438"/>
      <c r="L47" s="438"/>
      <c r="M47" s="439"/>
    </row>
    <row r="48" spans="1:13" s="146" customFormat="1" ht="18.75" customHeight="1">
      <c r="A48" s="60">
        <v>10</v>
      </c>
      <c r="B48" s="69" t="s">
        <v>13</v>
      </c>
      <c r="C48" s="93">
        <f>SUM(C49)</f>
        <v>2300</v>
      </c>
      <c r="D48" s="42">
        <f>+C48/$C$70</f>
        <v>5.7440236264276204E-2</v>
      </c>
      <c r="E48" s="42">
        <f>+C48/$C$73</f>
        <v>4.032143686428076E-2</v>
      </c>
      <c r="F48" s="94"/>
      <c r="G48" s="95"/>
      <c r="H48" s="95"/>
      <c r="I48" s="95"/>
      <c r="J48" s="95"/>
      <c r="K48" s="95"/>
      <c r="L48" s="95"/>
      <c r="M48" s="175"/>
    </row>
    <row r="49" spans="1:13" s="146" customFormat="1" ht="45" customHeight="1">
      <c r="A49" s="402" t="s">
        <v>222</v>
      </c>
      <c r="B49" s="403"/>
      <c r="C49" s="123">
        <f>+G49*J49</f>
        <v>2300</v>
      </c>
      <c r="D49" s="118">
        <f>+C49/$C$70</f>
        <v>5.7440236264276204E-2</v>
      </c>
      <c r="E49" s="118">
        <f>+C49/$C$73</f>
        <v>4.032143686428076E-2</v>
      </c>
      <c r="F49" s="21" t="s">
        <v>223</v>
      </c>
      <c r="G49" s="100">
        <v>10000</v>
      </c>
      <c r="H49" s="100" t="s">
        <v>221</v>
      </c>
      <c r="I49" s="22" t="s">
        <v>224</v>
      </c>
      <c r="J49" s="22">
        <v>0.23</v>
      </c>
      <c r="K49" s="22" t="s">
        <v>225</v>
      </c>
      <c r="L49" s="21" t="s">
        <v>227</v>
      </c>
      <c r="M49" s="177" t="s">
        <v>282</v>
      </c>
    </row>
    <row r="50" spans="1:13" s="13" customFormat="1" ht="18.75" customHeight="1">
      <c r="A50" s="85">
        <v>11</v>
      </c>
      <c r="B50" s="70" t="s">
        <v>14</v>
      </c>
      <c r="C50" s="437" t="s">
        <v>283</v>
      </c>
      <c r="D50" s="438"/>
      <c r="E50" s="438"/>
      <c r="F50" s="438"/>
      <c r="G50" s="438"/>
      <c r="H50" s="438"/>
      <c r="I50" s="438"/>
      <c r="J50" s="438"/>
      <c r="K50" s="438"/>
      <c r="L50" s="438"/>
      <c r="M50" s="439"/>
    </row>
    <row r="51" spans="1:13" s="146" customFormat="1" ht="18.75" customHeight="1">
      <c r="A51" s="60">
        <v>12</v>
      </c>
      <c r="B51" s="69" t="s">
        <v>15</v>
      </c>
      <c r="C51" s="67">
        <f>SUM(C52:C53)</f>
        <v>1484.35</v>
      </c>
      <c r="D51" s="42">
        <f>+C51/$C$70</f>
        <v>3.7070180303860167E-2</v>
      </c>
      <c r="E51" s="48">
        <f>+C51/$C$73</f>
        <v>2.6022228178041368E-2</v>
      </c>
      <c r="F51" s="25"/>
      <c r="G51" s="25"/>
      <c r="H51" s="27"/>
      <c r="I51" s="25"/>
      <c r="J51" s="25"/>
      <c r="K51" s="25"/>
      <c r="L51" s="25"/>
      <c r="M51" s="61"/>
    </row>
    <row r="52" spans="1:13" s="146" customFormat="1" ht="30" customHeight="1">
      <c r="A52" s="386" t="s">
        <v>284</v>
      </c>
      <c r="B52" s="440"/>
      <c r="C52" s="123">
        <f>+G52*J52</f>
        <v>1088</v>
      </c>
      <c r="D52" s="118">
        <f>+C52/$C$70</f>
        <v>2.7171729154579351E-2</v>
      </c>
      <c r="E52" s="118">
        <f>+C52/$C$73</f>
        <v>1.9073792742755422E-2</v>
      </c>
      <c r="F52" s="186" t="s">
        <v>285</v>
      </c>
      <c r="G52" s="186">
        <v>8000</v>
      </c>
      <c r="H52" s="186" t="s">
        <v>286</v>
      </c>
      <c r="I52" s="186" t="s">
        <v>287</v>
      </c>
      <c r="J52" s="187">
        <v>0.13600000000000001</v>
      </c>
      <c r="K52" s="186" t="s">
        <v>288</v>
      </c>
      <c r="L52" s="186" t="s">
        <v>289</v>
      </c>
      <c r="M52" s="186" t="s">
        <v>290</v>
      </c>
    </row>
    <row r="53" spans="1:13" s="146" customFormat="1" ht="30" customHeight="1">
      <c r="A53" s="441"/>
      <c r="B53" s="442"/>
      <c r="C53" s="123">
        <f>+G53*J53</f>
        <v>396.34999999999997</v>
      </c>
      <c r="D53" s="118">
        <f>+C53/$C$70</f>
        <v>9.8984511492808142E-3</v>
      </c>
      <c r="E53" s="118">
        <f>+C53/$C$73</f>
        <v>6.9484354352859472E-3</v>
      </c>
      <c r="F53" s="186" t="s">
        <v>291</v>
      </c>
      <c r="G53" s="186">
        <v>500</v>
      </c>
      <c r="H53" s="186" t="s">
        <v>286</v>
      </c>
      <c r="I53" s="186" t="s">
        <v>287</v>
      </c>
      <c r="J53" s="187">
        <v>0.79269999999999996</v>
      </c>
      <c r="K53" s="186" t="s">
        <v>288</v>
      </c>
      <c r="L53" s="186" t="s">
        <v>292</v>
      </c>
      <c r="M53" s="188" t="s">
        <v>293</v>
      </c>
    </row>
    <row r="54" spans="1:13" s="13" customFormat="1" ht="18.75" customHeight="1">
      <c r="A54" s="85">
        <v>13</v>
      </c>
      <c r="B54" s="87" t="s">
        <v>294</v>
      </c>
      <c r="C54" s="443" t="s">
        <v>295</v>
      </c>
      <c r="D54" s="444"/>
      <c r="E54" s="444"/>
      <c r="F54" s="444"/>
      <c r="G54" s="444"/>
      <c r="H54" s="444"/>
      <c r="I54" s="444"/>
      <c r="J54" s="444"/>
      <c r="K54" s="444"/>
      <c r="L54" s="444"/>
      <c r="M54" s="445"/>
    </row>
    <row r="55" spans="1:13" s="146" customFormat="1" ht="18.75" customHeight="1">
      <c r="A55" s="60">
        <v>14</v>
      </c>
      <c r="B55" s="69" t="s">
        <v>296</v>
      </c>
      <c r="C55" s="379" t="s">
        <v>31</v>
      </c>
      <c r="D55" s="380"/>
      <c r="E55" s="380"/>
      <c r="F55" s="380"/>
      <c r="G55" s="380"/>
      <c r="H55" s="380"/>
      <c r="I55" s="380"/>
      <c r="J55" s="380"/>
      <c r="K55" s="380"/>
      <c r="L55" s="380"/>
      <c r="M55" s="381"/>
    </row>
    <row r="56" spans="1:13" s="146" customFormat="1" ht="30" customHeight="1">
      <c r="A56" s="60">
        <v>15</v>
      </c>
      <c r="B56" s="69" t="s">
        <v>1</v>
      </c>
      <c r="C56" s="93">
        <f>SUM(C57:C68)</f>
        <v>4479.7691162140536</v>
      </c>
      <c r="D56" s="42">
        <f t="shared" ref="D56:D68" si="7">+C56/$C$70</f>
        <v>0.11187782454119263</v>
      </c>
      <c r="E56" s="42">
        <f t="shared" ref="E56:E68" si="8">+C56/$C$73</f>
        <v>7.8535098950425999E-2</v>
      </c>
      <c r="F56" s="94" t="s">
        <v>86</v>
      </c>
      <c r="G56" s="102" t="s">
        <v>102</v>
      </c>
      <c r="H56" s="103" t="s">
        <v>126</v>
      </c>
      <c r="I56" s="95" t="s">
        <v>101</v>
      </c>
      <c r="J56" s="94" t="s">
        <v>89</v>
      </c>
      <c r="K56" s="94" t="s">
        <v>97</v>
      </c>
      <c r="L56" s="95" t="s">
        <v>117</v>
      </c>
      <c r="M56" s="175"/>
    </row>
    <row r="57" spans="1:13" s="146" customFormat="1" ht="18.75" customHeight="1">
      <c r="A57" s="384" t="s">
        <v>105</v>
      </c>
      <c r="B57" s="385"/>
      <c r="C57" s="123">
        <f>+J57*K57</f>
        <v>1076.6919222103725</v>
      </c>
      <c r="D57" s="118">
        <f t="shared" si="7"/>
        <v>2.6889321041565866E-2</v>
      </c>
      <c r="E57" s="118">
        <f t="shared" si="8"/>
        <v>1.8875550158124622E-2</v>
      </c>
      <c r="F57" s="21" t="s">
        <v>297</v>
      </c>
      <c r="G57" s="100">
        <v>111452494</v>
      </c>
      <c r="H57" s="100">
        <v>1200000</v>
      </c>
      <c r="I57" s="22" t="s">
        <v>88</v>
      </c>
      <c r="J57" s="101">
        <f>H57/G57</f>
        <v>1.0766919222103724E-2</v>
      </c>
      <c r="K57" s="100">
        <v>100000</v>
      </c>
      <c r="L57" s="22" t="s">
        <v>90</v>
      </c>
      <c r="M57" s="177"/>
    </row>
    <row r="58" spans="1:13" s="146" customFormat="1" ht="18.75" customHeight="1">
      <c r="A58" s="384"/>
      <c r="B58" s="385"/>
      <c r="C58" s="123">
        <f t="shared" ref="C58:C62" si="9">+J58*K58</f>
        <v>7.7660731852452498</v>
      </c>
      <c r="D58" s="118">
        <f t="shared" si="7"/>
        <v>1.9395003417658574E-4</v>
      </c>
      <c r="E58" s="118">
        <f t="shared" si="8"/>
        <v>1.3614749114010876E-4</v>
      </c>
      <c r="F58" s="21" t="s">
        <v>298</v>
      </c>
      <c r="G58" s="100">
        <v>14163760420</v>
      </c>
      <c r="H58" s="100">
        <v>687480</v>
      </c>
      <c r="I58" s="22" t="s">
        <v>88</v>
      </c>
      <c r="J58" s="101">
        <f t="shared" ref="J58:J68" si="10">H58/G58</f>
        <v>4.8537957407782814E-5</v>
      </c>
      <c r="K58" s="100">
        <v>160000</v>
      </c>
      <c r="L58" s="22" t="s">
        <v>91</v>
      </c>
      <c r="M58" s="177"/>
    </row>
    <row r="59" spans="1:13" s="146" customFormat="1" ht="18.75" customHeight="1">
      <c r="A59" s="384"/>
      <c r="B59" s="385"/>
      <c r="C59" s="123">
        <f t="shared" si="9"/>
        <v>19.042509489546724</v>
      </c>
      <c r="D59" s="118">
        <f t="shared" si="7"/>
        <v>4.7556793223664588E-4</v>
      </c>
      <c r="E59" s="118">
        <f t="shared" si="8"/>
        <v>3.3383536700879374E-4</v>
      </c>
      <c r="F59" s="21" t="s">
        <v>299</v>
      </c>
      <c r="G59" s="100">
        <v>415352294</v>
      </c>
      <c r="H59" s="100">
        <v>158187</v>
      </c>
      <c r="I59" s="22" t="s">
        <v>88</v>
      </c>
      <c r="J59" s="101">
        <f t="shared" si="10"/>
        <v>3.8085018979093445E-4</v>
      </c>
      <c r="K59" s="100">
        <v>50000</v>
      </c>
      <c r="L59" s="22" t="s">
        <v>92</v>
      </c>
      <c r="M59" s="177"/>
    </row>
    <row r="60" spans="1:13" s="146" customFormat="1" ht="18.75" customHeight="1">
      <c r="A60" s="384"/>
      <c r="B60" s="385"/>
      <c r="C60" s="123">
        <f t="shared" si="9"/>
        <v>43.625767034497109</v>
      </c>
      <c r="D60" s="118">
        <f t="shared" si="7"/>
        <v>1.0895105937703418E-3</v>
      </c>
      <c r="E60" s="118">
        <f t="shared" si="8"/>
        <v>7.6480591788578097E-4</v>
      </c>
      <c r="F60" s="21" t="s">
        <v>300</v>
      </c>
      <c r="G60" s="100">
        <v>1237800586</v>
      </c>
      <c r="H60" s="100">
        <v>900000</v>
      </c>
      <c r="I60" s="22" t="s">
        <v>88</v>
      </c>
      <c r="J60" s="101">
        <f t="shared" si="10"/>
        <v>7.2709611724161842E-4</v>
      </c>
      <c r="K60" s="100">
        <v>60000</v>
      </c>
      <c r="L60" s="22" t="s">
        <v>93</v>
      </c>
      <c r="M60" s="177"/>
    </row>
    <row r="61" spans="1:13" s="146" customFormat="1" ht="18.75" customHeight="1">
      <c r="A61" s="384"/>
      <c r="B61" s="385"/>
      <c r="C61" s="123">
        <f t="shared" si="9"/>
        <v>107.43490759668525</v>
      </c>
      <c r="D61" s="118">
        <f t="shared" si="7"/>
        <v>2.6830810762540364E-3</v>
      </c>
      <c r="E61" s="118">
        <f t="shared" si="8"/>
        <v>1.8834477581215574E-3</v>
      </c>
      <c r="F61" s="21" t="s">
        <v>301</v>
      </c>
      <c r="G61" s="100">
        <v>1737940900</v>
      </c>
      <c r="H61" s="100">
        <v>2333944</v>
      </c>
      <c r="I61" s="22" t="s">
        <v>88</v>
      </c>
      <c r="J61" s="101">
        <f t="shared" si="10"/>
        <v>1.3429363449585657E-3</v>
      </c>
      <c r="K61" s="100">
        <v>80000</v>
      </c>
      <c r="L61" s="22" t="s">
        <v>94</v>
      </c>
      <c r="M61" s="177"/>
    </row>
    <row r="62" spans="1:13" s="146" customFormat="1" ht="18.75" customHeight="1">
      <c r="A62" s="384"/>
      <c r="B62" s="385"/>
      <c r="C62" s="123">
        <f t="shared" si="9"/>
        <v>277.39352083240539</v>
      </c>
      <c r="D62" s="118">
        <f t="shared" si="7"/>
        <v>6.9276301629533866E-3</v>
      </c>
      <c r="E62" s="118">
        <f t="shared" si="8"/>
        <v>4.8630023203497328E-3</v>
      </c>
      <c r="F62" s="21" t="s">
        <v>302</v>
      </c>
      <c r="G62" s="100">
        <v>551521094</v>
      </c>
      <c r="H62" s="100">
        <v>1509029</v>
      </c>
      <c r="I62" s="22" t="s">
        <v>88</v>
      </c>
      <c r="J62" s="101">
        <f t="shared" si="10"/>
        <v>2.7361220022529185E-3</v>
      </c>
      <c r="K62" s="100">
        <v>101382</v>
      </c>
      <c r="L62" s="22" t="s">
        <v>95</v>
      </c>
      <c r="M62" s="177"/>
    </row>
    <row r="63" spans="1:13" s="146" customFormat="1" ht="18.75" customHeight="1">
      <c r="A63" s="384"/>
      <c r="B63" s="385"/>
      <c r="C63" s="123">
        <f>+J63*K63</f>
        <v>512.89707709331537</v>
      </c>
      <c r="D63" s="118">
        <f t="shared" si="7"/>
        <v>1.2809099690215967E-2</v>
      </c>
      <c r="E63" s="118">
        <f t="shared" si="8"/>
        <v>8.991629179083591E-3</v>
      </c>
      <c r="F63" s="21" t="s">
        <v>303</v>
      </c>
      <c r="G63" s="100">
        <v>700480693</v>
      </c>
      <c r="H63" s="100">
        <v>1381825</v>
      </c>
      <c r="I63" s="22" t="s">
        <v>88</v>
      </c>
      <c r="J63" s="101">
        <f t="shared" si="10"/>
        <v>1.9726810657435209E-3</v>
      </c>
      <c r="K63" s="100">
        <v>260000</v>
      </c>
      <c r="L63" s="22" t="s">
        <v>96</v>
      </c>
      <c r="M63" s="177"/>
    </row>
    <row r="64" spans="1:13" s="146" customFormat="1" ht="18.75" customHeight="1">
      <c r="A64" s="384"/>
      <c r="B64" s="385"/>
      <c r="C64" s="123">
        <f t="shared" ref="C64:C68" si="11">+J64*K64</f>
        <v>0</v>
      </c>
      <c r="D64" s="118">
        <f t="shared" si="7"/>
        <v>0</v>
      </c>
      <c r="E64" s="118">
        <f t="shared" si="8"/>
        <v>0</v>
      </c>
      <c r="F64" s="21" t="s">
        <v>304</v>
      </c>
      <c r="G64" s="100">
        <v>28149877</v>
      </c>
      <c r="H64" s="100">
        <v>971000</v>
      </c>
      <c r="I64" s="22" t="s">
        <v>88</v>
      </c>
      <c r="J64" s="101">
        <f t="shared" si="10"/>
        <v>3.449393402322859E-2</v>
      </c>
      <c r="K64" s="100">
        <v>0</v>
      </c>
      <c r="L64" s="22" t="s">
        <v>98</v>
      </c>
      <c r="M64" s="177"/>
    </row>
    <row r="65" spans="1:13" s="146" customFormat="1" ht="18.75" customHeight="1">
      <c r="A65" s="384"/>
      <c r="B65" s="385"/>
      <c r="C65" s="123">
        <f t="shared" si="11"/>
        <v>1771.2732742793926</v>
      </c>
      <c r="D65" s="118">
        <f t="shared" si="7"/>
        <v>4.4235806679654967E-2</v>
      </c>
      <c r="E65" s="118">
        <f t="shared" si="8"/>
        <v>3.1052297173149737E-2</v>
      </c>
      <c r="F65" s="21" t="s">
        <v>305</v>
      </c>
      <c r="G65" s="100">
        <v>271056029</v>
      </c>
      <c r="H65" s="100">
        <v>1600381</v>
      </c>
      <c r="I65" s="22" t="s">
        <v>88</v>
      </c>
      <c r="J65" s="101">
        <f t="shared" si="10"/>
        <v>5.9042442475979754E-3</v>
      </c>
      <c r="K65" s="100">
        <v>300000</v>
      </c>
      <c r="L65" s="22" t="s">
        <v>99</v>
      </c>
      <c r="M65" s="177"/>
    </row>
    <row r="66" spans="1:13" s="146" customFormat="1" ht="18.75" customHeight="1">
      <c r="A66" s="384"/>
      <c r="B66" s="385"/>
      <c r="C66" s="123">
        <f t="shared" si="11"/>
        <v>503.4498897353115</v>
      </c>
      <c r="D66" s="118">
        <f t="shared" si="7"/>
        <v>1.2573165484182651E-2</v>
      </c>
      <c r="E66" s="118">
        <f t="shared" si="8"/>
        <v>8.8260099753441189E-3</v>
      </c>
      <c r="F66" s="21" t="s">
        <v>306</v>
      </c>
      <c r="G66" s="100">
        <v>1075540607</v>
      </c>
      <c r="H66" s="100">
        <v>1289240</v>
      </c>
      <c r="I66" s="22" t="s">
        <v>88</v>
      </c>
      <c r="J66" s="101">
        <f t="shared" si="10"/>
        <v>1.1986902136555035E-3</v>
      </c>
      <c r="K66" s="100">
        <v>420000</v>
      </c>
      <c r="L66" s="22" t="s">
        <v>116</v>
      </c>
      <c r="M66" s="177"/>
    </row>
    <row r="67" spans="1:13" s="146" customFormat="1" ht="18.75" customHeight="1">
      <c r="A67" s="384"/>
      <c r="B67" s="385"/>
      <c r="C67" s="123">
        <f t="shared" si="11"/>
        <v>0</v>
      </c>
      <c r="D67" s="118">
        <f t="shared" si="7"/>
        <v>0</v>
      </c>
      <c r="E67" s="118">
        <f t="shared" si="8"/>
        <v>0</v>
      </c>
      <c r="F67" s="21" t="s">
        <v>307</v>
      </c>
      <c r="G67" s="100">
        <v>490727495</v>
      </c>
      <c r="H67" s="100">
        <v>1822688</v>
      </c>
      <c r="I67" s="22" t="s">
        <v>88</v>
      </c>
      <c r="J67" s="101">
        <f t="shared" si="10"/>
        <v>3.7142569319454986E-3</v>
      </c>
      <c r="K67" s="100">
        <v>0</v>
      </c>
      <c r="L67" s="22" t="s">
        <v>98</v>
      </c>
      <c r="M67" s="177"/>
    </row>
    <row r="68" spans="1:13" s="146" customFormat="1" ht="18.75" customHeight="1">
      <c r="A68" s="384"/>
      <c r="B68" s="385"/>
      <c r="C68" s="123">
        <f t="shared" si="11"/>
        <v>160.19417475728153</v>
      </c>
      <c r="D68" s="118">
        <f t="shared" si="7"/>
        <v>4.0006918461821753E-3</v>
      </c>
      <c r="E68" s="118">
        <f t="shared" si="8"/>
        <v>2.8083736102179507E-3</v>
      </c>
      <c r="F68" s="21" t="s">
        <v>308</v>
      </c>
      <c r="G68" s="100">
        <v>206000000</v>
      </c>
      <c r="H68" s="100">
        <v>66000</v>
      </c>
      <c r="I68" s="22" t="s">
        <v>88</v>
      </c>
      <c r="J68" s="101">
        <f t="shared" si="10"/>
        <v>3.2038834951456308E-4</v>
      </c>
      <c r="K68" s="100">
        <v>500000</v>
      </c>
      <c r="L68" s="22" t="s">
        <v>100</v>
      </c>
      <c r="M68" s="177"/>
    </row>
    <row r="69" spans="1:13" s="137" customFormat="1" ht="18.75" customHeight="1" thickBot="1">
      <c r="A69" s="85">
        <v>16</v>
      </c>
      <c r="B69" s="88" t="s">
        <v>0</v>
      </c>
      <c r="C69" s="377" t="s">
        <v>46</v>
      </c>
      <c r="D69" s="377"/>
      <c r="E69" s="377"/>
      <c r="F69" s="377"/>
      <c r="G69" s="377"/>
      <c r="H69" s="377"/>
      <c r="I69" s="377"/>
      <c r="J69" s="377"/>
      <c r="K69" s="377"/>
      <c r="L69" s="378"/>
      <c r="M69" s="64"/>
    </row>
    <row r="70" spans="1:13" ht="18.75" customHeight="1" thickBot="1">
      <c r="A70" s="400" t="s">
        <v>17</v>
      </c>
      <c r="B70" s="401"/>
      <c r="C70" s="119">
        <f>SUM(C56,C54,C51,C50,C47,C45,C41,C37,C33,C28,C20,C17,C8)</f>
        <v>40041.618029179983</v>
      </c>
      <c r="D70" s="129">
        <f>+C70/$C$70</f>
        <v>1</v>
      </c>
      <c r="E70" s="129">
        <f>+C70/$C$73</f>
        <v>0.70197198839444652</v>
      </c>
      <c r="F70" s="72"/>
      <c r="G70" s="72"/>
      <c r="H70" s="73"/>
      <c r="I70" s="73"/>
      <c r="J70" s="73"/>
      <c r="K70" s="73"/>
      <c r="L70" s="73"/>
      <c r="M70" s="74"/>
    </row>
    <row r="71" spans="1:13" ht="18.75" customHeight="1" thickTop="1">
      <c r="A71" s="392" t="s">
        <v>25</v>
      </c>
      <c r="B71" s="393"/>
      <c r="C71" s="83">
        <v>5000</v>
      </c>
      <c r="D71" s="49"/>
      <c r="E71" s="124">
        <f>+C71/$C$73</f>
        <v>8.7655297531045132E-2</v>
      </c>
      <c r="F71" s="10"/>
      <c r="G71" s="10"/>
      <c r="H71" s="79"/>
      <c r="I71" s="79"/>
      <c r="J71" s="79"/>
      <c r="K71" s="79"/>
      <c r="L71" s="79"/>
      <c r="M71" s="62"/>
    </row>
    <row r="72" spans="1:13" ht="18.75" customHeight="1" thickBot="1">
      <c r="A72" s="394" t="s">
        <v>26</v>
      </c>
      <c r="B72" s="395"/>
      <c r="C72" s="84">
        <v>12000</v>
      </c>
      <c r="D72" s="50"/>
      <c r="E72" s="165">
        <f>+C72/$C$73</f>
        <v>0.21037271407450833</v>
      </c>
      <c r="F72" s="11"/>
      <c r="G72" s="11"/>
      <c r="H72" s="173"/>
      <c r="I72" s="173"/>
      <c r="J72" s="173"/>
      <c r="K72" s="173"/>
      <c r="L72" s="173"/>
      <c r="M72" s="63"/>
    </row>
    <row r="73" spans="1:13" ht="18.75" customHeight="1" thickTop="1" thickBot="1">
      <c r="A73" s="396" t="s">
        <v>18</v>
      </c>
      <c r="B73" s="397"/>
      <c r="C73" s="163">
        <f>SUM(C70:C72)</f>
        <v>57041.618029179983</v>
      </c>
      <c r="D73" s="166"/>
      <c r="E73" s="164">
        <f>+C73/$C$73</f>
        <v>1</v>
      </c>
      <c r="F73" s="75"/>
      <c r="G73" s="75"/>
      <c r="H73" s="76"/>
      <c r="I73" s="76"/>
      <c r="J73" s="76"/>
      <c r="K73" s="76"/>
      <c r="L73" s="76"/>
      <c r="M73" s="77"/>
    </row>
    <row r="75" spans="1:13" ht="14.25" thickBot="1">
      <c r="E75" s="373" t="s">
        <v>23</v>
      </c>
      <c r="F75" s="374"/>
      <c r="G75" s="172" t="s">
        <v>309</v>
      </c>
      <c r="H75" s="172" t="s">
        <v>27</v>
      </c>
    </row>
    <row r="76" spans="1:13" ht="14.25" thickTop="1">
      <c r="E76" s="52" t="s">
        <v>310</v>
      </c>
      <c r="F76" s="53"/>
      <c r="G76" s="7">
        <f>C71</f>
        <v>5000</v>
      </c>
      <c r="H76" s="9">
        <f>G76/$G$93</f>
        <v>8.4257898015880794E-2</v>
      </c>
    </row>
    <row r="77" spans="1:13">
      <c r="E77" s="54" t="s">
        <v>311</v>
      </c>
      <c r="F77" s="55"/>
      <c r="G77" s="7">
        <f>C72</f>
        <v>12000</v>
      </c>
      <c r="H77" s="9">
        <f>G77/$G$93</f>
        <v>0.2022189552381139</v>
      </c>
    </row>
    <row r="78" spans="1:13">
      <c r="E78" s="5" t="s">
        <v>312</v>
      </c>
      <c r="F78" s="5" t="s">
        <v>4</v>
      </c>
      <c r="G78" s="8">
        <f>C8</f>
        <v>19526</v>
      </c>
      <c r="H78" s="9">
        <f t="shared" ref="H78:H92" si="12">G78/$G$93</f>
        <v>0.32904394333161768</v>
      </c>
    </row>
    <row r="79" spans="1:13">
      <c r="E79" s="16" t="s">
        <v>313</v>
      </c>
      <c r="F79" s="16" t="s">
        <v>5</v>
      </c>
      <c r="G79" s="8">
        <f>C17</f>
        <v>3084</v>
      </c>
      <c r="H79" s="9">
        <f t="shared" si="12"/>
        <v>5.1970271496195271E-2</v>
      </c>
    </row>
    <row r="80" spans="1:13">
      <c r="E80" s="5" t="s">
        <v>314</v>
      </c>
      <c r="F80" s="16" t="s">
        <v>6</v>
      </c>
      <c r="G80" s="8">
        <f>C20</f>
        <v>2521.9</v>
      </c>
      <c r="H80" s="9">
        <f t="shared" si="12"/>
        <v>4.2497998601249955E-2</v>
      </c>
    </row>
    <row r="81" spans="5:9">
      <c r="E81" s="16" t="s">
        <v>315</v>
      </c>
      <c r="F81" s="16" t="s">
        <v>7</v>
      </c>
      <c r="G81" s="8">
        <f>C28</f>
        <v>7985.5926912707964</v>
      </c>
      <c r="H81" s="9">
        <f t="shared" si="12"/>
        <v>0.13456985091549156</v>
      </c>
    </row>
    <row r="82" spans="5:9">
      <c r="E82" s="5" t="s">
        <v>316</v>
      </c>
      <c r="F82" s="154" t="s">
        <v>8</v>
      </c>
      <c r="G82" s="8">
        <f>C33</f>
        <v>88.096999999999994</v>
      </c>
      <c r="H82" s="9">
        <f t="shared" si="12"/>
        <v>1.4845736083010099E-3</v>
      </c>
    </row>
    <row r="83" spans="5:9">
      <c r="E83" s="5" t="s">
        <v>133</v>
      </c>
      <c r="F83" s="16" t="s">
        <v>9</v>
      </c>
      <c r="G83" s="8">
        <f>C37</f>
        <v>14.933500000000002</v>
      </c>
      <c r="H83" s="9">
        <f t="shared" si="12"/>
        <v>2.516530640040312E-4</v>
      </c>
    </row>
    <row r="84" spans="5:9">
      <c r="E84" s="16" t="s">
        <v>134</v>
      </c>
      <c r="F84" s="16" t="s">
        <v>10</v>
      </c>
      <c r="G84" s="8">
        <f>C41</f>
        <v>844.10072169512966</v>
      </c>
      <c r="H84" s="9">
        <f t="shared" si="12"/>
        <v>1.4224430504743922E-2</v>
      </c>
    </row>
    <row r="85" spans="5:9">
      <c r="E85" s="5" t="s">
        <v>135</v>
      </c>
      <c r="F85" s="16" t="s">
        <v>11</v>
      </c>
      <c r="G85" s="8">
        <f>C45</f>
        <v>12.875</v>
      </c>
      <c r="H85" s="9">
        <f t="shared" si="12"/>
        <v>2.1696408739089304E-4</v>
      </c>
    </row>
    <row r="86" spans="5:9">
      <c r="E86" s="16" t="s">
        <v>136</v>
      </c>
      <c r="F86" s="16" t="s">
        <v>12</v>
      </c>
      <c r="G86" s="8">
        <v>0</v>
      </c>
      <c r="H86" s="9">
        <f t="shared" si="12"/>
        <v>0</v>
      </c>
    </row>
    <row r="87" spans="5:9">
      <c r="E87" s="5" t="s">
        <v>137</v>
      </c>
      <c r="F87" s="16" t="s">
        <v>13</v>
      </c>
      <c r="G87" s="28">
        <f>C48</f>
        <v>2300</v>
      </c>
      <c r="H87" s="9">
        <f t="shared" si="12"/>
        <v>3.8758633087305164E-2</v>
      </c>
    </row>
    <row r="88" spans="5:9">
      <c r="E88" s="5" t="s">
        <v>138</v>
      </c>
      <c r="F88" s="12" t="s">
        <v>14</v>
      </c>
      <c r="G88" s="8">
        <v>0</v>
      </c>
      <c r="H88" s="9">
        <f t="shared" si="12"/>
        <v>0</v>
      </c>
    </row>
    <row r="89" spans="5:9">
      <c r="E89" s="16" t="s">
        <v>139</v>
      </c>
      <c r="F89" s="16" t="s">
        <v>15</v>
      </c>
      <c r="G89" s="8">
        <f>C51</f>
        <v>1484.35</v>
      </c>
      <c r="H89" s="9">
        <f t="shared" si="12"/>
        <v>2.5013642183974529E-2</v>
      </c>
    </row>
    <row r="90" spans="5:9">
      <c r="E90" s="5" t="s">
        <v>140</v>
      </c>
      <c r="F90" s="19" t="s">
        <v>2</v>
      </c>
      <c r="G90" s="8">
        <v>0</v>
      </c>
      <c r="H90" s="9">
        <f t="shared" si="12"/>
        <v>0</v>
      </c>
    </row>
    <row r="91" spans="5:9">
      <c r="E91" s="16" t="s">
        <v>141</v>
      </c>
      <c r="F91" s="16" t="s">
        <v>317</v>
      </c>
      <c r="G91" s="28">
        <v>0</v>
      </c>
      <c r="H91" s="9">
        <f t="shared" si="12"/>
        <v>0</v>
      </c>
    </row>
    <row r="92" spans="5:9" ht="14.25" thickBot="1">
      <c r="E92" s="5" t="s">
        <v>142</v>
      </c>
      <c r="F92" s="80" t="s">
        <v>1</v>
      </c>
      <c r="G92" s="6">
        <f>C56</f>
        <v>4479.7691162140536</v>
      </c>
      <c r="H92" s="81">
        <f t="shared" si="12"/>
        <v>7.5491185865731239E-2</v>
      </c>
    </row>
    <row r="93" spans="5:9" ht="14.25" thickTop="1">
      <c r="E93" s="375" t="s">
        <v>18</v>
      </c>
      <c r="F93" s="376"/>
      <c r="G93" s="7">
        <f>SUM(G76:G92)</f>
        <v>59341.618029179983</v>
      </c>
      <c r="H93" s="9">
        <f>G93/G93</f>
        <v>1</v>
      </c>
      <c r="I93" s="51"/>
    </row>
  </sheetData>
  <mergeCells count="31">
    <mergeCell ref="E93:F93"/>
    <mergeCell ref="C69:L69"/>
    <mergeCell ref="A70:B70"/>
    <mergeCell ref="A71:B71"/>
    <mergeCell ref="A72:B72"/>
    <mergeCell ref="A73:B73"/>
    <mergeCell ref="E75:F75"/>
    <mergeCell ref="A57:B68"/>
    <mergeCell ref="A34:B36"/>
    <mergeCell ref="M34:M35"/>
    <mergeCell ref="A38:B40"/>
    <mergeCell ref="A42:B44"/>
    <mergeCell ref="A46:B46"/>
    <mergeCell ref="C47:M47"/>
    <mergeCell ref="A49:B49"/>
    <mergeCell ref="C50:M50"/>
    <mergeCell ref="A52:B53"/>
    <mergeCell ref="C54:M54"/>
    <mergeCell ref="C55:M55"/>
    <mergeCell ref="M6:M7"/>
    <mergeCell ref="A9:B16"/>
    <mergeCell ref="M14:M16"/>
    <mergeCell ref="A18:B19"/>
    <mergeCell ref="A21:B27"/>
    <mergeCell ref="G6:I6"/>
    <mergeCell ref="J6:L6"/>
    <mergeCell ref="A29:B32"/>
    <mergeCell ref="A6:B7"/>
    <mergeCell ref="C6:C7"/>
    <mergeCell ref="D6:E6"/>
    <mergeCell ref="F6:F7"/>
  </mergeCells>
  <phoneticPr fontId="3"/>
  <pageMargins left="0.70866141732283472" right="0.70866141732283472" top="0.74803149606299213" bottom="0.74803149606299213" header="0.31496062992125984" footer="0.31496062992125984"/>
  <pageSetup paperSize="8" scale="55" fitToHeight="2" orientation="landscape" r:id="rId1"/>
  <rowBreaks count="1" manualBreakCount="1">
    <brk id="53"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30"/>
  <sheetViews>
    <sheetView view="pageBreakPreview" zoomScale="80" zoomScaleNormal="85" zoomScaleSheetLayoutView="80" workbookViewId="0">
      <pane ySplit="7" topLeftCell="A8" activePane="bottomLeft" state="frozen"/>
      <selection pane="bottomLeft"/>
    </sheetView>
  </sheetViews>
  <sheetFormatPr defaultRowHeight="13.5"/>
  <cols>
    <col min="1" max="1" width="3.5" style="130" bestFit="1" customWidth="1"/>
    <col min="2" max="2" width="29.875" style="130" customWidth="1"/>
    <col min="3" max="3" width="12.5" style="3" customWidth="1"/>
    <col min="4" max="4" width="7.875" style="4" bestFit="1" customWidth="1"/>
    <col min="5" max="5" width="9.875" style="4" bestFit="1" customWidth="1"/>
    <col min="6" max="6" width="24.75" style="1" customWidth="1"/>
    <col min="7" max="7" width="13.125" style="1" customWidth="1"/>
    <col min="8" max="8" width="13.125" style="130" customWidth="1"/>
    <col min="9" max="9" width="40" style="130" customWidth="1"/>
    <col min="10" max="11" width="13.125" style="130" customWidth="1"/>
    <col min="12" max="12" width="40" style="130" customWidth="1"/>
    <col min="13" max="13" width="65.75" style="1" customWidth="1"/>
    <col min="14" max="16384" width="9" style="130"/>
  </cols>
  <sheetData>
    <row r="2" spans="1:13">
      <c r="B2" s="130" t="s">
        <v>318</v>
      </c>
    </row>
    <row r="3" spans="1:13">
      <c r="B3" s="130" t="s">
        <v>319</v>
      </c>
    </row>
    <row r="5" spans="1:13" ht="14.25" thickBot="1"/>
    <row r="6" spans="1:13" ht="14.25" thickBot="1">
      <c r="A6" s="412" t="s">
        <v>48</v>
      </c>
      <c r="B6" s="412"/>
      <c r="C6" s="413" t="s">
        <v>49</v>
      </c>
      <c r="D6" s="415" t="s">
        <v>121</v>
      </c>
      <c r="E6" s="415"/>
      <c r="F6" s="416" t="s">
        <v>16</v>
      </c>
      <c r="G6" s="417" t="s">
        <v>50</v>
      </c>
      <c r="H6" s="418"/>
      <c r="I6" s="419"/>
      <c r="J6" s="412" t="s">
        <v>51</v>
      </c>
      <c r="K6" s="412"/>
      <c r="L6" s="412"/>
      <c r="M6" s="410" t="s">
        <v>43</v>
      </c>
    </row>
    <row r="7" spans="1:13" s="2" customFormat="1" ht="14.25" thickBot="1">
      <c r="A7" s="412"/>
      <c r="B7" s="412"/>
      <c r="C7" s="414"/>
      <c r="D7" s="90" t="s">
        <v>52</v>
      </c>
      <c r="E7" s="90" t="s">
        <v>53</v>
      </c>
      <c r="F7" s="416"/>
      <c r="G7" s="91" t="s">
        <v>54</v>
      </c>
      <c r="H7" s="92" t="s">
        <v>55</v>
      </c>
      <c r="I7" s="92" t="s">
        <v>56</v>
      </c>
      <c r="J7" s="92" t="s">
        <v>57</v>
      </c>
      <c r="K7" s="92" t="s">
        <v>55</v>
      </c>
      <c r="L7" s="169" t="s">
        <v>56</v>
      </c>
      <c r="M7" s="411"/>
    </row>
    <row r="8" spans="1:13" ht="18.75" customHeight="1">
      <c r="A8" s="89">
        <v>1</v>
      </c>
      <c r="B8" s="68" t="s">
        <v>4</v>
      </c>
      <c r="C8" s="65">
        <f>SUM(C9:C27)</f>
        <v>2891086.5</v>
      </c>
      <c r="D8" s="36">
        <f t="shared" ref="D8:D71" si="0">+C8/$C$107</f>
        <v>0.16141216132502248</v>
      </c>
      <c r="E8" s="36">
        <f t="shared" ref="E8:E71" si="1">+C8/$C$110</f>
        <v>0.13502679283501082</v>
      </c>
      <c r="F8" s="24"/>
      <c r="G8" s="24"/>
      <c r="H8" s="35"/>
      <c r="I8" s="35"/>
      <c r="J8" s="35"/>
      <c r="K8" s="35"/>
      <c r="L8" s="35"/>
      <c r="M8" s="56"/>
    </row>
    <row r="9" spans="1:13" s="146" customFormat="1" ht="30" customHeight="1">
      <c r="A9" s="384" t="s">
        <v>104</v>
      </c>
      <c r="B9" s="385"/>
      <c r="C9" s="125">
        <f t="shared" ref="C9:C24" si="2">+G9*J9</f>
        <v>91800</v>
      </c>
      <c r="D9" s="124">
        <f t="shared" si="0"/>
        <v>5.1252829722102967E-3</v>
      </c>
      <c r="E9" s="124">
        <f t="shared" si="1"/>
        <v>4.2874744779355422E-3</v>
      </c>
      <c r="F9" s="131" t="s">
        <v>320</v>
      </c>
      <c r="G9" s="37">
        <v>60000</v>
      </c>
      <c r="H9" s="158" t="s">
        <v>321</v>
      </c>
      <c r="I9" s="158" t="s">
        <v>144</v>
      </c>
      <c r="J9" s="189">
        <v>1.53</v>
      </c>
      <c r="K9" s="158" t="s">
        <v>61</v>
      </c>
      <c r="L9" s="179" t="s">
        <v>322</v>
      </c>
      <c r="M9" s="421"/>
    </row>
    <row r="10" spans="1:13" s="146" customFormat="1" ht="18.75" customHeight="1">
      <c r="A10" s="384"/>
      <c r="B10" s="385"/>
      <c r="C10" s="125">
        <f t="shared" si="2"/>
        <v>7300</v>
      </c>
      <c r="D10" s="124">
        <f t="shared" si="0"/>
        <v>4.0756607513219132E-4</v>
      </c>
      <c r="E10" s="124">
        <f t="shared" si="1"/>
        <v>3.4094295957439499E-4</v>
      </c>
      <c r="F10" s="131" t="s">
        <v>323</v>
      </c>
      <c r="G10" s="37">
        <v>5000</v>
      </c>
      <c r="H10" s="158" t="s">
        <v>321</v>
      </c>
      <c r="I10" s="158" t="s">
        <v>144</v>
      </c>
      <c r="J10" s="189">
        <v>1.46</v>
      </c>
      <c r="K10" s="158" t="s">
        <v>61</v>
      </c>
      <c r="L10" s="179" t="s">
        <v>324</v>
      </c>
      <c r="M10" s="421"/>
    </row>
    <row r="11" spans="1:13" ht="18.75" customHeight="1">
      <c r="A11" s="384"/>
      <c r="B11" s="385"/>
      <c r="C11" s="125">
        <f t="shared" si="2"/>
        <v>189000</v>
      </c>
      <c r="D11" s="124">
        <f t="shared" si="0"/>
        <v>1.0552053178080022E-2</v>
      </c>
      <c r="E11" s="124">
        <f t="shared" si="1"/>
        <v>8.8271533369261163E-3</v>
      </c>
      <c r="F11" s="131" t="s">
        <v>325</v>
      </c>
      <c r="G11" s="133">
        <v>30000</v>
      </c>
      <c r="H11" s="158" t="s">
        <v>321</v>
      </c>
      <c r="I11" s="158" t="s">
        <v>144</v>
      </c>
      <c r="J11" s="178">
        <v>6.3</v>
      </c>
      <c r="K11" s="158" t="s">
        <v>61</v>
      </c>
      <c r="L11" s="179" t="s">
        <v>326</v>
      </c>
      <c r="M11" s="421"/>
    </row>
    <row r="12" spans="1:13" ht="18.75" customHeight="1">
      <c r="A12" s="384"/>
      <c r="B12" s="385"/>
      <c r="C12" s="125">
        <f t="shared" si="2"/>
        <v>60800</v>
      </c>
      <c r="D12" s="124">
        <f t="shared" si="0"/>
        <v>3.394522927128388E-3</v>
      </c>
      <c r="E12" s="124">
        <f t="shared" si="1"/>
        <v>2.8396345126196184E-3</v>
      </c>
      <c r="F12" s="131" t="s">
        <v>327</v>
      </c>
      <c r="G12" s="37">
        <v>10000</v>
      </c>
      <c r="H12" s="158" t="s">
        <v>321</v>
      </c>
      <c r="I12" s="158" t="s">
        <v>144</v>
      </c>
      <c r="J12" s="178">
        <v>6.08</v>
      </c>
      <c r="K12" s="158" t="s">
        <v>61</v>
      </c>
      <c r="L12" s="179" t="s">
        <v>328</v>
      </c>
      <c r="M12" s="421"/>
    </row>
    <row r="13" spans="1:13" ht="18.75" customHeight="1">
      <c r="A13" s="384"/>
      <c r="B13" s="385"/>
      <c r="C13" s="125">
        <f t="shared" si="2"/>
        <v>18650</v>
      </c>
      <c r="D13" s="124">
        <f t="shared" si="0"/>
        <v>1.0412475755089544E-3</v>
      </c>
      <c r="E13" s="124">
        <f t="shared" si="1"/>
        <v>8.7103920494006383E-4</v>
      </c>
      <c r="F13" s="131" t="s">
        <v>329</v>
      </c>
      <c r="G13" s="37">
        <v>5000</v>
      </c>
      <c r="H13" s="158" t="s">
        <v>321</v>
      </c>
      <c r="I13" s="158" t="s">
        <v>144</v>
      </c>
      <c r="J13" s="178">
        <v>3.73</v>
      </c>
      <c r="K13" s="158" t="s">
        <v>61</v>
      </c>
      <c r="L13" s="179" t="s">
        <v>330</v>
      </c>
      <c r="M13" s="421"/>
    </row>
    <row r="14" spans="1:13" ht="18.75" customHeight="1">
      <c r="A14" s="384"/>
      <c r="B14" s="385"/>
      <c r="C14" s="125">
        <f t="shared" si="2"/>
        <v>3180</v>
      </c>
      <c r="D14" s="124">
        <f t="shared" si="0"/>
        <v>1.7754248204388608E-4</v>
      </c>
      <c r="E14" s="124">
        <f t="shared" si="1"/>
        <v>1.4852035773240768E-4</v>
      </c>
      <c r="F14" s="131" t="s">
        <v>331</v>
      </c>
      <c r="G14" s="37">
        <v>5000</v>
      </c>
      <c r="H14" s="158" t="s">
        <v>321</v>
      </c>
      <c r="I14" s="158" t="s">
        <v>144</v>
      </c>
      <c r="J14" s="178">
        <v>0.63600000000000001</v>
      </c>
      <c r="K14" s="158" t="s">
        <v>61</v>
      </c>
      <c r="L14" s="179" t="s">
        <v>332</v>
      </c>
      <c r="M14" s="421"/>
    </row>
    <row r="15" spans="1:13" ht="18.75" customHeight="1">
      <c r="A15" s="384"/>
      <c r="B15" s="385"/>
      <c r="C15" s="125">
        <f t="shared" si="2"/>
        <v>138900</v>
      </c>
      <c r="D15" s="124">
        <f t="shared" si="0"/>
        <v>7.7549216213508732E-3</v>
      </c>
      <c r="E15" s="124">
        <f t="shared" si="1"/>
        <v>6.4872571349155429E-3</v>
      </c>
      <c r="F15" s="131" t="s">
        <v>333</v>
      </c>
      <c r="G15" s="37">
        <v>30000</v>
      </c>
      <c r="H15" s="158" t="s">
        <v>321</v>
      </c>
      <c r="I15" s="158" t="s">
        <v>144</v>
      </c>
      <c r="J15" s="178">
        <v>4.63</v>
      </c>
      <c r="K15" s="158" t="s">
        <v>61</v>
      </c>
      <c r="L15" s="179" t="s">
        <v>334</v>
      </c>
      <c r="M15" s="421"/>
    </row>
    <row r="16" spans="1:13" ht="18.75" customHeight="1">
      <c r="A16" s="384"/>
      <c r="B16" s="385"/>
      <c r="C16" s="125">
        <f t="shared" si="2"/>
        <v>8222</v>
      </c>
      <c r="D16" s="124">
        <f t="shared" si="0"/>
        <v>4.5904222873107905E-4</v>
      </c>
      <c r="E16" s="124">
        <f t="shared" si="1"/>
        <v>3.8400452241379117E-4</v>
      </c>
      <c r="F16" s="131" t="s">
        <v>335</v>
      </c>
      <c r="G16" s="37">
        <v>10000</v>
      </c>
      <c r="H16" s="158" t="s">
        <v>321</v>
      </c>
      <c r="I16" s="158" t="s">
        <v>144</v>
      </c>
      <c r="J16" s="178">
        <v>0.82220000000000004</v>
      </c>
      <c r="K16" s="158" t="s">
        <v>61</v>
      </c>
      <c r="L16" s="179" t="s">
        <v>336</v>
      </c>
      <c r="M16" s="421"/>
    </row>
    <row r="17" spans="1:13" ht="18.75" customHeight="1">
      <c r="A17" s="384"/>
      <c r="B17" s="385"/>
      <c r="C17" s="125">
        <f t="shared" si="2"/>
        <v>2052000</v>
      </c>
      <c r="D17" s="124">
        <f t="shared" si="0"/>
        <v>0.11456514879058309</v>
      </c>
      <c r="E17" s="124">
        <f t="shared" si="1"/>
        <v>9.5837664800912117E-2</v>
      </c>
      <c r="F17" s="131" t="s">
        <v>337</v>
      </c>
      <c r="G17" s="37">
        <v>1200000</v>
      </c>
      <c r="H17" s="158" t="s">
        <v>321</v>
      </c>
      <c r="I17" s="158" t="s">
        <v>144</v>
      </c>
      <c r="J17" s="190">
        <v>1.71</v>
      </c>
      <c r="K17" s="191" t="s">
        <v>61</v>
      </c>
      <c r="L17" s="179" t="s">
        <v>338</v>
      </c>
      <c r="M17" s="421"/>
    </row>
    <row r="18" spans="1:13" ht="18.75" customHeight="1">
      <c r="A18" s="384"/>
      <c r="B18" s="385"/>
      <c r="C18" s="125">
        <f t="shared" si="2"/>
        <v>108000</v>
      </c>
      <c r="D18" s="124">
        <f t="shared" si="0"/>
        <v>6.0297446731885839E-3</v>
      </c>
      <c r="E18" s="124">
        <f t="shared" si="1"/>
        <v>5.044087621100638E-3</v>
      </c>
      <c r="F18" s="131" t="s">
        <v>339</v>
      </c>
      <c r="G18" s="37">
        <v>100000</v>
      </c>
      <c r="H18" s="158" t="s">
        <v>321</v>
      </c>
      <c r="I18" s="158" t="s">
        <v>144</v>
      </c>
      <c r="J18" s="178">
        <v>1.08</v>
      </c>
      <c r="K18" s="158" t="s">
        <v>61</v>
      </c>
      <c r="L18" s="179" t="s">
        <v>340</v>
      </c>
      <c r="M18" s="421"/>
    </row>
    <row r="19" spans="1:13" ht="18.75" customHeight="1">
      <c r="A19" s="384"/>
      <c r="B19" s="385"/>
      <c r="C19" s="125">
        <f t="shared" si="2"/>
        <v>13800</v>
      </c>
      <c r="D19" s="124">
        <f t="shared" si="0"/>
        <v>7.7046737490743013E-4</v>
      </c>
      <c r="E19" s="124">
        <f t="shared" si="1"/>
        <v>6.4452230714063705E-4</v>
      </c>
      <c r="F19" s="131" t="s">
        <v>341</v>
      </c>
      <c r="G19" s="37">
        <v>500</v>
      </c>
      <c r="H19" s="158" t="s">
        <v>321</v>
      </c>
      <c r="I19" s="158" t="s">
        <v>144</v>
      </c>
      <c r="J19" s="178">
        <v>27.6</v>
      </c>
      <c r="K19" s="158" t="s">
        <v>61</v>
      </c>
      <c r="L19" s="179" t="s">
        <v>342</v>
      </c>
      <c r="M19" s="421"/>
    </row>
    <row r="20" spans="1:13" ht="29.25" customHeight="1">
      <c r="A20" s="384"/>
      <c r="B20" s="385"/>
      <c r="C20" s="125">
        <f t="shared" si="2"/>
        <v>62600</v>
      </c>
      <c r="D20" s="124">
        <f t="shared" si="0"/>
        <v>3.4950186716815311E-3</v>
      </c>
      <c r="E20" s="124">
        <f t="shared" si="1"/>
        <v>2.9237026396379622E-3</v>
      </c>
      <c r="F20" s="131" t="s">
        <v>343</v>
      </c>
      <c r="G20" s="37">
        <v>20000</v>
      </c>
      <c r="H20" s="158" t="s">
        <v>321</v>
      </c>
      <c r="I20" s="158" t="s">
        <v>144</v>
      </c>
      <c r="J20" s="178">
        <v>3.13</v>
      </c>
      <c r="K20" s="158" t="s">
        <v>61</v>
      </c>
      <c r="L20" s="179" t="s">
        <v>344</v>
      </c>
      <c r="M20" s="421"/>
    </row>
    <row r="21" spans="1:13" ht="18.75" customHeight="1">
      <c r="A21" s="384"/>
      <c r="B21" s="385"/>
      <c r="C21" s="125">
        <f t="shared" si="2"/>
        <v>11800</v>
      </c>
      <c r="D21" s="124">
        <f t="shared" si="0"/>
        <v>6.5880543651504898E-4</v>
      </c>
      <c r="E21" s="124">
        <f t="shared" si="1"/>
        <v>5.5111327712025491E-4</v>
      </c>
      <c r="F21" s="131" t="s">
        <v>345</v>
      </c>
      <c r="G21" s="37">
        <v>5000</v>
      </c>
      <c r="H21" s="158" t="s">
        <v>321</v>
      </c>
      <c r="I21" s="158" t="s">
        <v>144</v>
      </c>
      <c r="J21" s="178">
        <v>2.36</v>
      </c>
      <c r="K21" s="158" t="s">
        <v>61</v>
      </c>
      <c r="L21" s="179" t="s">
        <v>346</v>
      </c>
      <c r="M21" s="421"/>
    </row>
    <row r="22" spans="1:13" ht="18.75" customHeight="1">
      <c r="A22" s="384"/>
      <c r="B22" s="385"/>
      <c r="C22" s="125">
        <f t="shared" si="2"/>
        <v>5160</v>
      </c>
      <c r="D22" s="124">
        <f t="shared" si="0"/>
        <v>2.8808780105234346E-4</v>
      </c>
      <c r="E22" s="124">
        <f t="shared" si="1"/>
        <v>2.4099529745258603E-4</v>
      </c>
      <c r="F22" s="131" t="s">
        <v>347</v>
      </c>
      <c r="G22" s="37">
        <v>1000</v>
      </c>
      <c r="H22" s="158" t="s">
        <v>321</v>
      </c>
      <c r="I22" s="158" t="s">
        <v>144</v>
      </c>
      <c r="J22" s="192">
        <v>5.16</v>
      </c>
      <c r="K22" s="158" t="s">
        <v>61</v>
      </c>
      <c r="L22" s="179" t="s">
        <v>348</v>
      </c>
      <c r="M22" s="422"/>
    </row>
    <row r="23" spans="1:13" ht="45" customHeight="1">
      <c r="A23" s="384"/>
      <c r="B23" s="385"/>
      <c r="C23" s="125">
        <f t="shared" si="2"/>
        <v>3570</v>
      </c>
      <c r="D23" s="124">
        <f t="shared" si="0"/>
        <v>1.9931656003040042E-4</v>
      </c>
      <c r="E23" s="124">
        <f t="shared" si="1"/>
        <v>1.6673511858638219E-4</v>
      </c>
      <c r="F23" s="131" t="s">
        <v>349</v>
      </c>
      <c r="G23" s="37">
        <v>500</v>
      </c>
      <c r="H23" s="158" t="s">
        <v>64</v>
      </c>
      <c r="I23" s="158" t="s">
        <v>144</v>
      </c>
      <c r="J23" s="193">
        <v>7.14</v>
      </c>
      <c r="K23" s="158" t="s">
        <v>59</v>
      </c>
      <c r="L23" s="30" t="s">
        <v>350</v>
      </c>
      <c r="M23" s="177" t="s">
        <v>351</v>
      </c>
    </row>
    <row r="24" spans="1:13" ht="29.25" customHeight="1">
      <c r="A24" s="384"/>
      <c r="B24" s="385"/>
      <c r="C24" s="125">
        <f t="shared" si="2"/>
        <v>116000</v>
      </c>
      <c r="D24" s="124">
        <f t="shared" si="0"/>
        <v>6.476392426758109E-3</v>
      </c>
      <c r="E24" s="124">
        <f t="shared" si="1"/>
        <v>5.417723741182167E-3</v>
      </c>
      <c r="F24" s="194" t="s">
        <v>352</v>
      </c>
      <c r="G24" s="37">
        <v>20000</v>
      </c>
      <c r="H24" s="158" t="s">
        <v>119</v>
      </c>
      <c r="I24" s="158" t="s">
        <v>353</v>
      </c>
      <c r="J24" s="193">
        <v>5.8</v>
      </c>
      <c r="K24" s="158" t="s">
        <v>208</v>
      </c>
      <c r="L24" s="39" t="s">
        <v>354</v>
      </c>
      <c r="M24" s="177" t="s">
        <v>355</v>
      </c>
    </row>
    <row r="25" spans="1:13" ht="18.75" customHeight="1">
      <c r="A25" s="384"/>
      <c r="B25" s="385"/>
      <c r="C25" s="125">
        <f>+G25*J25</f>
        <v>154.5</v>
      </c>
      <c r="D25" s="124">
        <f t="shared" si="0"/>
        <v>8.6258847408114457E-6</v>
      </c>
      <c r="E25" s="124">
        <f t="shared" si="1"/>
        <v>7.2158475690745233E-6</v>
      </c>
      <c r="F25" s="136" t="s">
        <v>62</v>
      </c>
      <c r="G25" s="136">
        <v>10</v>
      </c>
      <c r="H25" s="38" t="s">
        <v>64</v>
      </c>
      <c r="I25" s="31" t="s">
        <v>67</v>
      </c>
      <c r="J25" s="47">
        <v>15.45</v>
      </c>
      <c r="K25" s="157" t="s">
        <v>59</v>
      </c>
      <c r="L25" s="30" t="s">
        <v>74</v>
      </c>
      <c r="M25" s="420" t="s">
        <v>122</v>
      </c>
    </row>
    <row r="26" spans="1:13" ht="18.75" customHeight="1">
      <c r="A26" s="384"/>
      <c r="B26" s="385"/>
      <c r="C26" s="125">
        <f>+G26*J26</f>
        <v>81</v>
      </c>
      <c r="D26" s="124">
        <f t="shared" si="0"/>
        <v>4.522308504891438E-6</v>
      </c>
      <c r="E26" s="124">
        <f t="shared" si="1"/>
        <v>3.7830657158254786E-6</v>
      </c>
      <c r="F26" s="136" t="s">
        <v>66</v>
      </c>
      <c r="G26" s="136">
        <v>15</v>
      </c>
      <c r="H26" s="38" t="s">
        <v>64</v>
      </c>
      <c r="I26" s="31" t="s">
        <v>67</v>
      </c>
      <c r="J26" s="47">
        <v>5.4</v>
      </c>
      <c r="K26" s="157" t="s">
        <v>59</v>
      </c>
      <c r="L26" s="30" t="s">
        <v>73</v>
      </c>
      <c r="M26" s="421"/>
    </row>
    <row r="27" spans="1:13" ht="18.75" customHeight="1">
      <c r="A27" s="384"/>
      <c r="B27" s="385"/>
      <c r="C27" s="125">
        <f>+G27*J27</f>
        <v>69</v>
      </c>
      <c r="D27" s="124">
        <f t="shared" si="0"/>
        <v>3.8523368745371511E-6</v>
      </c>
      <c r="E27" s="124">
        <f t="shared" si="1"/>
        <v>3.2226115357031855E-6</v>
      </c>
      <c r="F27" s="39" t="s">
        <v>356</v>
      </c>
      <c r="G27" s="40">
        <v>30</v>
      </c>
      <c r="H27" s="40" t="s">
        <v>64</v>
      </c>
      <c r="I27" s="31" t="s">
        <v>67</v>
      </c>
      <c r="J27" s="195">
        <v>2.2999999999999998</v>
      </c>
      <c r="K27" s="157" t="s">
        <v>59</v>
      </c>
      <c r="L27" s="30" t="s">
        <v>63</v>
      </c>
      <c r="M27" s="422"/>
    </row>
    <row r="28" spans="1:13" s="146" customFormat="1" ht="18.75" customHeight="1">
      <c r="A28" s="60">
        <v>2</v>
      </c>
      <c r="B28" s="69" t="s">
        <v>5</v>
      </c>
      <c r="C28" s="93">
        <f>SUM(C29:C30)</f>
        <v>171600</v>
      </c>
      <c r="D28" s="42">
        <f t="shared" si="0"/>
        <v>9.5805943140663055E-3</v>
      </c>
      <c r="E28" s="42">
        <f t="shared" si="1"/>
        <v>8.0144947757487921E-3</v>
      </c>
      <c r="F28" s="94"/>
      <c r="G28" s="95"/>
      <c r="H28" s="95"/>
      <c r="I28" s="95"/>
      <c r="J28" s="95"/>
      <c r="K28" s="95"/>
      <c r="L28" s="95"/>
      <c r="M28" s="175"/>
    </row>
    <row r="29" spans="1:13" s="146" customFormat="1" ht="18.75" customHeight="1">
      <c r="A29" s="384" t="s">
        <v>104</v>
      </c>
      <c r="B29" s="385"/>
      <c r="C29" s="123">
        <f>+G29*J29</f>
        <v>156000</v>
      </c>
      <c r="D29" s="118">
        <f t="shared" si="0"/>
        <v>8.7096311946057315E-3</v>
      </c>
      <c r="E29" s="118">
        <f t="shared" si="1"/>
        <v>7.2859043415898104E-3</v>
      </c>
      <c r="F29" s="134" t="s">
        <v>357</v>
      </c>
      <c r="G29" s="22">
        <v>50000</v>
      </c>
      <c r="H29" s="22" t="s">
        <v>253</v>
      </c>
      <c r="I29" s="22" t="s">
        <v>211</v>
      </c>
      <c r="J29" s="22">
        <v>3.12</v>
      </c>
      <c r="K29" s="196" t="s">
        <v>59</v>
      </c>
      <c r="L29" s="33" t="s">
        <v>358</v>
      </c>
      <c r="M29" s="177"/>
    </row>
    <row r="30" spans="1:13" s="146" customFormat="1" ht="18.75" customHeight="1">
      <c r="A30" s="384"/>
      <c r="B30" s="385"/>
      <c r="C30" s="123">
        <f>+G30*J30</f>
        <v>15600</v>
      </c>
      <c r="D30" s="118">
        <f t="shared" si="0"/>
        <v>8.7096311946057326E-4</v>
      </c>
      <c r="E30" s="118">
        <f t="shared" si="1"/>
        <v>7.28590434158981E-4</v>
      </c>
      <c r="F30" s="134" t="s">
        <v>359</v>
      </c>
      <c r="G30" s="22">
        <v>5000</v>
      </c>
      <c r="H30" s="22" t="s">
        <v>253</v>
      </c>
      <c r="I30" s="22" t="s">
        <v>211</v>
      </c>
      <c r="J30" s="22">
        <v>3.12</v>
      </c>
      <c r="K30" s="196" t="s">
        <v>59</v>
      </c>
      <c r="L30" s="33" t="s">
        <v>358</v>
      </c>
      <c r="M30" s="177"/>
    </row>
    <row r="31" spans="1:13" s="137" customFormat="1" ht="18.75" customHeight="1">
      <c r="A31" s="85">
        <v>3</v>
      </c>
      <c r="B31" s="70" t="s">
        <v>6</v>
      </c>
      <c r="C31" s="66">
        <f>SUM(C32:C43)</f>
        <v>323935</v>
      </c>
      <c r="D31" s="43">
        <f t="shared" si="0"/>
        <v>1.8085605006568001E-2</v>
      </c>
      <c r="E31" s="43">
        <f t="shared" si="1"/>
        <v>1.5129227069826251E-2</v>
      </c>
      <c r="F31" s="25"/>
      <c r="G31" s="25"/>
      <c r="H31" s="44"/>
      <c r="I31" s="44"/>
      <c r="J31" s="25"/>
      <c r="K31" s="44"/>
      <c r="L31" s="44"/>
      <c r="M31" s="57"/>
    </row>
    <row r="32" spans="1:13" s="137" customFormat="1" ht="18.75" customHeight="1">
      <c r="A32" s="429" t="s">
        <v>104</v>
      </c>
      <c r="B32" s="430"/>
      <c r="C32" s="117">
        <f>+G32*J32</f>
        <v>17150</v>
      </c>
      <c r="D32" s="116">
        <f t="shared" si="0"/>
        <v>9.5750112171466865E-4</v>
      </c>
      <c r="E32" s="116">
        <f t="shared" si="1"/>
        <v>8.0098243242477719E-4</v>
      </c>
      <c r="F32" s="141" t="s">
        <v>178</v>
      </c>
      <c r="G32" s="138">
        <v>50000</v>
      </c>
      <c r="H32" s="156" t="s">
        <v>170</v>
      </c>
      <c r="I32" s="446" t="s">
        <v>360</v>
      </c>
      <c r="J32" s="142">
        <v>0.34300000000000003</v>
      </c>
      <c r="K32" s="140" t="s">
        <v>205</v>
      </c>
      <c r="L32" s="141" t="s">
        <v>361</v>
      </c>
      <c r="M32" s="58"/>
    </row>
    <row r="33" spans="1:13" s="137" customFormat="1" ht="18.75" customHeight="1">
      <c r="A33" s="429"/>
      <c r="B33" s="430"/>
      <c r="C33" s="117">
        <f t="shared" ref="C33:C43" si="3">+G33*J33</f>
        <v>605</v>
      </c>
      <c r="D33" s="116">
        <f t="shared" si="0"/>
        <v>3.3777736363695306E-5</v>
      </c>
      <c r="E33" s="116">
        <f t="shared" si="1"/>
        <v>2.8256231581165609E-5</v>
      </c>
      <c r="F33" s="141" t="s">
        <v>169</v>
      </c>
      <c r="G33" s="138">
        <v>5000</v>
      </c>
      <c r="H33" s="156" t="s">
        <v>170</v>
      </c>
      <c r="I33" s="447"/>
      <c r="J33" s="142">
        <v>0.121</v>
      </c>
      <c r="K33" s="140" t="s">
        <v>205</v>
      </c>
      <c r="L33" s="141" t="s">
        <v>362</v>
      </c>
      <c r="M33" s="58"/>
    </row>
    <row r="34" spans="1:13" s="137" customFormat="1" ht="18.75" customHeight="1">
      <c r="A34" s="429"/>
      <c r="B34" s="430"/>
      <c r="C34" s="117">
        <f t="shared" si="3"/>
        <v>4560</v>
      </c>
      <c r="D34" s="116">
        <f t="shared" si="0"/>
        <v>2.5458921953462908E-4</v>
      </c>
      <c r="E34" s="116">
        <f t="shared" si="1"/>
        <v>2.1297258844647137E-4</v>
      </c>
      <c r="F34" s="141" t="s">
        <v>172</v>
      </c>
      <c r="G34" s="138">
        <v>30000</v>
      </c>
      <c r="H34" s="156" t="s">
        <v>170</v>
      </c>
      <c r="I34" s="447"/>
      <c r="J34" s="142">
        <v>0.152</v>
      </c>
      <c r="K34" s="140" t="s">
        <v>205</v>
      </c>
      <c r="L34" s="141" t="s">
        <v>363</v>
      </c>
      <c r="M34" s="58"/>
    </row>
    <row r="35" spans="1:13" s="137" customFormat="1" ht="18.75" customHeight="1">
      <c r="A35" s="429"/>
      <c r="B35" s="430"/>
      <c r="C35" s="117">
        <f t="shared" si="3"/>
        <v>7490</v>
      </c>
      <c r="D35" s="116">
        <f t="shared" si="0"/>
        <v>4.1817395927946753E-4</v>
      </c>
      <c r="E35" s="116">
        <f t="shared" si="1"/>
        <v>3.4981681742633129E-4</v>
      </c>
      <c r="F35" s="141" t="s">
        <v>174</v>
      </c>
      <c r="G35" s="138">
        <v>35000</v>
      </c>
      <c r="H35" s="156" t="s">
        <v>170</v>
      </c>
      <c r="I35" s="447"/>
      <c r="J35" s="142">
        <v>0.214</v>
      </c>
      <c r="K35" s="140" t="s">
        <v>205</v>
      </c>
      <c r="L35" s="141" t="s">
        <v>364</v>
      </c>
      <c r="M35" s="58"/>
    </row>
    <row r="36" spans="1:13" s="137" customFormat="1" ht="18.75" customHeight="1">
      <c r="A36" s="429"/>
      <c r="B36" s="430"/>
      <c r="C36" s="117">
        <f t="shared" si="3"/>
        <v>1800</v>
      </c>
      <c r="D36" s="116">
        <f t="shared" si="0"/>
        <v>1.0049574455314306E-4</v>
      </c>
      <c r="E36" s="116">
        <f t="shared" si="1"/>
        <v>8.4068127018343972E-5</v>
      </c>
      <c r="F36" s="141" t="s">
        <v>176</v>
      </c>
      <c r="G36" s="138">
        <v>8000</v>
      </c>
      <c r="H36" s="156" t="s">
        <v>170</v>
      </c>
      <c r="I36" s="447"/>
      <c r="J36" s="142">
        <v>0.22500000000000001</v>
      </c>
      <c r="K36" s="140" t="s">
        <v>205</v>
      </c>
      <c r="L36" s="141" t="s">
        <v>365</v>
      </c>
      <c r="M36" s="58"/>
    </row>
    <row r="37" spans="1:13" s="137" customFormat="1" ht="18.75" customHeight="1">
      <c r="A37" s="429"/>
      <c r="B37" s="430"/>
      <c r="C37" s="117">
        <f t="shared" si="3"/>
        <v>207</v>
      </c>
      <c r="D37" s="116">
        <f t="shared" si="0"/>
        <v>1.1557010623611453E-5</v>
      </c>
      <c r="E37" s="116">
        <f t="shared" si="1"/>
        <v>9.6678346071095559E-6</v>
      </c>
      <c r="F37" s="141" t="s">
        <v>366</v>
      </c>
      <c r="G37" s="138">
        <v>500</v>
      </c>
      <c r="H37" s="156" t="s">
        <v>321</v>
      </c>
      <c r="I37" s="447"/>
      <c r="J37" s="142">
        <v>0.41399999999999998</v>
      </c>
      <c r="K37" s="144" t="s">
        <v>61</v>
      </c>
      <c r="L37" s="141" t="s">
        <v>367</v>
      </c>
      <c r="M37" s="58"/>
    </row>
    <row r="38" spans="1:13" s="137" customFormat="1" ht="18.75" customHeight="1">
      <c r="A38" s="429"/>
      <c r="B38" s="430"/>
      <c r="C38" s="117">
        <f t="shared" si="3"/>
        <v>32220.000000000004</v>
      </c>
      <c r="D38" s="116">
        <f t="shared" si="0"/>
        <v>1.798873827501261E-3</v>
      </c>
      <c r="E38" s="116">
        <f t="shared" si="1"/>
        <v>1.5048194736283571E-3</v>
      </c>
      <c r="F38" s="141" t="s">
        <v>368</v>
      </c>
      <c r="G38" s="138">
        <v>60000</v>
      </c>
      <c r="H38" s="156" t="s">
        <v>321</v>
      </c>
      <c r="I38" s="447"/>
      <c r="J38" s="142">
        <v>0.53700000000000003</v>
      </c>
      <c r="K38" s="144" t="s">
        <v>61</v>
      </c>
      <c r="L38" s="141" t="s">
        <v>369</v>
      </c>
      <c r="M38" s="58"/>
    </row>
    <row r="39" spans="1:13" s="137" customFormat="1" ht="18.75" customHeight="1">
      <c r="A39" s="429"/>
      <c r="B39" s="430"/>
      <c r="C39" s="117">
        <f t="shared" si="3"/>
        <v>5540.0000000000009</v>
      </c>
      <c r="D39" s="116">
        <f t="shared" si="0"/>
        <v>3.0930356934689594E-4</v>
      </c>
      <c r="E39" s="116">
        <f t="shared" si="1"/>
        <v>2.587430131564587E-4</v>
      </c>
      <c r="F39" s="141" t="s">
        <v>370</v>
      </c>
      <c r="G39" s="138">
        <v>10000</v>
      </c>
      <c r="H39" s="156" t="s">
        <v>321</v>
      </c>
      <c r="I39" s="447"/>
      <c r="J39" s="142">
        <v>0.55400000000000005</v>
      </c>
      <c r="K39" s="144" t="s">
        <v>61</v>
      </c>
      <c r="L39" s="141" t="s">
        <v>371</v>
      </c>
      <c r="M39" s="58"/>
    </row>
    <row r="40" spans="1:13" s="137" customFormat="1" ht="18.75" customHeight="1">
      <c r="A40" s="429"/>
      <c r="B40" s="430"/>
      <c r="C40" s="117">
        <f t="shared" si="3"/>
        <v>365</v>
      </c>
      <c r="D40" s="116">
        <f t="shared" si="0"/>
        <v>2.0378303756609567E-5</v>
      </c>
      <c r="E40" s="116">
        <f t="shared" si="1"/>
        <v>1.704714797871975E-5</v>
      </c>
      <c r="F40" s="141" t="s">
        <v>372</v>
      </c>
      <c r="G40" s="138">
        <v>10000</v>
      </c>
      <c r="H40" s="156" t="s">
        <v>321</v>
      </c>
      <c r="I40" s="447"/>
      <c r="J40" s="142">
        <v>3.6499999999999998E-2</v>
      </c>
      <c r="K40" s="144" t="s">
        <v>61</v>
      </c>
      <c r="L40" s="141" t="s">
        <v>373</v>
      </c>
      <c r="M40" s="58"/>
    </row>
    <row r="41" spans="1:13" s="137" customFormat="1" ht="18.75" customHeight="1">
      <c r="A41" s="429"/>
      <c r="B41" s="430"/>
      <c r="C41" s="117">
        <f>+G41*J41</f>
        <v>5920</v>
      </c>
      <c r="D41" s="116">
        <f t="shared" si="0"/>
        <v>3.3051933764144831E-4</v>
      </c>
      <c r="E41" s="116">
        <f t="shared" si="1"/>
        <v>2.7649072886033125E-4</v>
      </c>
      <c r="F41" s="141" t="s">
        <v>180</v>
      </c>
      <c r="G41" s="138">
        <v>8000</v>
      </c>
      <c r="H41" s="156" t="s">
        <v>181</v>
      </c>
      <c r="I41" s="447"/>
      <c r="J41" s="142">
        <v>0.74</v>
      </c>
      <c r="K41" s="144" t="s">
        <v>374</v>
      </c>
      <c r="L41" s="141" t="s">
        <v>375</v>
      </c>
      <c r="M41" s="58"/>
    </row>
    <row r="42" spans="1:13" s="137" customFormat="1" ht="18.75" customHeight="1">
      <c r="A42" s="429"/>
      <c r="B42" s="430"/>
      <c r="C42" s="117">
        <f t="shared" si="3"/>
        <v>247800</v>
      </c>
      <c r="D42" s="116">
        <f t="shared" si="0"/>
        <v>1.3834914166816028E-2</v>
      </c>
      <c r="E42" s="116">
        <f t="shared" si="1"/>
        <v>1.1573378819525353E-2</v>
      </c>
      <c r="F42" s="141" t="s">
        <v>376</v>
      </c>
      <c r="G42" s="138">
        <v>7000000</v>
      </c>
      <c r="H42" s="156" t="s">
        <v>377</v>
      </c>
      <c r="I42" s="447"/>
      <c r="J42" s="142">
        <v>3.5400000000000001E-2</v>
      </c>
      <c r="K42" s="144" t="s">
        <v>378</v>
      </c>
      <c r="L42" s="197" t="s">
        <v>379</v>
      </c>
      <c r="M42" s="171"/>
    </row>
    <row r="43" spans="1:13" s="137" customFormat="1" ht="18.75" customHeight="1">
      <c r="A43" s="429"/>
      <c r="B43" s="430"/>
      <c r="C43" s="117">
        <f t="shared" si="3"/>
        <v>278</v>
      </c>
      <c r="D43" s="116">
        <f t="shared" si="0"/>
        <v>1.5521009436540985E-5</v>
      </c>
      <c r="E43" s="116">
        <f t="shared" si="1"/>
        <v>1.2983855172833124E-5</v>
      </c>
      <c r="F43" s="141" t="s">
        <v>380</v>
      </c>
      <c r="G43" s="138">
        <v>20000</v>
      </c>
      <c r="H43" s="156" t="s">
        <v>381</v>
      </c>
      <c r="I43" s="448"/>
      <c r="J43" s="142">
        <v>1.3899999999999999E-2</v>
      </c>
      <c r="K43" s="144" t="s">
        <v>382</v>
      </c>
      <c r="L43" s="198" t="s">
        <v>383</v>
      </c>
      <c r="M43" s="58"/>
    </row>
    <row r="44" spans="1:13" s="146" customFormat="1" ht="18.75" customHeight="1">
      <c r="A44" s="60">
        <v>4</v>
      </c>
      <c r="B44" s="175" t="s">
        <v>7</v>
      </c>
      <c r="C44" s="67">
        <f>SUM(C45:C50)</f>
        <v>283045.52620446752</v>
      </c>
      <c r="D44" s="42">
        <f t="shared" si="0"/>
        <v>1.5802706054641184E-2</v>
      </c>
      <c r="E44" s="42">
        <f t="shared" si="1"/>
        <v>1.3219504027183989E-2</v>
      </c>
      <c r="F44" s="174"/>
      <c r="G44" s="174"/>
      <c r="H44" s="41"/>
      <c r="I44" s="41"/>
      <c r="J44" s="41"/>
      <c r="K44" s="41"/>
      <c r="L44" s="41"/>
      <c r="M44" s="175"/>
    </row>
    <row r="45" spans="1:13" s="146" customFormat="1" ht="45" customHeight="1">
      <c r="A45" s="423" t="s">
        <v>103</v>
      </c>
      <c r="B45" s="424"/>
      <c r="C45" s="117">
        <f t="shared" ref="C45:C49" si="4">+G45*J45</f>
        <v>223499.99999999997</v>
      </c>
      <c r="D45" s="118">
        <f t="shared" si="0"/>
        <v>1.2478221615348596E-2</v>
      </c>
      <c r="E45" s="118">
        <f t="shared" si="1"/>
        <v>1.0438459104777708E-2</v>
      </c>
      <c r="F45" s="136" t="s">
        <v>69</v>
      </c>
      <c r="G45" s="199">
        <f>15000000*100</f>
        <v>1500000000</v>
      </c>
      <c r="H45" s="31" t="s">
        <v>384</v>
      </c>
      <c r="I45" s="136" t="s">
        <v>385</v>
      </c>
      <c r="J45" s="34">
        <f>0.149/1000</f>
        <v>1.4899999999999999E-4</v>
      </c>
      <c r="K45" s="31" t="s">
        <v>386</v>
      </c>
      <c r="L45" s="136" t="s">
        <v>387</v>
      </c>
      <c r="M45" s="177" t="s">
        <v>388</v>
      </c>
    </row>
    <row r="46" spans="1:13" s="146" customFormat="1" ht="30" customHeight="1">
      <c r="A46" s="425"/>
      <c r="B46" s="426"/>
      <c r="C46" s="122">
        <f>G46-J46</f>
        <v>0</v>
      </c>
      <c r="D46" s="118">
        <f t="shared" si="0"/>
        <v>0</v>
      </c>
      <c r="E46" s="118">
        <f t="shared" si="1"/>
        <v>0</v>
      </c>
      <c r="F46" s="136" t="s">
        <v>68</v>
      </c>
      <c r="G46" s="136">
        <v>200000</v>
      </c>
      <c r="H46" s="31" t="s">
        <v>389</v>
      </c>
      <c r="I46" s="136" t="s">
        <v>124</v>
      </c>
      <c r="J46" s="98">
        <v>200000</v>
      </c>
      <c r="K46" s="31" t="s">
        <v>389</v>
      </c>
      <c r="L46" s="31" t="s">
        <v>125</v>
      </c>
      <c r="M46" s="177" t="s">
        <v>390</v>
      </c>
    </row>
    <row r="47" spans="1:13" s="146" customFormat="1" ht="45" customHeight="1">
      <c r="A47" s="425"/>
      <c r="B47" s="426"/>
      <c r="C47" s="117">
        <f t="shared" si="4"/>
        <v>6029.0160000000005</v>
      </c>
      <c r="D47" s="118">
        <f t="shared" si="0"/>
        <v>3.3660580657934023E-4</v>
      </c>
      <c r="E47" s="118">
        <f t="shared" si="1"/>
        <v>2.8158226826868228E-4</v>
      </c>
      <c r="F47" s="136" t="s">
        <v>391</v>
      </c>
      <c r="G47" s="200">
        <f>300000*2111</f>
        <v>633300000</v>
      </c>
      <c r="H47" s="201" t="s">
        <v>392</v>
      </c>
      <c r="I47" s="202" t="s">
        <v>393</v>
      </c>
      <c r="J47" s="199">
        <f>0.00952/1000</f>
        <v>9.5200000000000003E-6</v>
      </c>
      <c r="K47" s="31" t="s">
        <v>394</v>
      </c>
      <c r="L47" s="152" t="s">
        <v>395</v>
      </c>
      <c r="M47" s="177" t="s">
        <v>396</v>
      </c>
    </row>
    <row r="48" spans="1:13" s="146" customFormat="1" ht="45" customHeight="1">
      <c r="A48" s="425"/>
      <c r="B48" s="426"/>
      <c r="C48" s="117">
        <f t="shared" si="4"/>
        <v>34600.222204467551</v>
      </c>
      <c r="D48" s="118">
        <f t="shared" si="0"/>
        <v>1.9317639400789775E-3</v>
      </c>
      <c r="E48" s="118">
        <f t="shared" si="1"/>
        <v>1.6159865973045019E-3</v>
      </c>
      <c r="F48" s="136" t="s">
        <v>397</v>
      </c>
      <c r="G48" s="200">
        <f>200000*18172.3856115901</f>
        <v>3634477122.3180199</v>
      </c>
      <c r="H48" s="201" t="s">
        <v>392</v>
      </c>
      <c r="I48" s="153" t="s">
        <v>398</v>
      </c>
      <c r="J48" s="199">
        <f t="shared" ref="J48:J49" si="5">0.00952/1000</f>
        <v>9.5200000000000003E-6</v>
      </c>
      <c r="K48" s="31" t="s">
        <v>394</v>
      </c>
      <c r="L48" s="152" t="s">
        <v>395</v>
      </c>
      <c r="M48" s="177" t="s">
        <v>399</v>
      </c>
    </row>
    <row r="49" spans="1:13" s="146" customFormat="1" ht="45" customHeight="1">
      <c r="A49" s="425"/>
      <c r="B49" s="426"/>
      <c r="C49" s="117">
        <f t="shared" si="4"/>
        <v>18320.288</v>
      </c>
      <c r="D49" s="118">
        <f t="shared" si="0"/>
        <v>1.0228394349933402E-3</v>
      </c>
      <c r="E49" s="118">
        <f t="shared" si="1"/>
        <v>8.556401658870238E-4</v>
      </c>
      <c r="F49" s="136" t="s">
        <v>400</v>
      </c>
      <c r="G49" s="200">
        <f>200000*9622</f>
        <v>1924400000</v>
      </c>
      <c r="H49" s="201" t="s">
        <v>392</v>
      </c>
      <c r="I49" s="153" t="s">
        <v>401</v>
      </c>
      <c r="J49" s="199">
        <f t="shared" si="5"/>
        <v>9.5200000000000003E-6</v>
      </c>
      <c r="K49" s="31" t="s">
        <v>394</v>
      </c>
      <c r="L49" s="152" t="s">
        <v>395</v>
      </c>
      <c r="M49" s="177" t="s">
        <v>402</v>
      </c>
    </row>
    <row r="50" spans="1:13" s="146" customFormat="1" ht="45" customHeight="1">
      <c r="A50" s="427"/>
      <c r="B50" s="428"/>
      <c r="C50" s="117">
        <f>+G50*J50</f>
        <v>596</v>
      </c>
      <c r="D50" s="118">
        <f t="shared" si="0"/>
        <v>3.3275257640929596E-5</v>
      </c>
      <c r="E50" s="118">
        <f t="shared" si="1"/>
        <v>2.7835890946073892E-5</v>
      </c>
      <c r="F50" s="136" t="s">
        <v>403</v>
      </c>
      <c r="G50" s="34">
        <f>8000*500</f>
        <v>4000000</v>
      </c>
      <c r="H50" s="31" t="s">
        <v>404</v>
      </c>
      <c r="I50" s="136" t="s">
        <v>79</v>
      </c>
      <c r="J50" s="34">
        <f>0.149/1000</f>
        <v>1.4899999999999999E-4</v>
      </c>
      <c r="K50" s="31" t="s">
        <v>386</v>
      </c>
      <c r="L50" s="136" t="s">
        <v>387</v>
      </c>
      <c r="M50" s="177" t="s">
        <v>405</v>
      </c>
    </row>
    <row r="51" spans="1:13" s="18" customFormat="1" ht="18.75" customHeight="1">
      <c r="A51" s="86">
        <v>5</v>
      </c>
      <c r="B51" s="71" t="s">
        <v>8</v>
      </c>
      <c r="C51" s="67">
        <f>SUM(C52:C56)</f>
        <v>36116.9</v>
      </c>
      <c r="D51" s="42">
        <f t="shared" si="0"/>
        <v>2.0164415313618962E-3</v>
      </c>
      <c r="E51" s="42">
        <f t="shared" si="1"/>
        <v>1.6868222981715707E-3</v>
      </c>
      <c r="F51" s="26"/>
      <c r="G51" s="26"/>
      <c r="H51" s="46"/>
      <c r="I51" s="46"/>
      <c r="J51" s="46"/>
      <c r="K51" s="46"/>
      <c r="L51" s="46"/>
      <c r="M51" s="59"/>
    </row>
    <row r="52" spans="1:13" s="18" customFormat="1" ht="18.75" customHeight="1">
      <c r="A52" s="382" t="s">
        <v>103</v>
      </c>
      <c r="B52" s="383"/>
      <c r="C52" s="122">
        <f>+G52*J52</f>
        <v>18287</v>
      </c>
      <c r="D52" s="118">
        <f t="shared" si="0"/>
        <v>1.0209809336907372E-3</v>
      </c>
      <c r="E52" s="118">
        <f t="shared" si="1"/>
        <v>8.5408546599136451E-4</v>
      </c>
      <c r="F52" s="153" t="s">
        <v>406</v>
      </c>
      <c r="G52" s="45">
        <v>10000</v>
      </c>
      <c r="H52" s="47" t="s">
        <v>407</v>
      </c>
      <c r="I52" s="47" t="s">
        <v>83</v>
      </c>
      <c r="J52" s="47">
        <v>1.8287</v>
      </c>
      <c r="K52" s="47" t="s">
        <v>61</v>
      </c>
      <c r="L52" s="47" t="s">
        <v>115</v>
      </c>
      <c r="M52" s="407" t="s">
        <v>114</v>
      </c>
    </row>
    <row r="53" spans="1:13" s="18" customFormat="1" ht="18.75" customHeight="1">
      <c r="A53" s="382"/>
      <c r="B53" s="383"/>
      <c r="C53" s="122">
        <f t="shared" ref="C53:C57" si="6">+G53*J53</f>
        <v>116.4</v>
      </c>
      <c r="D53" s="118">
        <f t="shared" si="0"/>
        <v>6.4987248144365851E-6</v>
      </c>
      <c r="E53" s="118">
        <f t="shared" si="1"/>
        <v>5.4364055471862431E-6</v>
      </c>
      <c r="F53" s="153" t="s">
        <v>408</v>
      </c>
      <c r="G53" s="45">
        <v>2000</v>
      </c>
      <c r="H53" s="47" t="s">
        <v>407</v>
      </c>
      <c r="I53" s="47" t="s">
        <v>83</v>
      </c>
      <c r="J53" s="47">
        <v>5.8200000000000002E-2</v>
      </c>
      <c r="K53" s="47" t="s">
        <v>61</v>
      </c>
      <c r="L53" s="47" t="s">
        <v>115</v>
      </c>
      <c r="M53" s="408"/>
    </row>
    <row r="54" spans="1:13" s="18" customFormat="1" ht="18.75" customHeight="1">
      <c r="A54" s="382"/>
      <c r="B54" s="383"/>
      <c r="C54" s="122">
        <f t="shared" si="6"/>
        <v>97.4</v>
      </c>
      <c r="D54" s="118">
        <f t="shared" si="0"/>
        <v>5.4379363997089637E-6</v>
      </c>
      <c r="E54" s="118">
        <f t="shared" si="1"/>
        <v>4.5490197619926125E-6</v>
      </c>
      <c r="F54" s="153" t="s">
        <v>20</v>
      </c>
      <c r="G54" s="45">
        <v>2000</v>
      </c>
      <c r="H54" s="47" t="s">
        <v>409</v>
      </c>
      <c r="I54" s="47" t="s">
        <v>83</v>
      </c>
      <c r="J54" s="47">
        <v>4.87E-2</v>
      </c>
      <c r="K54" s="47" t="s">
        <v>61</v>
      </c>
      <c r="L54" s="47" t="s">
        <v>115</v>
      </c>
      <c r="M54" s="408"/>
    </row>
    <row r="55" spans="1:13" s="18" customFormat="1" ht="18.75" customHeight="1">
      <c r="A55" s="382"/>
      <c r="B55" s="383"/>
      <c r="C55" s="122">
        <f t="shared" si="6"/>
        <v>17478</v>
      </c>
      <c r="D55" s="118">
        <f t="shared" si="0"/>
        <v>9.7581367961101912E-4</v>
      </c>
      <c r="E55" s="118">
        <f t="shared" si="1"/>
        <v>8.1630151334811994E-4</v>
      </c>
      <c r="F55" s="153" t="s">
        <v>272</v>
      </c>
      <c r="G55" s="45">
        <v>20000</v>
      </c>
      <c r="H55" s="47" t="s">
        <v>409</v>
      </c>
      <c r="I55" s="47" t="s">
        <v>83</v>
      </c>
      <c r="J55" s="47">
        <v>0.87390000000000001</v>
      </c>
      <c r="K55" s="47" t="s">
        <v>61</v>
      </c>
      <c r="L55" s="47" t="s">
        <v>115</v>
      </c>
      <c r="M55" s="408"/>
    </row>
    <row r="56" spans="1:13" s="18" customFormat="1" ht="18.75" customHeight="1">
      <c r="A56" s="382"/>
      <c r="B56" s="383"/>
      <c r="C56" s="122">
        <f t="shared" si="6"/>
        <v>138.1</v>
      </c>
      <c r="D56" s="118">
        <f t="shared" si="0"/>
        <v>7.7102568459939201E-6</v>
      </c>
      <c r="E56" s="118">
        <f t="shared" si="1"/>
        <v>6.4498935229073898E-6</v>
      </c>
      <c r="F56" s="153" t="s">
        <v>410</v>
      </c>
      <c r="G56" s="45">
        <v>1000</v>
      </c>
      <c r="H56" s="47" t="s">
        <v>407</v>
      </c>
      <c r="I56" s="47" t="s">
        <v>83</v>
      </c>
      <c r="J56" s="47">
        <v>0.1381</v>
      </c>
      <c r="K56" s="47" t="s">
        <v>61</v>
      </c>
      <c r="L56" s="47" t="s">
        <v>115</v>
      </c>
      <c r="M56" s="409"/>
    </row>
    <row r="57" spans="1:13" s="18" customFormat="1" ht="18.75" customHeight="1">
      <c r="A57" s="382"/>
      <c r="B57" s="383"/>
      <c r="C57" s="122">
        <f t="shared" si="6"/>
        <v>148.4</v>
      </c>
      <c r="D57" s="118">
        <f t="shared" si="0"/>
        <v>8.2853158287146836E-6</v>
      </c>
      <c r="E57" s="118">
        <f t="shared" si="1"/>
        <v>6.9309500275123587E-6</v>
      </c>
      <c r="F57" s="153" t="s">
        <v>411</v>
      </c>
      <c r="G57" s="203">
        <v>1000</v>
      </c>
      <c r="H57" s="45" t="s">
        <v>409</v>
      </c>
      <c r="I57" s="47" t="s">
        <v>85</v>
      </c>
      <c r="J57" s="47">
        <v>0.1484</v>
      </c>
      <c r="K57" s="47" t="s">
        <v>61</v>
      </c>
      <c r="L57" s="47" t="s">
        <v>115</v>
      </c>
      <c r="M57" s="176" t="s">
        <v>82</v>
      </c>
    </row>
    <row r="58" spans="1:13" s="146" customFormat="1" ht="18.75" customHeight="1">
      <c r="A58" s="60">
        <v>6</v>
      </c>
      <c r="B58" s="175" t="s">
        <v>9</v>
      </c>
      <c r="C58" s="67">
        <f>SUM(C59:C61)</f>
        <v>48.36</v>
      </c>
      <c r="D58" s="42">
        <f t="shared" si="0"/>
        <v>2.6999856703277771E-6</v>
      </c>
      <c r="E58" s="42">
        <f t="shared" si="1"/>
        <v>2.258630345892841E-6</v>
      </c>
      <c r="F58" s="174"/>
      <c r="G58" s="95"/>
      <c r="H58" s="41"/>
      <c r="I58" s="41"/>
      <c r="J58" s="41"/>
      <c r="K58" s="41"/>
      <c r="L58" s="41"/>
      <c r="M58" s="175"/>
    </row>
    <row r="59" spans="1:13" s="146" customFormat="1" ht="18.75" customHeight="1">
      <c r="A59" s="386" t="s">
        <v>412</v>
      </c>
      <c r="B59" s="387"/>
      <c r="C59" s="122">
        <f>+G59*J59</f>
        <v>8.2199999999999989</v>
      </c>
      <c r="D59" s="120">
        <f t="shared" si="0"/>
        <v>4.5893056679268661E-7</v>
      </c>
      <c r="E59" s="120">
        <f t="shared" si="1"/>
        <v>3.8391111338377074E-7</v>
      </c>
      <c r="F59" s="183" t="s">
        <v>191</v>
      </c>
      <c r="G59" s="100">
        <v>6000</v>
      </c>
      <c r="H59" s="160" t="s">
        <v>185</v>
      </c>
      <c r="I59" s="160" t="s">
        <v>214</v>
      </c>
      <c r="J59" s="184">
        <v>1.3699999999999999E-3</v>
      </c>
      <c r="K59" s="161" t="s">
        <v>207</v>
      </c>
      <c r="L59" s="151" t="s">
        <v>186</v>
      </c>
      <c r="M59" s="177"/>
    </row>
    <row r="60" spans="1:13" s="146" customFormat="1" ht="18.75" customHeight="1">
      <c r="A60" s="388"/>
      <c r="B60" s="389"/>
      <c r="C60" s="122">
        <f t="shared" ref="C60:C61" si="7">+G60*J60</f>
        <v>32.1</v>
      </c>
      <c r="D60" s="120">
        <f t="shared" si="0"/>
        <v>1.792174111197718E-6</v>
      </c>
      <c r="E60" s="120">
        <f t="shared" si="1"/>
        <v>1.4992149318271341E-6</v>
      </c>
      <c r="F60" s="39" t="s">
        <v>187</v>
      </c>
      <c r="G60" s="100">
        <v>10000</v>
      </c>
      <c r="H60" s="160" t="s">
        <v>185</v>
      </c>
      <c r="I60" s="160" t="s">
        <v>214</v>
      </c>
      <c r="J60" s="184">
        <v>3.2100000000000002E-3</v>
      </c>
      <c r="K60" s="161" t="s">
        <v>207</v>
      </c>
      <c r="L60" s="152" t="s">
        <v>188</v>
      </c>
      <c r="M60" s="177"/>
    </row>
    <row r="61" spans="1:13" s="146" customFormat="1" ht="18.75" customHeight="1">
      <c r="A61" s="390"/>
      <c r="B61" s="391"/>
      <c r="C61" s="122">
        <f t="shared" si="7"/>
        <v>8.0400000000000009</v>
      </c>
      <c r="D61" s="120">
        <f t="shared" si="0"/>
        <v>4.4888099233737241E-7</v>
      </c>
      <c r="E61" s="120">
        <f t="shared" si="1"/>
        <v>3.7550430068193641E-7</v>
      </c>
      <c r="F61" s="185" t="s">
        <v>189</v>
      </c>
      <c r="G61" s="100">
        <v>4000</v>
      </c>
      <c r="H61" s="160" t="s">
        <v>185</v>
      </c>
      <c r="I61" s="160" t="s">
        <v>214</v>
      </c>
      <c r="J61" s="184">
        <v>2.0100000000000001E-3</v>
      </c>
      <c r="K61" s="161" t="s">
        <v>207</v>
      </c>
      <c r="L61" s="152" t="s">
        <v>190</v>
      </c>
      <c r="M61" s="177"/>
    </row>
    <row r="62" spans="1:13" s="146" customFormat="1" ht="18.75" customHeight="1">
      <c r="A62" s="60">
        <v>7</v>
      </c>
      <c r="B62" s="175" t="s">
        <v>10</v>
      </c>
      <c r="C62" s="67">
        <f>SUM(C63:C65)</f>
        <v>84141.380169512966</v>
      </c>
      <c r="D62" s="42">
        <f t="shared" si="0"/>
        <v>4.6976948043690406E-3</v>
      </c>
      <c r="E62" s="42">
        <f t="shared" si="1"/>
        <v>3.9297823531052132E-3</v>
      </c>
      <c r="F62" s="174"/>
      <c r="G62" s="204"/>
      <c r="H62" s="41"/>
      <c r="I62" s="46"/>
      <c r="J62" s="41"/>
      <c r="K62" s="41"/>
      <c r="L62" s="41"/>
      <c r="M62" s="175"/>
    </row>
    <row r="63" spans="1:13" s="146" customFormat="1" ht="19.5" customHeight="1">
      <c r="A63" s="386" t="s">
        <v>412</v>
      </c>
      <c r="B63" s="387"/>
      <c r="C63" s="122">
        <f>+G63*J63</f>
        <v>16.439999999999998</v>
      </c>
      <c r="D63" s="118">
        <f t="shared" si="0"/>
        <v>9.1786113358537322E-7</v>
      </c>
      <c r="E63" s="118">
        <f t="shared" si="1"/>
        <v>7.6782222676754148E-7</v>
      </c>
      <c r="F63" s="150" t="s">
        <v>192</v>
      </c>
      <c r="G63" s="100">
        <v>12000</v>
      </c>
      <c r="H63" s="160" t="s">
        <v>185</v>
      </c>
      <c r="I63" s="160" t="s">
        <v>214</v>
      </c>
      <c r="J63" s="128">
        <v>1.3699999999999999E-3</v>
      </c>
      <c r="K63" s="161" t="s">
        <v>207</v>
      </c>
      <c r="L63" s="151" t="s">
        <v>193</v>
      </c>
      <c r="M63" s="177"/>
    </row>
    <row r="64" spans="1:13" s="146" customFormat="1" ht="19.5" customHeight="1">
      <c r="A64" s="388"/>
      <c r="B64" s="389"/>
      <c r="C64" s="122">
        <f t="shared" ref="C64:C65" si="8">+G64*J64</f>
        <v>0.96799999999999997</v>
      </c>
      <c r="D64" s="118">
        <f t="shared" si="0"/>
        <v>5.4044378181912494E-8</v>
      </c>
      <c r="E64" s="118">
        <f t="shared" si="1"/>
        <v>4.5209970529864977E-8</v>
      </c>
      <c r="F64" s="150" t="s">
        <v>194</v>
      </c>
      <c r="G64" s="100">
        <v>400</v>
      </c>
      <c r="H64" s="160" t="s">
        <v>185</v>
      </c>
      <c r="I64" s="160" t="s">
        <v>214</v>
      </c>
      <c r="J64" s="128">
        <v>2.4199999999999998E-3</v>
      </c>
      <c r="K64" s="161" t="s">
        <v>203</v>
      </c>
      <c r="L64" s="152" t="s">
        <v>195</v>
      </c>
      <c r="M64" s="177"/>
    </row>
    <row r="65" spans="1:13" s="146" customFormat="1" ht="30" customHeight="1">
      <c r="A65" s="390"/>
      <c r="B65" s="391"/>
      <c r="C65" s="122">
        <f t="shared" si="8"/>
        <v>84123.97216951297</v>
      </c>
      <c r="D65" s="118">
        <f t="shared" si="0"/>
        <v>4.6967228988572729E-3</v>
      </c>
      <c r="E65" s="118">
        <f t="shared" si="1"/>
        <v>3.9289693209079166E-3</v>
      </c>
      <c r="F65" s="150" t="s">
        <v>196</v>
      </c>
      <c r="G65" s="100">
        <v>5000</v>
      </c>
      <c r="H65" s="160" t="s">
        <v>185</v>
      </c>
      <c r="I65" s="160" t="s">
        <v>214</v>
      </c>
      <c r="J65" s="38">
        <v>16.824794433902593</v>
      </c>
      <c r="K65" s="161" t="s">
        <v>203</v>
      </c>
      <c r="L65" s="114" t="s">
        <v>197</v>
      </c>
      <c r="M65" s="177" t="s">
        <v>198</v>
      </c>
    </row>
    <row r="66" spans="1:13" s="146" customFormat="1" ht="18.75" customHeight="1">
      <c r="A66" s="60">
        <v>8</v>
      </c>
      <c r="B66" s="175" t="s">
        <v>11</v>
      </c>
      <c r="C66" s="93">
        <f>SUM(C67:C67)</f>
        <v>12.875</v>
      </c>
      <c r="D66" s="42">
        <f t="shared" si="0"/>
        <v>7.1882372840095384E-7</v>
      </c>
      <c r="E66" s="42">
        <f t="shared" si="1"/>
        <v>6.0132063075621031E-7</v>
      </c>
      <c r="F66" s="94"/>
      <c r="G66" s="204"/>
      <c r="H66" s="95"/>
      <c r="I66" s="95"/>
      <c r="J66" s="95"/>
      <c r="K66" s="95"/>
      <c r="L66" s="95"/>
      <c r="M66" s="175"/>
    </row>
    <row r="67" spans="1:13" s="146" customFormat="1" ht="45" customHeight="1">
      <c r="A67" s="384" t="s">
        <v>414</v>
      </c>
      <c r="B67" s="385"/>
      <c r="C67" s="123">
        <f>+G67*J67</f>
        <v>12.875</v>
      </c>
      <c r="D67" s="118">
        <f t="shared" si="0"/>
        <v>7.1882372840095384E-7</v>
      </c>
      <c r="E67" s="118">
        <f t="shared" si="1"/>
        <v>6.0132063075621031E-7</v>
      </c>
      <c r="F67" s="21" t="s">
        <v>107</v>
      </c>
      <c r="G67" s="100">
        <v>500</v>
      </c>
      <c r="H67" s="100" t="s">
        <v>415</v>
      </c>
      <c r="I67" s="22" t="s">
        <v>110</v>
      </c>
      <c r="J67" s="22">
        <f>0.103*3/12</f>
        <v>2.5749999999999999E-2</v>
      </c>
      <c r="K67" s="22" t="s">
        <v>416</v>
      </c>
      <c r="L67" s="21" t="s">
        <v>417</v>
      </c>
      <c r="M67" s="177" t="s">
        <v>109</v>
      </c>
    </row>
    <row r="68" spans="1:13" s="146" customFormat="1" ht="18.75" customHeight="1">
      <c r="A68" s="60">
        <v>9</v>
      </c>
      <c r="B68" s="175" t="s">
        <v>12</v>
      </c>
      <c r="C68" s="93">
        <f>+C69+C70</f>
        <v>1250</v>
      </c>
      <c r="D68" s="42">
        <f t="shared" si="0"/>
        <v>6.9788711495238245E-5</v>
      </c>
      <c r="E68" s="42">
        <f t="shared" si="1"/>
        <v>5.8380643762738863E-5</v>
      </c>
      <c r="F68" s="94"/>
      <c r="G68" s="95"/>
      <c r="H68" s="94"/>
      <c r="I68" s="94"/>
      <c r="J68" s="94"/>
      <c r="K68" s="94"/>
      <c r="L68" s="95"/>
      <c r="M68" s="175"/>
    </row>
    <row r="69" spans="1:13" s="146" customFormat="1" ht="30" customHeight="1">
      <c r="A69" s="423" t="s">
        <v>414</v>
      </c>
      <c r="B69" s="424"/>
      <c r="C69" s="123">
        <f>+G69*J69</f>
        <v>0</v>
      </c>
      <c r="D69" s="118">
        <f t="shared" si="0"/>
        <v>0</v>
      </c>
      <c r="E69" s="118">
        <f t="shared" si="1"/>
        <v>0</v>
      </c>
      <c r="F69" s="21" t="s">
        <v>418</v>
      </c>
      <c r="G69" s="100"/>
      <c r="H69" s="100"/>
      <c r="I69" s="21"/>
      <c r="J69" s="205"/>
      <c r="K69" s="21"/>
      <c r="L69" s="21"/>
      <c r="M69" s="177" t="s">
        <v>419</v>
      </c>
    </row>
    <row r="70" spans="1:13" s="146" customFormat="1" ht="30" customHeight="1">
      <c r="A70" s="427"/>
      <c r="B70" s="428"/>
      <c r="C70" s="117">
        <f>+G70*J70</f>
        <v>1250</v>
      </c>
      <c r="D70" s="118">
        <f t="shared" si="0"/>
        <v>6.9788711495238245E-5</v>
      </c>
      <c r="E70" s="118">
        <f t="shared" si="1"/>
        <v>5.8380643762738863E-5</v>
      </c>
      <c r="F70" s="21" t="s">
        <v>420</v>
      </c>
      <c r="G70" s="15">
        <v>5000</v>
      </c>
      <c r="H70" s="15" t="s">
        <v>421</v>
      </c>
      <c r="I70" s="32" t="s">
        <v>422</v>
      </c>
      <c r="J70" s="32">
        <v>0.25</v>
      </c>
      <c r="K70" s="32" t="s">
        <v>423</v>
      </c>
      <c r="L70" s="32" t="s">
        <v>424</v>
      </c>
      <c r="M70" s="171" t="s">
        <v>425</v>
      </c>
    </row>
    <row r="71" spans="1:13" s="146" customFormat="1" ht="18.75" customHeight="1">
      <c r="A71" s="60">
        <v>10</v>
      </c>
      <c r="B71" s="69" t="s">
        <v>13</v>
      </c>
      <c r="C71" s="66">
        <f>SUM(C72)</f>
        <v>23</v>
      </c>
      <c r="D71" s="42">
        <f t="shared" si="0"/>
        <v>1.2841122915123837E-6</v>
      </c>
      <c r="E71" s="43">
        <f t="shared" si="1"/>
        <v>1.0742038452343951E-6</v>
      </c>
      <c r="F71" s="25" t="s">
        <v>426</v>
      </c>
      <c r="G71" s="25"/>
      <c r="H71" s="25"/>
      <c r="I71" s="25"/>
      <c r="J71" s="25"/>
      <c r="K71" s="25"/>
      <c r="L71" s="25"/>
      <c r="M71" s="175"/>
    </row>
    <row r="72" spans="1:13" s="146" customFormat="1" ht="29.25" customHeight="1">
      <c r="A72" s="449" t="s">
        <v>412</v>
      </c>
      <c r="B72" s="450"/>
      <c r="C72" s="117">
        <f>+G72*J72/100</f>
        <v>23</v>
      </c>
      <c r="D72" s="118">
        <f t="shared" ref="D72:D85" si="9">+C72/$C$107</f>
        <v>1.2841122915123837E-6</v>
      </c>
      <c r="E72" s="118">
        <f t="shared" ref="E72:E85" si="10">+C72/$C$110</f>
        <v>1.0742038452343951E-6</v>
      </c>
      <c r="F72" s="21" t="s">
        <v>427</v>
      </c>
      <c r="G72" s="100">
        <v>10000</v>
      </c>
      <c r="H72" s="100" t="s">
        <v>221</v>
      </c>
      <c r="I72" s="22" t="s">
        <v>428</v>
      </c>
      <c r="J72" s="22">
        <v>0.23</v>
      </c>
      <c r="K72" s="22" t="s">
        <v>225</v>
      </c>
      <c r="L72" s="21" t="s">
        <v>227</v>
      </c>
      <c r="M72" s="177" t="s">
        <v>282</v>
      </c>
    </row>
    <row r="73" spans="1:13" s="13" customFormat="1" ht="18.75" customHeight="1">
      <c r="A73" s="85">
        <v>11</v>
      </c>
      <c r="B73" s="70" t="s">
        <v>14</v>
      </c>
      <c r="C73" s="66">
        <f>SUM(C74:C81)</f>
        <v>14101259.154937945</v>
      </c>
      <c r="D73" s="42">
        <f t="shared" si="9"/>
        <v>0.78728696550684096</v>
      </c>
      <c r="E73" s="43">
        <f t="shared" si="10"/>
        <v>0.65859246986439379</v>
      </c>
      <c r="F73" s="25" t="s">
        <v>426</v>
      </c>
      <c r="G73" s="25"/>
      <c r="H73" s="25"/>
      <c r="I73" s="25"/>
      <c r="J73" s="25"/>
      <c r="K73" s="25"/>
      <c r="L73" s="25"/>
      <c r="M73" s="175"/>
    </row>
    <row r="74" spans="1:13" s="13" customFormat="1" ht="29.25" customHeight="1">
      <c r="A74" s="451" t="s">
        <v>429</v>
      </c>
      <c r="B74" s="452"/>
      <c r="C74" s="117">
        <f>+G74*J74</f>
        <v>994285.7142857142</v>
      </c>
      <c r="D74" s="118">
        <f t="shared" si="9"/>
        <v>5.5511935086498071E-2</v>
      </c>
      <c r="E74" s="116">
        <f t="shared" si="10"/>
        <v>4.6437632067275712E-2</v>
      </c>
      <c r="F74" s="32" t="s">
        <v>430</v>
      </c>
      <c r="G74" s="206">
        <v>150000</v>
      </c>
      <c r="H74" s="206" t="s">
        <v>119</v>
      </c>
      <c r="I74" s="32" t="s">
        <v>431</v>
      </c>
      <c r="J74" s="207">
        <f>100000/35*2.32/1000</f>
        <v>6.6285714285714281</v>
      </c>
      <c r="K74" s="32" t="s">
        <v>208</v>
      </c>
      <c r="L74" s="32" t="s">
        <v>432</v>
      </c>
      <c r="M74" s="457" t="s">
        <v>433</v>
      </c>
    </row>
    <row r="75" spans="1:13" s="13" customFormat="1" ht="29.25" customHeight="1">
      <c r="A75" s="453"/>
      <c r="B75" s="454"/>
      <c r="C75" s="117">
        <f t="shared" ref="C75:C81" si="11">+G75*J75</f>
        <v>5272727.2727272725</v>
      </c>
      <c r="D75" s="118">
        <f t="shared" si="9"/>
        <v>0.29438147394355035</v>
      </c>
      <c r="E75" s="116">
        <f t="shared" si="10"/>
        <v>0.24626017005373482</v>
      </c>
      <c r="F75" s="32" t="s">
        <v>434</v>
      </c>
      <c r="G75" s="206">
        <v>500000</v>
      </c>
      <c r="H75" s="206" t="s">
        <v>119</v>
      </c>
      <c r="I75" s="32" t="s">
        <v>431</v>
      </c>
      <c r="J75" s="208">
        <f>100000/22*2.32/1000</f>
        <v>10.545454545454545</v>
      </c>
      <c r="K75" s="32" t="s">
        <v>208</v>
      </c>
      <c r="L75" s="32" t="s">
        <v>435</v>
      </c>
      <c r="M75" s="458"/>
    </row>
    <row r="76" spans="1:13" s="13" customFormat="1" ht="29.25" customHeight="1">
      <c r="A76" s="453"/>
      <c r="B76" s="454"/>
      <c r="C76" s="117">
        <f t="shared" si="11"/>
        <v>1160000</v>
      </c>
      <c r="D76" s="118">
        <f t="shared" si="9"/>
        <v>6.4763924267581083E-2</v>
      </c>
      <c r="E76" s="116">
        <f t="shared" si="10"/>
        <v>5.4177237411821663E-2</v>
      </c>
      <c r="F76" s="32" t="s">
        <v>436</v>
      </c>
      <c r="G76" s="206">
        <v>100000</v>
      </c>
      <c r="H76" s="206" t="s">
        <v>119</v>
      </c>
      <c r="I76" s="32" t="s">
        <v>431</v>
      </c>
      <c r="J76" s="207">
        <f>100000/20*2.32/1000</f>
        <v>11.6</v>
      </c>
      <c r="K76" s="32" t="s">
        <v>208</v>
      </c>
      <c r="L76" s="32" t="s">
        <v>437</v>
      </c>
      <c r="M76" s="458"/>
    </row>
    <row r="77" spans="1:13" s="13" customFormat="1" ht="29.25" customHeight="1">
      <c r="A77" s="453"/>
      <c r="B77" s="454"/>
      <c r="C77" s="117">
        <f t="shared" si="11"/>
        <v>3085106.3829787229</v>
      </c>
      <c r="D77" s="118">
        <f t="shared" si="9"/>
        <v>0.17224447943505605</v>
      </c>
      <c r="E77" s="116">
        <f t="shared" si="10"/>
        <v>0.1440883973718661</v>
      </c>
      <c r="F77" s="32" t="s">
        <v>438</v>
      </c>
      <c r="G77" s="206">
        <v>250000</v>
      </c>
      <c r="H77" s="206" t="s">
        <v>119</v>
      </c>
      <c r="I77" s="32" t="s">
        <v>431</v>
      </c>
      <c r="J77" s="207">
        <f>100000/18.8*2.32/1000</f>
        <v>12.340425531914892</v>
      </c>
      <c r="K77" s="32" t="s">
        <v>208</v>
      </c>
      <c r="L77" s="32" t="s">
        <v>439</v>
      </c>
      <c r="M77" s="458"/>
    </row>
    <row r="78" spans="1:13" s="13" customFormat="1" ht="29.25" customHeight="1">
      <c r="A78" s="453"/>
      <c r="B78" s="454"/>
      <c r="C78" s="117">
        <f t="shared" si="11"/>
        <v>966666.66666666663</v>
      </c>
      <c r="D78" s="118">
        <f t="shared" si="9"/>
        <v>5.3969936889650905E-2</v>
      </c>
      <c r="E78" s="116">
        <f t="shared" si="10"/>
        <v>4.5147697843184717E-2</v>
      </c>
      <c r="F78" s="32" t="s">
        <v>440</v>
      </c>
      <c r="G78" s="206">
        <v>100000</v>
      </c>
      <c r="H78" s="206" t="s">
        <v>119</v>
      </c>
      <c r="I78" s="32" t="s">
        <v>431</v>
      </c>
      <c r="J78" s="207">
        <f>100000/24*2.32/1000</f>
        <v>9.6666666666666661</v>
      </c>
      <c r="K78" s="32" t="s">
        <v>208</v>
      </c>
      <c r="L78" s="32" t="s">
        <v>441</v>
      </c>
      <c r="M78" s="458"/>
    </row>
    <row r="79" spans="1:13" s="13" customFormat="1" ht="29.25" customHeight="1">
      <c r="A79" s="453"/>
      <c r="B79" s="454"/>
      <c r="C79" s="117">
        <f t="shared" si="11"/>
        <v>1496774.1935483871</v>
      </c>
      <c r="D79" s="118">
        <f t="shared" si="9"/>
        <v>8.3566353893653023E-2</v>
      </c>
      <c r="E79" s="116">
        <f t="shared" si="10"/>
        <v>6.9906112789447319E-2</v>
      </c>
      <c r="F79" s="32" t="s">
        <v>442</v>
      </c>
      <c r="G79" s="206">
        <v>200000</v>
      </c>
      <c r="H79" s="206" t="s">
        <v>119</v>
      </c>
      <c r="I79" s="32" t="s">
        <v>431</v>
      </c>
      <c r="J79" s="207">
        <f>100000/31*2.32/1000</f>
        <v>7.4838709677419359</v>
      </c>
      <c r="K79" s="32" t="s">
        <v>208</v>
      </c>
      <c r="L79" s="32" t="s">
        <v>443</v>
      </c>
      <c r="M79" s="458"/>
    </row>
    <row r="80" spans="1:13" s="13" customFormat="1" ht="29.25" customHeight="1">
      <c r="A80" s="453"/>
      <c r="B80" s="454"/>
      <c r="C80" s="117">
        <f t="shared" si="11"/>
        <v>1029032.258064516</v>
      </c>
      <c r="D80" s="118">
        <f t="shared" si="9"/>
        <v>5.7451868301886443E-2</v>
      </c>
      <c r="E80" s="116">
        <f t="shared" si="10"/>
        <v>4.8060452542745019E-2</v>
      </c>
      <c r="F80" s="32" t="s">
        <v>444</v>
      </c>
      <c r="G80" s="206">
        <v>110000</v>
      </c>
      <c r="H80" s="206" t="s">
        <v>119</v>
      </c>
      <c r="I80" s="32" t="s">
        <v>431</v>
      </c>
      <c r="J80" s="208">
        <f>100000/24.8*2.32/1000</f>
        <v>9.3548387096774182</v>
      </c>
      <c r="K80" s="32" t="s">
        <v>208</v>
      </c>
      <c r="L80" s="32" t="s">
        <v>445</v>
      </c>
      <c r="M80" s="459"/>
    </row>
    <row r="81" spans="1:13" s="13" customFormat="1" ht="60" customHeight="1">
      <c r="A81" s="455"/>
      <c r="B81" s="456"/>
      <c r="C81" s="117">
        <f t="shared" si="11"/>
        <v>96666.666666666672</v>
      </c>
      <c r="D81" s="118">
        <f t="shared" si="9"/>
        <v>5.3969936889650908E-3</v>
      </c>
      <c r="E81" s="116">
        <f t="shared" si="10"/>
        <v>4.5147697843184722E-3</v>
      </c>
      <c r="F81" s="32" t="s">
        <v>446</v>
      </c>
      <c r="G81" s="15">
        <v>50000</v>
      </c>
      <c r="H81" s="15" t="s">
        <v>119</v>
      </c>
      <c r="I81" s="32" t="s">
        <v>447</v>
      </c>
      <c r="J81" s="209">
        <f>100000/24*2.32/1000*0.2/1</f>
        <v>1.9333333333333333</v>
      </c>
      <c r="K81" s="32" t="s">
        <v>208</v>
      </c>
      <c r="L81" s="32" t="s">
        <v>448</v>
      </c>
      <c r="M81" s="171" t="s">
        <v>449</v>
      </c>
    </row>
    <row r="82" spans="1:13" s="146" customFormat="1" ht="18.75" customHeight="1">
      <c r="A82" s="60">
        <v>12</v>
      </c>
      <c r="B82" s="69" t="s">
        <v>15</v>
      </c>
      <c r="C82" s="67">
        <f>SUM(C83:C85)</f>
        <v>13600.000000000002</v>
      </c>
      <c r="D82" s="42">
        <f t="shared" si="9"/>
        <v>7.5930118106819211E-4</v>
      </c>
      <c r="E82" s="42">
        <f t="shared" si="10"/>
        <v>6.3518140413859896E-4</v>
      </c>
      <c r="F82" s="174"/>
      <c r="G82" s="174"/>
      <c r="H82" s="95"/>
      <c r="I82" s="95"/>
      <c r="J82" s="41"/>
      <c r="K82" s="174"/>
      <c r="L82" s="174"/>
      <c r="M82" s="175"/>
    </row>
    <row r="83" spans="1:13" s="13" customFormat="1" ht="18.75" customHeight="1">
      <c r="A83" s="460" t="s">
        <v>450</v>
      </c>
      <c r="B83" s="461"/>
      <c r="C83" s="117">
        <f>+G83*J83</f>
        <v>0</v>
      </c>
      <c r="D83" s="118">
        <f t="shared" si="9"/>
        <v>0</v>
      </c>
      <c r="E83" s="118">
        <f t="shared" si="10"/>
        <v>0</v>
      </c>
      <c r="F83" s="32" t="s">
        <v>451</v>
      </c>
      <c r="G83" s="206">
        <v>10000</v>
      </c>
      <c r="H83" s="32" t="s">
        <v>452</v>
      </c>
      <c r="I83" s="32" t="s">
        <v>453</v>
      </c>
      <c r="J83" s="32">
        <v>0</v>
      </c>
      <c r="K83" s="32" t="s">
        <v>454</v>
      </c>
      <c r="L83" s="32" t="s">
        <v>455</v>
      </c>
      <c r="M83" s="463" t="s">
        <v>456</v>
      </c>
    </row>
    <row r="84" spans="1:13" s="13" customFormat="1" ht="18.75" customHeight="1">
      <c r="A84" s="462"/>
      <c r="B84" s="461"/>
      <c r="C84" s="117">
        <f t="shared" ref="C84:C85" si="12">+G84*J84</f>
        <v>13600.000000000002</v>
      </c>
      <c r="D84" s="118">
        <f t="shared" si="9"/>
        <v>7.5930118106819211E-4</v>
      </c>
      <c r="E84" s="118">
        <f t="shared" si="10"/>
        <v>6.3518140413859896E-4</v>
      </c>
      <c r="F84" s="32" t="s">
        <v>272</v>
      </c>
      <c r="G84" s="206">
        <v>100000</v>
      </c>
      <c r="H84" s="32" t="s">
        <v>452</v>
      </c>
      <c r="I84" s="32" t="s">
        <v>457</v>
      </c>
      <c r="J84" s="32">
        <v>0.13600000000000001</v>
      </c>
      <c r="K84" s="32" t="s">
        <v>61</v>
      </c>
      <c r="L84" s="32" t="s">
        <v>458</v>
      </c>
      <c r="M84" s="458"/>
    </row>
    <row r="85" spans="1:13" s="13" customFormat="1" ht="18.75" customHeight="1">
      <c r="A85" s="462"/>
      <c r="B85" s="461"/>
      <c r="C85" s="117">
        <f t="shared" si="12"/>
        <v>0</v>
      </c>
      <c r="D85" s="118">
        <f t="shared" si="9"/>
        <v>0</v>
      </c>
      <c r="E85" s="118">
        <f t="shared" si="10"/>
        <v>0</v>
      </c>
      <c r="F85" s="32" t="s">
        <v>459</v>
      </c>
      <c r="G85" s="206">
        <v>1200000</v>
      </c>
      <c r="H85" s="32" t="s">
        <v>452</v>
      </c>
      <c r="I85" s="32" t="s">
        <v>457</v>
      </c>
      <c r="J85" s="32">
        <v>0</v>
      </c>
      <c r="K85" s="32" t="s">
        <v>61</v>
      </c>
      <c r="L85" s="32" t="s">
        <v>460</v>
      </c>
      <c r="M85" s="459"/>
    </row>
    <row r="86" spans="1:13" s="13" customFormat="1" ht="18.75" customHeight="1">
      <c r="A86" s="85">
        <v>13</v>
      </c>
      <c r="B86" s="87" t="s">
        <v>461</v>
      </c>
      <c r="C86" s="443" t="s">
        <v>462</v>
      </c>
      <c r="D86" s="464"/>
      <c r="E86" s="464"/>
      <c r="F86" s="464"/>
      <c r="G86" s="464"/>
      <c r="H86" s="464"/>
      <c r="I86" s="464"/>
      <c r="J86" s="464"/>
      <c r="K86" s="464"/>
      <c r="L86" s="464"/>
      <c r="M86" s="465"/>
    </row>
    <row r="87" spans="1:13" s="146" customFormat="1" ht="18.75" customHeight="1">
      <c r="A87" s="60">
        <v>14</v>
      </c>
      <c r="B87" s="69" t="s">
        <v>463</v>
      </c>
      <c r="C87" s="379" t="s">
        <v>31</v>
      </c>
      <c r="D87" s="380"/>
      <c r="E87" s="380"/>
      <c r="F87" s="380"/>
      <c r="G87" s="380"/>
      <c r="H87" s="380"/>
      <c r="I87" s="380"/>
      <c r="J87" s="380"/>
      <c r="K87" s="380"/>
      <c r="L87" s="380"/>
      <c r="M87" s="381"/>
    </row>
    <row r="88" spans="1:13" s="146" customFormat="1" ht="30" customHeight="1">
      <c r="A88" s="60">
        <v>15</v>
      </c>
      <c r="B88" s="69" t="s">
        <v>1</v>
      </c>
      <c r="C88" s="93">
        <f>SUM(C89:C105)</f>
        <v>5110.4746930941283</v>
      </c>
      <c r="D88" s="42">
        <f t="shared" ref="D88:D105" si="13">+C88/$C$107</f>
        <v>2.8532275516804985E-4</v>
      </c>
      <c r="E88" s="42">
        <f t="shared" ref="E88:E105" si="14">+C88/$C$110</f>
        <v>2.3868224201281643E-4</v>
      </c>
      <c r="F88" s="94" t="s">
        <v>86</v>
      </c>
      <c r="G88" s="102" t="s">
        <v>102</v>
      </c>
      <c r="H88" s="103" t="s">
        <v>126</v>
      </c>
      <c r="I88" s="95" t="s">
        <v>101</v>
      </c>
      <c r="J88" s="94" t="s">
        <v>89</v>
      </c>
      <c r="K88" s="94" t="s">
        <v>97</v>
      </c>
      <c r="L88" s="95" t="s">
        <v>117</v>
      </c>
      <c r="M88" s="175"/>
    </row>
    <row r="89" spans="1:13" s="146" customFormat="1" ht="18.75" customHeight="1">
      <c r="A89" s="384" t="s">
        <v>105</v>
      </c>
      <c r="B89" s="385"/>
      <c r="C89" s="123">
        <f>+J89*K89</f>
        <v>1076.6919222103725</v>
      </c>
      <c r="D89" s="118">
        <f t="shared" si="13"/>
        <v>6.0112753542714544E-5</v>
      </c>
      <c r="E89" s="118">
        <f t="shared" si="14"/>
        <v>5.0286374042225842E-5</v>
      </c>
      <c r="F89" s="21" t="s">
        <v>297</v>
      </c>
      <c r="G89" s="100">
        <v>111452494</v>
      </c>
      <c r="H89" s="100">
        <v>1200000</v>
      </c>
      <c r="I89" s="22" t="s">
        <v>88</v>
      </c>
      <c r="J89" s="101">
        <f>H89/G89</f>
        <v>1.0766919222103724E-2</v>
      </c>
      <c r="K89" s="100">
        <v>100000</v>
      </c>
      <c r="L89" s="22" t="s">
        <v>90</v>
      </c>
      <c r="M89" s="177"/>
    </row>
    <row r="90" spans="1:13" s="146" customFormat="1" ht="18.75" customHeight="1">
      <c r="A90" s="384"/>
      <c r="B90" s="385"/>
      <c r="C90" s="123">
        <f t="shared" ref="C90:C94" si="15">+J90*K90</f>
        <v>77.6607318524525</v>
      </c>
      <c r="D90" s="118">
        <f t="shared" si="13"/>
        <v>4.3358739278078927E-6</v>
      </c>
      <c r="E90" s="118">
        <f t="shared" si="14"/>
        <v>3.6271068165052934E-6</v>
      </c>
      <c r="F90" s="21" t="s">
        <v>298</v>
      </c>
      <c r="G90" s="100">
        <v>1416376042</v>
      </c>
      <c r="H90" s="100">
        <v>687480</v>
      </c>
      <c r="I90" s="22" t="s">
        <v>88</v>
      </c>
      <c r="J90" s="101">
        <f t="shared" ref="J90:J105" si="16">H90/G90</f>
        <v>4.8537957407782811E-4</v>
      </c>
      <c r="K90" s="100">
        <v>160000</v>
      </c>
      <c r="L90" s="22" t="s">
        <v>91</v>
      </c>
      <c r="M90" s="177"/>
    </row>
    <row r="91" spans="1:13" s="146" customFormat="1" ht="18.75" customHeight="1">
      <c r="A91" s="384"/>
      <c r="B91" s="385"/>
      <c r="C91" s="123">
        <f t="shared" si="15"/>
        <v>19.042509489546724</v>
      </c>
      <c r="D91" s="118">
        <f t="shared" si="13"/>
        <v>1.0631617607290502E-6</v>
      </c>
      <c r="E91" s="118">
        <f t="shared" si="14"/>
        <v>8.8937117028624127E-7</v>
      </c>
      <c r="F91" s="21" t="s">
        <v>299</v>
      </c>
      <c r="G91" s="100">
        <v>415352294</v>
      </c>
      <c r="H91" s="100">
        <v>158187</v>
      </c>
      <c r="I91" s="22" t="s">
        <v>88</v>
      </c>
      <c r="J91" s="101">
        <f t="shared" si="16"/>
        <v>3.8085018979093445E-4</v>
      </c>
      <c r="K91" s="100">
        <v>50000</v>
      </c>
      <c r="L91" s="22" t="s">
        <v>92</v>
      </c>
      <c r="M91" s="177"/>
    </row>
    <row r="92" spans="1:13" s="146" customFormat="1" ht="18.75" customHeight="1">
      <c r="A92" s="384"/>
      <c r="B92" s="385"/>
      <c r="C92" s="123">
        <f t="shared" si="15"/>
        <v>43.625767034497109</v>
      </c>
      <c r="D92" s="118">
        <f t="shared" si="13"/>
        <v>2.4356688554631949E-6</v>
      </c>
      <c r="E92" s="118">
        <f t="shared" si="14"/>
        <v>2.0375202912937701E-6</v>
      </c>
      <c r="F92" s="21" t="s">
        <v>300</v>
      </c>
      <c r="G92" s="100">
        <v>1237800586</v>
      </c>
      <c r="H92" s="100">
        <v>900000</v>
      </c>
      <c r="I92" s="22" t="s">
        <v>88</v>
      </c>
      <c r="J92" s="101">
        <f t="shared" si="16"/>
        <v>7.2709611724161842E-4</v>
      </c>
      <c r="K92" s="100">
        <v>60000</v>
      </c>
      <c r="L92" s="22" t="s">
        <v>93</v>
      </c>
      <c r="M92" s="177"/>
    </row>
    <row r="93" spans="1:13" s="146" customFormat="1" ht="18.75" customHeight="1">
      <c r="A93" s="384"/>
      <c r="B93" s="385"/>
      <c r="C93" s="123">
        <f t="shared" si="15"/>
        <v>107.43490759668525</v>
      </c>
      <c r="D93" s="118">
        <f t="shared" si="13"/>
        <v>5.9981950166261167E-6</v>
      </c>
      <c r="E93" s="118">
        <f t="shared" si="14"/>
        <v>5.0176952544678792E-6</v>
      </c>
      <c r="F93" s="21" t="s">
        <v>301</v>
      </c>
      <c r="G93" s="100">
        <v>1737940900</v>
      </c>
      <c r="H93" s="100">
        <v>2333944</v>
      </c>
      <c r="I93" s="22" t="s">
        <v>88</v>
      </c>
      <c r="J93" s="101">
        <f t="shared" si="16"/>
        <v>1.3429363449585657E-3</v>
      </c>
      <c r="K93" s="100">
        <v>80000</v>
      </c>
      <c r="L93" s="22" t="s">
        <v>94</v>
      </c>
      <c r="M93" s="177"/>
    </row>
    <row r="94" spans="1:13" s="146" customFormat="1" ht="18.75" customHeight="1">
      <c r="A94" s="384"/>
      <c r="B94" s="385"/>
      <c r="C94" s="123">
        <f t="shared" si="15"/>
        <v>277.39352083240539</v>
      </c>
      <c r="D94" s="118">
        <f t="shared" si="13"/>
        <v>1.5487149116816879E-5</v>
      </c>
      <c r="E94" s="118">
        <f t="shared" si="14"/>
        <v>1.2955529857446832E-5</v>
      </c>
      <c r="F94" s="21" t="s">
        <v>302</v>
      </c>
      <c r="G94" s="100">
        <v>551521094</v>
      </c>
      <c r="H94" s="100">
        <v>1509029</v>
      </c>
      <c r="I94" s="22" t="s">
        <v>88</v>
      </c>
      <c r="J94" s="101">
        <f t="shared" si="16"/>
        <v>2.7361220022529185E-3</v>
      </c>
      <c r="K94" s="100">
        <v>101382</v>
      </c>
      <c r="L94" s="22" t="s">
        <v>95</v>
      </c>
      <c r="M94" s="177"/>
    </row>
    <row r="95" spans="1:13" s="146" customFormat="1" ht="18.75" customHeight="1">
      <c r="A95" s="384"/>
      <c r="B95" s="385"/>
      <c r="C95" s="123">
        <f>+J95*K95</f>
        <v>512.89707709331537</v>
      </c>
      <c r="D95" s="118">
        <f t="shared" si="13"/>
        <v>2.8635540912013083E-5</v>
      </c>
      <c r="E95" s="118">
        <f t="shared" si="14"/>
        <v>2.3954609235787885E-5</v>
      </c>
      <c r="F95" s="21" t="s">
        <v>303</v>
      </c>
      <c r="G95" s="100">
        <v>700480693</v>
      </c>
      <c r="H95" s="100">
        <v>1381825</v>
      </c>
      <c r="I95" s="22" t="s">
        <v>88</v>
      </c>
      <c r="J95" s="101">
        <f t="shared" si="16"/>
        <v>1.9726810657435209E-3</v>
      </c>
      <c r="K95" s="100">
        <v>260000</v>
      </c>
      <c r="L95" s="22" t="s">
        <v>96</v>
      </c>
      <c r="M95" s="177"/>
    </row>
    <row r="96" spans="1:13" s="146" customFormat="1" ht="18.75" customHeight="1">
      <c r="A96" s="384"/>
      <c r="B96" s="385"/>
      <c r="C96" s="123">
        <f t="shared" ref="C96:C105" si="17">+J96*K96</f>
        <v>0</v>
      </c>
      <c r="D96" s="118">
        <f t="shared" si="13"/>
        <v>0</v>
      </c>
      <c r="E96" s="118">
        <f t="shared" si="14"/>
        <v>0</v>
      </c>
      <c r="F96" s="21" t="s">
        <v>304</v>
      </c>
      <c r="G96" s="100">
        <v>28149877</v>
      </c>
      <c r="H96" s="100">
        <v>971000</v>
      </c>
      <c r="I96" s="22" t="s">
        <v>88</v>
      </c>
      <c r="J96" s="101">
        <f t="shared" si="16"/>
        <v>3.449393402322859E-2</v>
      </c>
      <c r="K96" s="100">
        <v>0</v>
      </c>
      <c r="L96" s="22" t="s">
        <v>98</v>
      </c>
      <c r="M96" s="177"/>
    </row>
    <row r="97" spans="1:13" s="146" customFormat="1" ht="18.75" customHeight="1">
      <c r="A97" s="384"/>
      <c r="B97" s="385"/>
      <c r="C97" s="123">
        <f t="shared" si="17"/>
        <v>1771.2732742793926</v>
      </c>
      <c r="D97" s="118">
        <f t="shared" si="13"/>
        <v>9.8891903614328422E-5</v>
      </c>
      <c r="E97" s="118">
        <f t="shared" si="14"/>
        <v>8.272645922573221E-5</v>
      </c>
      <c r="F97" s="21" t="s">
        <v>305</v>
      </c>
      <c r="G97" s="100">
        <v>271056029</v>
      </c>
      <c r="H97" s="100">
        <v>1600381</v>
      </c>
      <c r="I97" s="22" t="s">
        <v>88</v>
      </c>
      <c r="J97" s="101">
        <f t="shared" si="16"/>
        <v>5.9042442475979754E-3</v>
      </c>
      <c r="K97" s="100">
        <v>300000</v>
      </c>
      <c r="L97" s="22" t="s">
        <v>99</v>
      </c>
      <c r="M97" s="177"/>
    </row>
    <row r="98" spans="1:13" s="146" customFormat="1" ht="18.75" customHeight="1">
      <c r="A98" s="384"/>
      <c r="B98" s="385"/>
      <c r="C98" s="123">
        <f t="shared" si="17"/>
        <v>503.4498897353115</v>
      </c>
      <c r="D98" s="118">
        <f t="shared" si="13"/>
        <v>2.8108095285637727E-5</v>
      </c>
      <c r="E98" s="118">
        <f t="shared" si="14"/>
        <v>2.3513382932021907E-5</v>
      </c>
      <c r="F98" s="21" t="s">
        <v>306</v>
      </c>
      <c r="G98" s="100">
        <v>1075540607</v>
      </c>
      <c r="H98" s="100">
        <v>1289240</v>
      </c>
      <c r="I98" s="22" t="s">
        <v>88</v>
      </c>
      <c r="J98" s="101">
        <f t="shared" si="16"/>
        <v>1.1986902136555035E-3</v>
      </c>
      <c r="K98" s="100">
        <v>420000</v>
      </c>
      <c r="L98" s="22" t="s">
        <v>116</v>
      </c>
      <c r="M98" s="177"/>
    </row>
    <row r="99" spans="1:13" s="146" customFormat="1" ht="18.75" customHeight="1">
      <c r="A99" s="384"/>
      <c r="B99" s="385"/>
      <c r="C99" s="123">
        <f t="shared" si="17"/>
        <v>0</v>
      </c>
      <c r="D99" s="118">
        <f t="shared" si="13"/>
        <v>0</v>
      </c>
      <c r="E99" s="118">
        <f t="shared" si="14"/>
        <v>0</v>
      </c>
      <c r="F99" s="21" t="s">
        <v>307</v>
      </c>
      <c r="G99" s="100">
        <v>490727495</v>
      </c>
      <c r="H99" s="100">
        <v>1822688</v>
      </c>
      <c r="I99" s="22" t="s">
        <v>88</v>
      </c>
      <c r="J99" s="101">
        <f t="shared" si="16"/>
        <v>3.7142569319454986E-3</v>
      </c>
      <c r="K99" s="100">
        <v>0</v>
      </c>
      <c r="L99" s="22" t="s">
        <v>98</v>
      </c>
      <c r="M99" s="177"/>
    </row>
    <row r="100" spans="1:13" s="146" customFormat="1" ht="18.75" customHeight="1">
      <c r="A100" s="384"/>
      <c r="B100" s="385"/>
      <c r="C100" s="123">
        <f t="shared" si="17"/>
        <v>160.19417475728153</v>
      </c>
      <c r="D100" s="118">
        <f t="shared" si="13"/>
        <v>8.9437960362829575E-6</v>
      </c>
      <c r="E100" s="118">
        <f t="shared" si="14"/>
        <v>7.48179123949663E-6</v>
      </c>
      <c r="F100" s="21" t="s">
        <v>308</v>
      </c>
      <c r="G100" s="100">
        <v>206000000</v>
      </c>
      <c r="H100" s="100">
        <v>66000</v>
      </c>
      <c r="I100" s="22" t="s">
        <v>88</v>
      </c>
      <c r="J100" s="101">
        <f t="shared" si="16"/>
        <v>3.2038834951456308E-4</v>
      </c>
      <c r="K100" s="100">
        <v>500000</v>
      </c>
      <c r="L100" s="22" t="s">
        <v>100</v>
      </c>
      <c r="M100" s="177"/>
    </row>
    <row r="101" spans="1:13" s="146" customFormat="1" ht="18.75" customHeight="1">
      <c r="A101" s="384"/>
      <c r="B101" s="385"/>
      <c r="C101" s="123">
        <f t="shared" si="17"/>
        <v>64.810126582278485</v>
      </c>
      <c r="D101" s="118">
        <f t="shared" si="13"/>
        <v>3.6184121808164031E-6</v>
      </c>
      <c r="E101" s="118">
        <f t="shared" si="14"/>
        <v>3.0269255297744104E-6</v>
      </c>
      <c r="F101" s="21" t="s">
        <v>464</v>
      </c>
      <c r="G101" s="100">
        <v>395000000</v>
      </c>
      <c r="H101" s="100">
        <v>80000</v>
      </c>
      <c r="I101" s="22" t="s">
        <v>88</v>
      </c>
      <c r="J101" s="101">
        <f t="shared" si="16"/>
        <v>2.0253164556962027E-4</v>
      </c>
      <c r="K101" s="100">
        <v>320000</v>
      </c>
      <c r="L101" s="22" t="s">
        <v>465</v>
      </c>
      <c r="M101" s="177"/>
    </row>
    <row r="102" spans="1:13" s="146" customFormat="1" ht="18.75" customHeight="1">
      <c r="A102" s="384"/>
      <c r="B102" s="385"/>
      <c r="C102" s="123">
        <f t="shared" si="17"/>
        <v>0</v>
      </c>
      <c r="D102" s="118">
        <f t="shared" si="13"/>
        <v>0</v>
      </c>
      <c r="E102" s="118">
        <f t="shared" si="14"/>
        <v>0</v>
      </c>
      <c r="F102" s="21" t="s">
        <v>466</v>
      </c>
      <c r="G102" s="100">
        <v>122074243</v>
      </c>
      <c r="H102" s="100">
        <v>1479000</v>
      </c>
      <c r="I102" s="22" t="s">
        <v>88</v>
      </c>
      <c r="J102" s="101">
        <f t="shared" si="16"/>
        <v>1.2115577894675128E-2</v>
      </c>
      <c r="K102" s="100">
        <v>0</v>
      </c>
      <c r="L102" s="22" t="s">
        <v>98</v>
      </c>
      <c r="M102" s="177"/>
    </row>
    <row r="103" spans="1:13" s="146" customFormat="1" ht="18.75" customHeight="1">
      <c r="A103" s="384"/>
      <c r="B103" s="385"/>
      <c r="C103" s="123">
        <f t="shared" si="17"/>
        <v>472.20000000000005</v>
      </c>
      <c r="D103" s="118">
        <f t="shared" si="13"/>
        <v>2.6363383654441198E-5</v>
      </c>
      <c r="E103" s="118">
        <f t="shared" si="14"/>
        <v>2.2053871987812235E-5</v>
      </c>
      <c r="F103" s="21" t="s">
        <v>467</v>
      </c>
      <c r="G103" s="100">
        <v>250000000</v>
      </c>
      <c r="H103" s="100">
        <v>787000</v>
      </c>
      <c r="I103" s="22" t="s">
        <v>88</v>
      </c>
      <c r="J103" s="101">
        <f t="shared" si="16"/>
        <v>3.1480000000000002E-3</v>
      </c>
      <c r="K103" s="100">
        <v>150000</v>
      </c>
      <c r="L103" s="22" t="s">
        <v>468</v>
      </c>
      <c r="M103" s="177"/>
    </row>
    <row r="104" spans="1:13" s="146" customFormat="1" ht="18.75" customHeight="1">
      <c r="A104" s="384"/>
      <c r="B104" s="385"/>
      <c r="C104" s="123">
        <f t="shared" si="17"/>
        <v>23.80079163058835</v>
      </c>
      <c r="D104" s="118">
        <f t="shared" si="13"/>
        <v>1.3288212643723289E-6</v>
      </c>
      <c r="E104" s="118">
        <f t="shared" si="14"/>
        <v>1.1116044299652442E-6</v>
      </c>
      <c r="F104" s="21" t="s">
        <v>469</v>
      </c>
      <c r="G104" s="100">
        <v>1906620616</v>
      </c>
      <c r="H104" s="100">
        <v>756318</v>
      </c>
      <c r="I104" s="22" t="s">
        <v>88</v>
      </c>
      <c r="J104" s="101">
        <f t="shared" si="16"/>
        <v>3.9667986050980581E-4</v>
      </c>
      <c r="K104" s="100">
        <v>60000</v>
      </c>
      <c r="L104" s="22" t="s">
        <v>470</v>
      </c>
      <c r="M104" s="177"/>
    </row>
    <row r="105" spans="1:13" s="146" customFormat="1" ht="18.75" customHeight="1">
      <c r="A105" s="384"/>
      <c r="B105" s="385"/>
      <c r="C105" s="123">
        <f t="shared" si="17"/>
        <v>0</v>
      </c>
      <c r="D105" s="118">
        <f t="shared" si="13"/>
        <v>0</v>
      </c>
      <c r="E105" s="118">
        <f t="shared" si="14"/>
        <v>0</v>
      </c>
      <c r="F105" s="21" t="s">
        <v>471</v>
      </c>
      <c r="G105" s="100">
        <v>16274241</v>
      </c>
      <c r="H105" s="100">
        <v>181000</v>
      </c>
      <c r="I105" s="22" t="s">
        <v>88</v>
      </c>
      <c r="J105" s="101">
        <f t="shared" si="16"/>
        <v>1.1121870445448117E-2</v>
      </c>
      <c r="K105" s="100">
        <v>0</v>
      </c>
      <c r="L105" s="22" t="s">
        <v>98</v>
      </c>
      <c r="M105" s="177"/>
    </row>
    <row r="106" spans="1:13" s="137" customFormat="1" ht="18.75" customHeight="1" thickBot="1">
      <c r="A106" s="85">
        <v>16</v>
      </c>
      <c r="B106" s="88" t="s">
        <v>0</v>
      </c>
      <c r="C106" s="377" t="s">
        <v>46</v>
      </c>
      <c r="D106" s="377"/>
      <c r="E106" s="377"/>
      <c r="F106" s="377"/>
      <c r="G106" s="377"/>
      <c r="H106" s="377"/>
      <c r="I106" s="377"/>
      <c r="J106" s="377"/>
      <c r="K106" s="377"/>
      <c r="L106" s="378"/>
      <c r="M106" s="64"/>
    </row>
    <row r="107" spans="1:13" ht="18.75" customHeight="1" thickBot="1">
      <c r="A107" s="400" t="s">
        <v>472</v>
      </c>
      <c r="B107" s="401"/>
      <c r="C107" s="119">
        <f>SUM(C88,C86,C82,C73,C68,C66,C62,C58,C51,C44,C31,C28,C8)</f>
        <v>17911206.171005018</v>
      </c>
      <c r="D107" s="129">
        <f>+C107/$C$107</f>
        <v>1</v>
      </c>
      <c r="E107" s="129">
        <f>+C107/$C$110</f>
        <v>0.83653419746433122</v>
      </c>
      <c r="F107" s="72"/>
      <c r="G107" s="72"/>
      <c r="H107" s="73"/>
      <c r="I107" s="73"/>
      <c r="J107" s="73"/>
      <c r="K107" s="73"/>
      <c r="L107" s="73"/>
      <c r="M107" s="74"/>
    </row>
    <row r="108" spans="1:13" ht="18.75" customHeight="1" thickTop="1">
      <c r="A108" s="392" t="s">
        <v>310</v>
      </c>
      <c r="B108" s="393"/>
      <c r="C108" s="83">
        <v>2000000</v>
      </c>
      <c r="D108" s="49"/>
      <c r="E108" s="124">
        <f>+C108/$C$110</f>
        <v>9.3409030020382186E-2</v>
      </c>
      <c r="F108" s="10"/>
      <c r="G108" s="10"/>
      <c r="H108" s="79"/>
      <c r="I108" s="79"/>
      <c r="J108" s="79"/>
      <c r="K108" s="79"/>
      <c r="L108" s="79"/>
      <c r="M108" s="62"/>
    </row>
    <row r="109" spans="1:13" ht="18.75" customHeight="1" thickBot="1">
      <c r="A109" s="394" t="s">
        <v>311</v>
      </c>
      <c r="B109" s="395"/>
      <c r="C109" s="84">
        <v>1500000</v>
      </c>
      <c r="D109" s="50"/>
      <c r="E109" s="165">
        <f>+C109/$C$110</f>
        <v>7.0056772515286636E-2</v>
      </c>
      <c r="F109" s="11"/>
      <c r="G109" s="11"/>
      <c r="H109" s="173"/>
      <c r="I109" s="173"/>
      <c r="J109" s="173"/>
      <c r="K109" s="173"/>
      <c r="L109" s="173"/>
      <c r="M109" s="63"/>
    </row>
    <row r="110" spans="1:13" ht="18.75" customHeight="1" thickTop="1" thickBot="1">
      <c r="A110" s="396" t="s">
        <v>18</v>
      </c>
      <c r="B110" s="397"/>
      <c r="C110" s="163">
        <f>SUM(C107:C109)</f>
        <v>21411206.171005018</v>
      </c>
      <c r="D110" s="210"/>
      <c r="E110" s="164">
        <f>+C110/$C$110</f>
        <v>1</v>
      </c>
      <c r="F110" s="75"/>
      <c r="G110" s="75"/>
      <c r="H110" s="76"/>
      <c r="I110" s="76"/>
      <c r="J110" s="76"/>
      <c r="K110" s="76"/>
      <c r="L110" s="76"/>
      <c r="M110" s="77"/>
    </row>
    <row r="112" spans="1:13" ht="14.25" thickBot="1">
      <c r="E112" s="373" t="s">
        <v>23</v>
      </c>
      <c r="F112" s="374"/>
      <c r="G112" s="172" t="s">
        <v>309</v>
      </c>
      <c r="H112" s="172" t="s">
        <v>27</v>
      </c>
    </row>
    <row r="113" spans="5:8" ht="14.25" thickTop="1">
      <c r="E113" s="52" t="s">
        <v>310</v>
      </c>
      <c r="F113" s="53"/>
      <c r="G113" s="7">
        <f>C108</f>
        <v>2000000</v>
      </c>
      <c r="H113" s="9">
        <f>G113/$G$130</f>
        <v>9.3380369925022258E-2</v>
      </c>
    </row>
    <row r="114" spans="5:8">
      <c r="E114" s="54" t="s">
        <v>473</v>
      </c>
      <c r="F114" s="55"/>
      <c r="G114" s="7">
        <f>C109</f>
        <v>1500000</v>
      </c>
      <c r="H114" s="9">
        <f>G114/$G$130</f>
        <v>7.0035277443766697E-2</v>
      </c>
    </row>
    <row r="115" spans="5:8">
      <c r="E115" s="5" t="s">
        <v>474</v>
      </c>
      <c r="F115" s="5" t="s">
        <v>4</v>
      </c>
      <c r="G115" s="8">
        <f>C8</f>
        <v>2891086.5</v>
      </c>
      <c r="H115" s="9">
        <f t="shared" ref="H115:H129" si="18">G115/$G$130</f>
        <v>0.13498536342761894</v>
      </c>
    </row>
    <row r="116" spans="5:8">
      <c r="E116" s="16" t="s">
        <v>475</v>
      </c>
      <c r="F116" s="16" t="s">
        <v>5</v>
      </c>
      <c r="G116" s="8">
        <f>C28</f>
        <v>171600</v>
      </c>
      <c r="H116" s="9">
        <f t="shared" si="18"/>
        <v>8.0120357395669101E-3</v>
      </c>
    </row>
    <row r="117" spans="5:8">
      <c r="E117" s="5" t="s">
        <v>476</v>
      </c>
      <c r="F117" s="16" t="s">
        <v>6</v>
      </c>
      <c r="G117" s="8">
        <f>C31</f>
        <v>323935</v>
      </c>
      <c r="H117" s="9">
        <f t="shared" si="18"/>
        <v>1.5124585065831041E-2</v>
      </c>
    </row>
    <row r="118" spans="5:8">
      <c r="E118" s="16" t="s">
        <v>477</v>
      </c>
      <c r="F118" s="16" t="s">
        <v>7</v>
      </c>
      <c r="G118" s="8">
        <f>C44</f>
        <v>283045.52620446752</v>
      </c>
      <c r="H118" s="9">
        <f t="shared" si="18"/>
        <v>1.3215447971297879E-2</v>
      </c>
    </row>
    <row r="119" spans="5:8">
      <c r="E119" s="5" t="s">
        <v>478</v>
      </c>
      <c r="F119" s="154" t="s">
        <v>8</v>
      </c>
      <c r="G119" s="8">
        <f>C51</f>
        <v>36116.9</v>
      </c>
      <c r="H119" s="9">
        <f t="shared" si="18"/>
        <v>1.6863047412725182E-3</v>
      </c>
    </row>
    <row r="120" spans="5:8">
      <c r="E120" s="5" t="s">
        <v>133</v>
      </c>
      <c r="F120" s="16" t="s">
        <v>9</v>
      </c>
      <c r="G120" s="8">
        <f>C58</f>
        <v>48.36</v>
      </c>
      <c r="H120" s="9">
        <f t="shared" si="18"/>
        <v>2.257937344787038E-6</v>
      </c>
    </row>
    <row r="121" spans="5:8">
      <c r="E121" s="16" t="s">
        <v>134</v>
      </c>
      <c r="F121" s="16" t="s">
        <v>10</v>
      </c>
      <c r="G121" s="8">
        <f>C62</f>
        <v>84141.380169512966</v>
      </c>
      <c r="H121" s="9">
        <f t="shared" si="18"/>
        <v>3.9285766031155259E-3</v>
      </c>
    </row>
    <row r="122" spans="5:8">
      <c r="E122" s="5" t="s">
        <v>135</v>
      </c>
      <c r="F122" s="16" t="s">
        <v>11</v>
      </c>
      <c r="G122" s="8">
        <f>C66</f>
        <v>12.875</v>
      </c>
      <c r="H122" s="9">
        <f t="shared" si="18"/>
        <v>6.0113613139233077E-7</v>
      </c>
    </row>
    <row r="123" spans="5:8">
      <c r="E123" s="16" t="s">
        <v>136</v>
      </c>
      <c r="F123" s="16" t="s">
        <v>12</v>
      </c>
      <c r="G123" s="8">
        <f>C68</f>
        <v>1250</v>
      </c>
      <c r="H123" s="9">
        <f t="shared" si="18"/>
        <v>5.8362731203138912E-5</v>
      </c>
    </row>
    <row r="124" spans="5:8">
      <c r="E124" s="5" t="s">
        <v>137</v>
      </c>
      <c r="F124" s="16" t="s">
        <v>13</v>
      </c>
      <c r="G124" s="28">
        <f>C71</f>
        <v>23</v>
      </c>
      <c r="H124" s="9">
        <f t="shared" si="18"/>
        <v>1.0738742541377559E-6</v>
      </c>
    </row>
    <row r="125" spans="5:8">
      <c r="E125" s="5" t="s">
        <v>138</v>
      </c>
      <c r="F125" s="12" t="s">
        <v>14</v>
      </c>
      <c r="G125" s="8">
        <f>C73</f>
        <v>14101259.154937945</v>
      </c>
      <c r="H125" s="9">
        <f t="shared" si="18"/>
        <v>0.65839039814835598</v>
      </c>
    </row>
    <row r="126" spans="5:8">
      <c r="E126" s="16" t="s">
        <v>139</v>
      </c>
      <c r="F126" s="16" t="s">
        <v>15</v>
      </c>
      <c r="G126" s="8">
        <f>C82</f>
        <v>13600.000000000002</v>
      </c>
      <c r="H126" s="9">
        <f t="shared" si="18"/>
        <v>6.3498651549015136E-4</v>
      </c>
    </row>
    <row r="127" spans="5:8">
      <c r="E127" s="5" t="s">
        <v>140</v>
      </c>
      <c r="F127" s="19" t="s">
        <v>2</v>
      </c>
      <c r="G127" s="8">
        <v>0</v>
      </c>
      <c r="H127" s="9">
        <f t="shared" si="18"/>
        <v>0</v>
      </c>
    </row>
    <row r="128" spans="5:8">
      <c r="E128" s="16" t="s">
        <v>141</v>
      </c>
      <c r="F128" s="16" t="s">
        <v>463</v>
      </c>
      <c r="G128" s="28">
        <v>0</v>
      </c>
      <c r="H128" s="9">
        <f t="shared" si="18"/>
        <v>0</v>
      </c>
    </row>
    <row r="129" spans="5:9" ht="14.25" thickBot="1">
      <c r="E129" s="5" t="s">
        <v>142</v>
      </c>
      <c r="F129" s="80" t="s">
        <v>1</v>
      </c>
      <c r="G129" s="6">
        <v>11658.954449755514</v>
      </c>
      <c r="H129" s="81">
        <f t="shared" si="18"/>
        <v>5.4435873972857711E-4</v>
      </c>
    </row>
    <row r="130" spans="5:9" ht="14.25" thickTop="1">
      <c r="E130" s="375" t="s">
        <v>18</v>
      </c>
      <c r="F130" s="376"/>
      <c r="G130" s="7">
        <f>SUM(G113:G129)</f>
        <v>21417777.650761683</v>
      </c>
      <c r="H130" s="9">
        <f>G130/G130</f>
        <v>1</v>
      </c>
      <c r="I130" s="51"/>
    </row>
  </sheetData>
  <mergeCells count="35">
    <mergeCell ref="A110:B110"/>
    <mergeCell ref="E112:F112"/>
    <mergeCell ref="E130:F130"/>
    <mergeCell ref="C86:M86"/>
    <mergeCell ref="C87:M87"/>
    <mergeCell ref="A89:B105"/>
    <mergeCell ref="C106:L106"/>
    <mergeCell ref="A107:B107"/>
    <mergeCell ref="A108:B108"/>
    <mergeCell ref="A74:B81"/>
    <mergeCell ref="M74:M80"/>
    <mergeCell ref="A83:B85"/>
    <mergeCell ref="M83:M85"/>
    <mergeCell ref="A109:B109"/>
    <mergeCell ref="M52:M56"/>
    <mergeCell ref="A59:B61"/>
    <mergeCell ref="A63:B65"/>
    <mergeCell ref="A69:B70"/>
    <mergeCell ref="A72:B72"/>
    <mergeCell ref="A67:B67"/>
    <mergeCell ref="M6:M7"/>
    <mergeCell ref="A9:B27"/>
    <mergeCell ref="M9:M22"/>
    <mergeCell ref="M25:M27"/>
    <mergeCell ref="A29:B30"/>
    <mergeCell ref="J6:L6"/>
    <mergeCell ref="A45:B50"/>
    <mergeCell ref="A52:B57"/>
    <mergeCell ref="A32:B43"/>
    <mergeCell ref="I32:I43"/>
    <mergeCell ref="A6:B7"/>
    <mergeCell ref="C6:C7"/>
    <mergeCell ref="D6:E6"/>
    <mergeCell ref="F6:F7"/>
    <mergeCell ref="G6:I6"/>
  </mergeCells>
  <phoneticPr fontId="3"/>
  <pageMargins left="0.70866141732283472" right="0.70866141732283472" top="0.74803149606299213" bottom="0.74803149606299213" header="0.31496062992125984" footer="0.31496062992125984"/>
  <pageSetup paperSize="8" scale="53" fitToHeight="2" orientation="landscape" r:id="rId1"/>
  <rowBreaks count="1" manualBreakCount="1">
    <brk id="67"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9"/>
  <sheetViews>
    <sheetView view="pageBreakPreview" zoomScale="80" zoomScaleNormal="85" zoomScaleSheetLayoutView="80" workbookViewId="0">
      <pane ySplit="7" topLeftCell="A8" activePane="bottomLeft" state="frozen"/>
      <selection pane="bottomLeft"/>
    </sheetView>
  </sheetViews>
  <sheetFormatPr defaultRowHeight="13.5"/>
  <cols>
    <col min="1" max="1" width="3.5" style="130" bestFit="1" customWidth="1"/>
    <col min="2" max="2" width="29.875" style="130" customWidth="1"/>
    <col min="3" max="3" width="10.875" style="3" customWidth="1"/>
    <col min="4" max="4" width="7.875" style="4" bestFit="1" customWidth="1"/>
    <col min="5" max="5" width="9.875" style="4" bestFit="1" customWidth="1"/>
    <col min="6" max="6" width="24.75" style="1" customWidth="1"/>
    <col min="7" max="7" width="13.125" style="1" customWidth="1"/>
    <col min="8" max="8" width="13.125" style="130" customWidth="1"/>
    <col min="9" max="9" width="40" style="130" customWidth="1"/>
    <col min="10" max="11" width="13.125" style="130" customWidth="1"/>
    <col min="12" max="12" width="40" style="130" customWidth="1"/>
    <col min="13" max="13" width="65.75" style="1" customWidth="1"/>
    <col min="14" max="16384" width="9" style="130"/>
  </cols>
  <sheetData>
    <row r="2" spans="1:13">
      <c r="B2" s="130" t="s">
        <v>820</v>
      </c>
    </row>
    <row r="3" spans="1:13">
      <c r="B3" s="130" t="s">
        <v>819</v>
      </c>
    </row>
    <row r="4" spans="1:13">
      <c r="B4" s="130" t="s">
        <v>818</v>
      </c>
    </row>
    <row r="5" spans="1:13" ht="14.25" thickBot="1"/>
    <row r="6" spans="1:13" ht="14.25" thickBot="1">
      <c r="A6" s="412" t="s">
        <v>48</v>
      </c>
      <c r="B6" s="412"/>
      <c r="C6" s="413" t="s">
        <v>49</v>
      </c>
      <c r="D6" s="415" t="s">
        <v>121</v>
      </c>
      <c r="E6" s="415"/>
      <c r="F6" s="416" t="s">
        <v>16</v>
      </c>
      <c r="G6" s="417" t="s">
        <v>50</v>
      </c>
      <c r="H6" s="418"/>
      <c r="I6" s="419"/>
      <c r="J6" s="412" t="s">
        <v>51</v>
      </c>
      <c r="K6" s="412"/>
      <c r="L6" s="412"/>
      <c r="M6" s="410" t="s">
        <v>43</v>
      </c>
    </row>
    <row r="7" spans="1:13" s="2" customFormat="1" ht="14.25" thickBot="1">
      <c r="A7" s="412"/>
      <c r="B7" s="412"/>
      <c r="C7" s="414"/>
      <c r="D7" s="90" t="s">
        <v>52</v>
      </c>
      <c r="E7" s="90" t="s">
        <v>53</v>
      </c>
      <c r="F7" s="416"/>
      <c r="G7" s="91" t="s">
        <v>54</v>
      </c>
      <c r="H7" s="92" t="s">
        <v>55</v>
      </c>
      <c r="I7" s="92" t="s">
        <v>56</v>
      </c>
      <c r="J7" s="92" t="s">
        <v>57</v>
      </c>
      <c r="K7" s="92" t="s">
        <v>55</v>
      </c>
      <c r="L7" s="169" t="s">
        <v>56</v>
      </c>
      <c r="M7" s="411"/>
    </row>
    <row r="8" spans="1:13" ht="18.75" customHeight="1">
      <c r="A8" s="89">
        <v>1</v>
      </c>
      <c r="B8" s="68" t="s">
        <v>4</v>
      </c>
      <c r="C8" s="65">
        <f>SUM(C9:C25)</f>
        <v>409889.125</v>
      </c>
      <c r="D8" s="36">
        <f t="shared" ref="D8:D39" si="0">+C8/$C$96</f>
        <v>0.67697250650621676</v>
      </c>
      <c r="E8" s="36">
        <f t="shared" ref="E8:E39" si="1">+C8/$C$99</f>
        <v>0.50121696403867533</v>
      </c>
      <c r="F8" s="24"/>
      <c r="G8" s="24"/>
      <c r="H8" s="35"/>
      <c r="I8" s="35"/>
      <c r="J8" s="35"/>
      <c r="K8" s="35"/>
      <c r="L8" s="35"/>
      <c r="M8" s="56"/>
    </row>
    <row r="9" spans="1:13" s="146" customFormat="1" ht="18.75" customHeight="1">
      <c r="A9" s="384" t="s">
        <v>817</v>
      </c>
      <c r="B9" s="385"/>
      <c r="C9" s="125">
        <f t="shared" ref="C9:C24" si="2">+G9*J9</f>
        <v>87450</v>
      </c>
      <c r="D9" s="124">
        <f t="shared" si="0"/>
        <v>0.1444323405603129</v>
      </c>
      <c r="E9" s="124">
        <f t="shared" si="1"/>
        <v>0.10693482903500344</v>
      </c>
      <c r="F9" s="136" t="s">
        <v>816</v>
      </c>
      <c r="G9" s="31">
        <v>55000</v>
      </c>
      <c r="H9" s="31" t="s">
        <v>812</v>
      </c>
      <c r="I9" s="31" t="s">
        <v>787</v>
      </c>
      <c r="J9" s="31">
        <v>1.59</v>
      </c>
      <c r="K9" s="31" t="s">
        <v>811</v>
      </c>
      <c r="L9" s="31" t="s">
        <v>815</v>
      </c>
      <c r="M9" s="420" t="s">
        <v>814</v>
      </c>
    </row>
    <row r="10" spans="1:13" s="146" customFormat="1" ht="18.75" customHeight="1">
      <c r="A10" s="384"/>
      <c r="B10" s="385"/>
      <c r="C10" s="125">
        <f t="shared" si="2"/>
        <v>28500</v>
      </c>
      <c r="D10" s="124">
        <f t="shared" si="0"/>
        <v>4.7070574110565089E-2</v>
      </c>
      <c r="E10" s="124">
        <f t="shared" si="1"/>
        <v>3.4850115809006266E-2</v>
      </c>
      <c r="F10" s="136" t="s">
        <v>813</v>
      </c>
      <c r="G10" s="31">
        <v>30000</v>
      </c>
      <c r="H10" s="31" t="s">
        <v>812</v>
      </c>
      <c r="I10" s="31" t="s">
        <v>787</v>
      </c>
      <c r="J10" s="31">
        <v>0.95</v>
      </c>
      <c r="K10" s="31" t="s">
        <v>811</v>
      </c>
      <c r="L10" s="31" t="s">
        <v>810</v>
      </c>
      <c r="M10" s="421"/>
    </row>
    <row r="11" spans="1:13" s="146" customFormat="1" ht="18.75" customHeight="1">
      <c r="A11" s="384"/>
      <c r="B11" s="385"/>
      <c r="C11" s="125">
        <f t="shared" si="2"/>
        <v>31.8</v>
      </c>
      <c r="D11" s="124">
        <f t="shared" si="0"/>
        <v>5.2520851112841051E-5</v>
      </c>
      <c r="E11" s="124">
        <f t="shared" si="1"/>
        <v>3.8885392376364884E-5</v>
      </c>
      <c r="F11" s="136" t="s">
        <v>809</v>
      </c>
      <c r="G11" s="37">
        <v>300</v>
      </c>
      <c r="H11" s="31" t="s">
        <v>808</v>
      </c>
      <c r="I11" s="31" t="s">
        <v>787</v>
      </c>
      <c r="J11" s="31">
        <v>0.106</v>
      </c>
      <c r="K11" s="31" t="s">
        <v>61</v>
      </c>
      <c r="L11" s="31" t="s">
        <v>807</v>
      </c>
      <c r="M11" s="421"/>
    </row>
    <row r="12" spans="1:13" s="146" customFormat="1" ht="18.75" customHeight="1">
      <c r="A12" s="384"/>
      <c r="B12" s="385"/>
      <c r="C12" s="125">
        <f t="shared" si="2"/>
        <v>804</v>
      </c>
      <c r="D12" s="124">
        <f t="shared" si="0"/>
        <v>1.3278856696454153E-3</v>
      </c>
      <c r="E12" s="124">
        <f t="shared" si="1"/>
        <v>9.8314010913828193E-4</v>
      </c>
      <c r="F12" s="136" t="s">
        <v>806</v>
      </c>
      <c r="G12" s="37">
        <v>600</v>
      </c>
      <c r="H12" s="31" t="s">
        <v>805</v>
      </c>
      <c r="I12" s="31" t="s">
        <v>787</v>
      </c>
      <c r="J12" s="31">
        <v>1.34</v>
      </c>
      <c r="K12" s="31" t="s">
        <v>61</v>
      </c>
      <c r="L12" s="31" t="s">
        <v>804</v>
      </c>
      <c r="M12" s="421"/>
    </row>
    <row r="13" spans="1:13" ht="18.75" customHeight="1">
      <c r="A13" s="384"/>
      <c r="B13" s="385"/>
      <c r="C13" s="125">
        <f t="shared" si="2"/>
        <v>49880</v>
      </c>
      <c r="D13" s="124">
        <f t="shared" si="0"/>
        <v>8.2381762688946911E-2</v>
      </c>
      <c r="E13" s="124">
        <f t="shared" si="1"/>
        <v>6.0993816721166057E-2</v>
      </c>
      <c r="F13" s="136" t="s">
        <v>803</v>
      </c>
      <c r="G13" s="37">
        <v>43000</v>
      </c>
      <c r="H13" s="31" t="s">
        <v>788</v>
      </c>
      <c r="I13" s="31" t="s">
        <v>787</v>
      </c>
      <c r="J13" s="31">
        <v>1.1599999999999999</v>
      </c>
      <c r="K13" s="31" t="s">
        <v>61</v>
      </c>
      <c r="L13" s="31" t="s">
        <v>802</v>
      </c>
      <c r="M13" s="421"/>
    </row>
    <row r="14" spans="1:13" ht="18.75" customHeight="1">
      <c r="A14" s="384"/>
      <c r="B14" s="385"/>
      <c r="C14" s="125">
        <f t="shared" si="2"/>
        <v>13567.5</v>
      </c>
      <c r="D14" s="124">
        <f t="shared" si="0"/>
        <v>2.2408070675266383E-2</v>
      </c>
      <c r="E14" s="124">
        <f t="shared" si="1"/>
        <v>1.6590489341708509E-2</v>
      </c>
      <c r="F14" s="136" t="s">
        <v>801</v>
      </c>
      <c r="G14" s="37">
        <v>22500</v>
      </c>
      <c r="H14" s="31" t="s">
        <v>788</v>
      </c>
      <c r="I14" s="31" t="s">
        <v>787</v>
      </c>
      <c r="J14" s="31">
        <v>0.60299999999999998</v>
      </c>
      <c r="K14" s="31" t="s">
        <v>61</v>
      </c>
      <c r="L14" s="31" t="s">
        <v>800</v>
      </c>
      <c r="M14" s="421"/>
    </row>
    <row r="15" spans="1:13" ht="18.75" customHeight="1">
      <c r="A15" s="384"/>
      <c r="B15" s="385"/>
      <c r="C15" s="125">
        <f t="shared" si="2"/>
        <v>636</v>
      </c>
      <c r="D15" s="124">
        <f t="shared" si="0"/>
        <v>1.0504170222568211E-3</v>
      </c>
      <c r="E15" s="124">
        <f t="shared" si="1"/>
        <v>7.7770784752729768E-4</v>
      </c>
      <c r="F15" s="136" t="s">
        <v>799</v>
      </c>
      <c r="G15" s="37">
        <v>300</v>
      </c>
      <c r="H15" s="31" t="s">
        <v>788</v>
      </c>
      <c r="I15" s="31" t="s">
        <v>787</v>
      </c>
      <c r="J15" s="31">
        <v>2.12</v>
      </c>
      <c r="K15" s="31" t="s">
        <v>61</v>
      </c>
      <c r="L15" s="31" t="s">
        <v>798</v>
      </c>
      <c r="M15" s="421"/>
    </row>
    <row r="16" spans="1:13" ht="18.75" customHeight="1">
      <c r="A16" s="384"/>
      <c r="B16" s="385"/>
      <c r="C16" s="125">
        <f t="shared" si="2"/>
        <v>29790</v>
      </c>
      <c r="D16" s="124">
        <f t="shared" si="0"/>
        <v>4.9201136938727512E-2</v>
      </c>
      <c r="E16" s="124">
        <f t="shared" si="1"/>
        <v>3.642754210351918E-2</v>
      </c>
      <c r="F16" s="136" t="s">
        <v>725</v>
      </c>
      <c r="G16" s="37">
        <v>30000</v>
      </c>
      <c r="H16" s="31" t="s">
        <v>788</v>
      </c>
      <c r="I16" s="31" t="s">
        <v>787</v>
      </c>
      <c r="J16" s="31">
        <v>0.99299999999999999</v>
      </c>
      <c r="K16" s="31" t="s">
        <v>61</v>
      </c>
      <c r="L16" s="31" t="s">
        <v>797</v>
      </c>
      <c r="M16" s="421"/>
    </row>
    <row r="17" spans="1:13" ht="18.75" customHeight="1">
      <c r="A17" s="384"/>
      <c r="B17" s="385"/>
      <c r="C17" s="125">
        <f t="shared" si="2"/>
        <v>110.00000000000001</v>
      </c>
      <c r="D17" s="124">
        <f t="shared" si="0"/>
        <v>1.8167590007586528E-4</v>
      </c>
      <c r="E17" s="124">
        <f t="shared" si="1"/>
        <v>1.3450921891195402E-4</v>
      </c>
      <c r="F17" s="136" t="s">
        <v>723</v>
      </c>
      <c r="G17" s="37">
        <v>50</v>
      </c>
      <c r="H17" s="31" t="s">
        <v>788</v>
      </c>
      <c r="I17" s="31" t="s">
        <v>787</v>
      </c>
      <c r="J17" s="31">
        <v>2.2000000000000002</v>
      </c>
      <c r="K17" s="31" t="s">
        <v>61</v>
      </c>
      <c r="L17" s="31" t="s">
        <v>796</v>
      </c>
      <c r="M17" s="421"/>
    </row>
    <row r="18" spans="1:13" ht="18.75" customHeight="1">
      <c r="A18" s="384"/>
      <c r="B18" s="385"/>
      <c r="C18" s="125">
        <f t="shared" si="2"/>
        <v>409.5</v>
      </c>
      <c r="D18" s="124">
        <f t="shared" si="0"/>
        <v>6.7632982800969839E-4</v>
      </c>
      <c r="E18" s="124">
        <f t="shared" si="1"/>
        <v>5.0074113767677425E-4</v>
      </c>
      <c r="F18" s="136" t="s">
        <v>795</v>
      </c>
      <c r="G18" s="37">
        <v>150</v>
      </c>
      <c r="H18" s="31" t="s">
        <v>788</v>
      </c>
      <c r="I18" s="31" t="s">
        <v>787</v>
      </c>
      <c r="J18" s="31">
        <v>2.73</v>
      </c>
      <c r="K18" s="31" t="s">
        <v>61</v>
      </c>
      <c r="L18" s="31" t="s">
        <v>794</v>
      </c>
      <c r="M18" s="421"/>
    </row>
    <row r="19" spans="1:13" ht="18.75" customHeight="1">
      <c r="A19" s="384"/>
      <c r="B19" s="385"/>
      <c r="C19" s="125">
        <f t="shared" si="2"/>
        <v>95500</v>
      </c>
      <c r="D19" s="124">
        <f t="shared" si="0"/>
        <v>0.15772771324768303</v>
      </c>
      <c r="E19" s="124">
        <f t="shared" si="1"/>
        <v>0.11677845823719643</v>
      </c>
      <c r="F19" s="136" t="s">
        <v>793</v>
      </c>
      <c r="G19" s="37">
        <v>10000</v>
      </c>
      <c r="H19" s="31" t="s">
        <v>788</v>
      </c>
      <c r="I19" s="31" t="s">
        <v>787</v>
      </c>
      <c r="J19" s="31">
        <v>9.5500000000000007</v>
      </c>
      <c r="K19" s="31" t="s">
        <v>61</v>
      </c>
      <c r="L19" s="31" t="s">
        <v>792</v>
      </c>
      <c r="M19" s="421"/>
    </row>
    <row r="20" spans="1:13" ht="18.75" customHeight="1">
      <c r="A20" s="384"/>
      <c r="B20" s="385"/>
      <c r="C20" s="125">
        <f t="shared" si="2"/>
        <v>5838</v>
      </c>
      <c r="D20" s="124">
        <f t="shared" si="0"/>
        <v>9.6420354967536488E-3</v>
      </c>
      <c r="E20" s="124">
        <f t="shared" si="1"/>
        <v>7.1387710909817043E-3</v>
      </c>
      <c r="F20" s="136" t="s">
        <v>791</v>
      </c>
      <c r="G20" s="37">
        <v>7000</v>
      </c>
      <c r="H20" s="31" t="s">
        <v>788</v>
      </c>
      <c r="I20" s="31" t="s">
        <v>787</v>
      </c>
      <c r="J20" s="31">
        <v>0.83399999999999996</v>
      </c>
      <c r="K20" s="31" t="s">
        <v>61</v>
      </c>
      <c r="L20" s="31" t="s">
        <v>790</v>
      </c>
      <c r="M20" s="421"/>
    </row>
    <row r="21" spans="1:13" ht="18.75" customHeight="1">
      <c r="A21" s="384"/>
      <c r="B21" s="385"/>
      <c r="C21" s="125">
        <f t="shared" si="2"/>
        <v>15090</v>
      </c>
      <c r="D21" s="124">
        <f t="shared" si="0"/>
        <v>2.4922630292225516E-2</v>
      </c>
      <c r="E21" s="124">
        <f t="shared" si="1"/>
        <v>1.8452219212558053E-2</v>
      </c>
      <c r="F21" s="136" t="s">
        <v>789</v>
      </c>
      <c r="G21" s="37">
        <v>3000</v>
      </c>
      <c r="H21" s="31" t="s">
        <v>788</v>
      </c>
      <c r="I21" s="31" t="s">
        <v>787</v>
      </c>
      <c r="J21" s="31">
        <v>5.03</v>
      </c>
      <c r="K21" s="31" t="s">
        <v>61</v>
      </c>
      <c r="L21" s="31" t="s">
        <v>786</v>
      </c>
      <c r="M21" s="422"/>
    </row>
    <row r="22" spans="1:13" ht="18.75" customHeight="1">
      <c r="A22" s="384"/>
      <c r="B22" s="385"/>
      <c r="C22" s="125">
        <f t="shared" si="2"/>
        <v>154.5</v>
      </c>
      <c r="D22" s="124">
        <f t="shared" si="0"/>
        <v>2.5517205965201078E-4</v>
      </c>
      <c r="E22" s="124">
        <f t="shared" si="1"/>
        <v>1.8892431201724449E-4</v>
      </c>
      <c r="F22" s="136" t="s">
        <v>62</v>
      </c>
      <c r="G22" s="136">
        <v>10</v>
      </c>
      <c r="H22" s="38" t="s">
        <v>64</v>
      </c>
      <c r="I22" s="31" t="s">
        <v>67</v>
      </c>
      <c r="J22" s="31">
        <v>15.45</v>
      </c>
      <c r="K22" s="196" t="s">
        <v>59</v>
      </c>
      <c r="L22" s="30" t="s">
        <v>74</v>
      </c>
      <c r="M22" s="420" t="s">
        <v>122</v>
      </c>
    </row>
    <row r="23" spans="1:13" ht="18.75" customHeight="1">
      <c r="A23" s="384"/>
      <c r="B23" s="385"/>
      <c r="C23" s="125">
        <f t="shared" si="2"/>
        <v>81</v>
      </c>
      <c r="D23" s="124">
        <f t="shared" si="0"/>
        <v>1.3377952641950079E-4</v>
      </c>
      <c r="E23" s="124">
        <f t="shared" si="1"/>
        <v>9.9047697562438858E-5</v>
      </c>
      <c r="F23" s="136" t="s">
        <v>66</v>
      </c>
      <c r="G23" s="136">
        <v>15</v>
      </c>
      <c r="H23" s="38" t="s">
        <v>64</v>
      </c>
      <c r="I23" s="31" t="s">
        <v>67</v>
      </c>
      <c r="J23" s="31">
        <v>5.4</v>
      </c>
      <c r="K23" s="196" t="s">
        <v>59</v>
      </c>
      <c r="L23" s="30" t="s">
        <v>73</v>
      </c>
      <c r="M23" s="421"/>
    </row>
    <row r="24" spans="1:13" ht="18.75" customHeight="1">
      <c r="A24" s="384"/>
      <c r="B24" s="385"/>
      <c r="C24" s="125">
        <f t="shared" si="2"/>
        <v>69</v>
      </c>
      <c r="D24" s="124">
        <f t="shared" si="0"/>
        <v>1.1396033732031548E-4</v>
      </c>
      <c r="E24" s="124">
        <f t="shared" si="1"/>
        <v>8.4373964590225701E-5</v>
      </c>
      <c r="F24" s="39" t="s">
        <v>785</v>
      </c>
      <c r="G24" s="40">
        <v>30</v>
      </c>
      <c r="H24" s="40" t="s">
        <v>64</v>
      </c>
      <c r="I24" s="31" t="s">
        <v>67</v>
      </c>
      <c r="J24" s="22">
        <v>2.2999999999999998</v>
      </c>
      <c r="K24" s="196" t="s">
        <v>59</v>
      </c>
      <c r="L24" s="30" t="s">
        <v>63</v>
      </c>
      <c r="M24" s="422"/>
    </row>
    <row r="25" spans="1:13" s="146" customFormat="1" ht="18.75" customHeight="1">
      <c r="A25" s="384"/>
      <c r="B25" s="385"/>
      <c r="C25" s="125">
        <f>+G25*J25/100</f>
        <v>81977.824999999997</v>
      </c>
      <c r="D25" s="124">
        <f t="shared" si="0"/>
        <v>0.13539450130124336</v>
      </c>
      <c r="E25" s="124">
        <f t="shared" si="1"/>
        <v>0.10024339280773505</v>
      </c>
      <c r="F25" s="32" t="s">
        <v>84</v>
      </c>
      <c r="G25" s="15">
        <f>SUM(C9:C24)</f>
        <v>327911.3</v>
      </c>
      <c r="H25" s="32" t="s">
        <v>784</v>
      </c>
      <c r="I25" s="32" t="s">
        <v>106</v>
      </c>
      <c r="J25" s="32">
        <v>25</v>
      </c>
      <c r="K25" s="32" t="s">
        <v>783</v>
      </c>
      <c r="L25" s="78" t="s">
        <v>65</v>
      </c>
      <c r="M25" s="82" t="s">
        <v>118</v>
      </c>
    </row>
    <row r="26" spans="1:13" s="146" customFormat="1" ht="18.75" customHeight="1">
      <c r="A26" s="60">
        <v>2</v>
      </c>
      <c r="B26" s="69" t="s">
        <v>5</v>
      </c>
      <c r="C26" s="93">
        <f>SUM(C27:C29)</f>
        <v>23560</v>
      </c>
      <c r="D26" s="42">
        <f t="shared" si="0"/>
        <v>3.8911674598067145E-2</v>
      </c>
      <c r="E26" s="42">
        <f t="shared" si="1"/>
        <v>2.8809429068778512E-2</v>
      </c>
      <c r="F26" s="94"/>
      <c r="G26" s="95"/>
      <c r="H26" s="95"/>
      <c r="I26" s="95"/>
      <c r="J26" s="95"/>
      <c r="K26" s="95"/>
      <c r="L26" s="95"/>
      <c r="M26" s="175"/>
    </row>
    <row r="27" spans="1:13" s="146" customFormat="1" ht="18.75" customHeight="1">
      <c r="A27" s="384" t="s">
        <v>104</v>
      </c>
      <c r="B27" s="385"/>
      <c r="C27" s="123">
        <f>+G27*J27</f>
        <v>15600</v>
      </c>
      <c r="D27" s="118">
        <f t="shared" si="0"/>
        <v>2.5764945828940893E-2</v>
      </c>
      <c r="E27" s="118">
        <f t="shared" si="1"/>
        <v>1.9075852863877113E-2</v>
      </c>
      <c r="F27" s="21" t="s">
        <v>782</v>
      </c>
      <c r="G27" s="22">
        <v>5000</v>
      </c>
      <c r="H27" s="22" t="s">
        <v>253</v>
      </c>
      <c r="I27" s="22" t="s">
        <v>211</v>
      </c>
      <c r="J27" s="22">
        <v>3.12</v>
      </c>
      <c r="K27" s="196" t="s">
        <v>59</v>
      </c>
      <c r="L27" s="33" t="s">
        <v>358</v>
      </c>
      <c r="M27" s="177"/>
    </row>
    <row r="28" spans="1:13" s="146" customFormat="1" ht="18.75" customHeight="1">
      <c r="A28" s="384"/>
      <c r="B28" s="385"/>
      <c r="C28" s="123">
        <f>+G28*J28</f>
        <v>4680</v>
      </c>
      <c r="D28" s="118">
        <f t="shared" si="0"/>
        <v>7.7294837486822678E-3</v>
      </c>
      <c r="E28" s="118">
        <f t="shared" si="1"/>
        <v>5.7227558591631342E-3</v>
      </c>
      <c r="F28" s="21" t="s">
        <v>781</v>
      </c>
      <c r="G28" s="22">
        <v>1500</v>
      </c>
      <c r="H28" s="22" t="s">
        <v>253</v>
      </c>
      <c r="I28" s="22" t="s">
        <v>211</v>
      </c>
      <c r="J28" s="22">
        <v>3.12</v>
      </c>
      <c r="K28" s="196" t="s">
        <v>59</v>
      </c>
      <c r="L28" s="33" t="s">
        <v>358</v>
      </c>
      <c r="M28" s="177"/>
    </row>
    <row r="29" spans="1:13" s="146" customFormat="1" ht="18.75" customHeight="1">
      <c r="A29" s="384"/>
      <c r="B29" s="385"/>
      <c r="C29" s="123">
        <f>+G29*J29</f>
        <v>3280</v>
      </c>
      <c r="D29" s="118">
        <f t="shared" si="0"/>
        <v>5.4172450204439827E-3</v>
      </c>
      <c r="E29" s="118">
        <f t="shared" si="1"/>
        <v>4.0108203457382653E-3</v>
      </c>
      <c r="F29" s="21" t="s">
        <v>780</v>
      </c>
      <c r="G29" s="22">
        <v>1000</v>
      </c>
      <c r="H29" s="22" t="s">
        <v>253</v>
      </c>
      <c r="I29" s="22" t="s">
        <v>211</v>
      </c>
      <c r="J29" s="22">
        <v>3.28</v>
      </c>
      <c r="K29" s="196" t="s">
        <v>59</v>
      </c>
      <c r="L29" s="22" t="s">
        <v>779</v>
      </c>
      <c r="M29" s="177"/>
    </row>
    <row r="30" spans="1:13" s="137" customFormat="1" ht="18.75" customHeight="1">
      <c r="A30" s="85">
        <v>3</v>
      </c>
      <c r="B30" s="70" t="s">
        <v>6</v>
      </c>
      <c r="C30" s="66">
        <f>SUM(C31:C34)</f>
        <v>28740.606199999998</v>
      </c>
      <c r="D30" s="43">
        <f t="shared" si="0"/>
        <v>4.7467959091918123E-2</v>
      </c>
      <c r="E30" s="43">
        <f t="shared" si="1"/>
        <v>3.514433173652784E-2</v>
      </c>
      <c r="F30" s="25"/>
      <c r="G30" s="25"/>
      <c r="H30" s="44"/>
      <c r="I30" s="44"/>
      <c r="J30" s="25"/>
      <c r="K30" s="44"/>
      <c r="L30" s="44"/>
      <c r="M30" s="57"/>
    </row>
    <row r="31" spans="1:13" s="137" customFormat="1" ht="18.75" customHeight="1">
      <c r="A31" s="429" t="s">
        <v>104</v>
      </c>
      <c r="B31" s="430"/>
      <c r="C31" s="117">
        <f>+G31*J31</f>
        <v>8496</v>
      </c>
      <c r="D31" s="116">
        <f t="shared" si="0"/>
        <v>1.4031985882223194E-2</v>
      </c>
      <c r="E31" s="116">
        <f t="shared" si="1"/>
        <v>1.038900294432692E-2</v>
      </c>
      <c r="F31" s="32" t="s">
        <v>29</v>
      </c>
      <c r="G31" s="96">
        <v>240000</v>
      </c>
      <c r="H31" s="33" t="s">
        <v>778</v>
      </c>
      <c r="I31" s="33" t="s">
        <v>75</v>
      </c>
      <c r="J31" s="33">
        <v>3.5400000000000001E-2</v>
      </c>
      <c r="K31" s="33" t="s">
        <v>777</v>
      </c>
      <c r="L31" s="22" t="s">
        <v>44</v>
      </c>
      <c r="M31" s="58"/>
    </row>
    <row r="32" spans="1:13" s="137" customFormat="1" ht="18.75" customHeight="1">
      <c r="A32" s="429"/>
      <c r="B32" s="430"/>
      <c r="C32" s="117">
        <f>+G32*J32</f>
        <v>15925</v>
      </c>
      <c r="D32" s="116">
        <f t="shared" si="0"/>
        <v>2.6301715533710496E-2</v>
      </c>
      <c r="E32" s="116">
        <f t="shared" si="1"/>
        <v>1.9473266465207886E-2</v>
      </c>
      <c r="F32" s="32" t="s">
        <v>776</v>
      </c>
      <c r="G32" s="96">
        <v>35000</v>
      </c>
      <c r="H32" s="33" t="s">
        <v>775</v>
      </c>
      <c r="I32" s="33" t="s">
        <v>75</v>
      </c>
      <c r="J32" s="33">
        <v>0.45500000000000002</v>
      </c>
      <c r="K32" s="33" t="s">
        <v>774</v>
      </c>
      <c r="L32" s="33" t="s">
        <v>773</v>
      </c>
      <c r="M32" s="58"/>
    </row>
    <row r="33" spans="1:13" s="137" customFormat="1" ht="18.75" customHeight="1">
      <c r="A33" s="429"/>
      <c r="B33" s="430"/>
      <c r="C33" s="117">
        <f>+G33*J33</f>
        <v>3040</v>
      </c>
      <c r="D33" s="116">
        <f t="shared" si="0"/>
        <v>5.0208612384602764E-3</v>
      </c>
      <c r="E33" s="116">
        <f t="shared" si="1"/>
        <v>3.7173456862940016E-3</v>
      </c>
      <c r="F33" s="32" t="s">
        <v>772</v>
      </c>
      <c r="G33" s="96">
        <v>20000</v>
      </c>
      <c r="H33" s="33" t="s">
        <v>771</v>
      </c>
      <c r="I33" s="33" t="s">
        <v>75</v>
      </c>
      <c r="J33" s="33">
        <v>0.152</v>
      </c>
      <c r="K33" s="33" t="s">
        <v>770</v>
      </c>
      <c r="L33" s="33" t="s">
        <v>769</v>
      </c>
      <c r="M33" s="58"/>
    </row>
    <row r="34" spans="1:13" s="137" customFormat="1" ht="18.75" customHeight="1">
      <c r="A34" s="429"/>
      <c r="B34" s="430"/>
      <c r="C34" s="117">
        <f>+G34*J34</f>
        <v>1279.6061999999999</v>
      </c>
      <c r="D34" s="116">
        <f t="shared" si="0"/>
        <v>2.1133964375241606E-3</v>
      </c>
      <c r="E34" s="116">
        <f t="shared" si="1"/>
        <v>1.5647166406990327E-3</v>
      </c>
      <c r="F34" s="32" t="s">
        <v>30</v>
      </c>
      <c r="G34" s="97">
        <v>92058</v>
      </c>
      <c r="H34" s="33" t="s">
        <v>662</v>
      </c>
      <c r="I34" s="33" t="s">
        <v>75</v>
      </c>
      <c r="J34" s="33">
        <v>1.3899999999999999E-2</v>
      </c>
      <c r="K34" s="33" t="s">
        <v>661</v>
      </c>
      <c r="L34" s="22" t="s">
        <v>45</v>
      </c>
      <c r="M34" s="58"/>
    </row>
    <row r="35" spans="1:13" s="146" customFormat="1" ht="18.75" customHeight="1">
      <c r="A35" s="60">
        <v>4</v>
      </c>
      <c r="B35" s="175" t="s">
        <v>7</v>
      </c>
      <c r="C35" s="67">
        <f>SUM(C36:C39)</f>
        <v>52303.16666476438</v>
      </c>
      <c r="D35" s="42">
        <f t="shared" si="0"/>
        <v>8.6383862551264193E-2</v>
      </c>
      <c r="E35" s="42">
        <f t="shared" si="1"/>
        <v>6.3956891769992794E-2</v>
      </c>
      <c r="F35" s="174"/>
      <c r="G35" s="174"/>
      <c r="H35" s="41"/>
      <c r="I35" s="41"/>
      <c r="J35" s="41"/>
      <c r="K35" s="41"/>
      <c r="L35" s="41"/>
      <c r="M35" s="175"/>
    </row>
    <row r="36" spans="1:13" s="146" customFormat="1" ht="30" customHeight="1">
      <c r="A36" s="423" t="s">
        <v>103</v>
      </c>
      <c r="B36" s="424"/>
      <c r="C36" s="122">
        <f>G36-J36</f>
        <v>48000</v>
      </c>
      <c r="D36" s="118">
        <f t="shared" si="0"/>
        <v>7.9276756396741213E-2</v>
      </c>
      <c r="E36" s="118">
        <f t="shared" si="1"/>
        <v>5.8694931888852657E-2</v>
      </c>
      <c r="F36" s="136" t="s">
        <v>68</v>
      </c>
      <c r="G36" s="136">
        <v>60000</v>
      </c>
      <c r="H36" s="31" t="s">
        <v>654</v>
      </c>
      <c r="I36" s="136" t="s">
        <v>124</v>
      </c>
      <c r="J36" s="98">
        <v>12000</v>
      </c>
      <c r="K36" s="31" t="s">
        <v>654</v>
      </c>
      <c r="L36" s="31" t="s">
        <v>125</v>
      </c>
      <c r="M36" s="177" t="s">
        <v>232</v>
      </c>
    </row>
    <row r="37" spans="1:13" s="146" customFormat="1" ht="30" customHeight="1">
      <c r="A37" s="425"/>
      <c r="B37" s="426"/>
      <c r="C37" s="122">
        <v>0</v>
      </c>
      <c r="D37" s="118">
        <f t="shared" si="0"/>
        <v>0</v>
      </c>
      <c r="E37" s="118">
        <f t="shared" si="1"/>
        <v>0</v>
      </c>
      <c r="F37" s="136" t="s">
        <v>69</v>
      </c>
      <c r="G37" s="136"/>
      <c r="H37" s="31"/>
      <c r="I37" s="31"/>
      <c r="J37" s="34"/>
      <c r="K37" s="31"/>
      <c r="L37" s="31"/>
      <c r="M37" s="177" t="s">
        <v>70</v>
      </c>
    </row>
    <row r="38" spans="1:13" s="146" customFormat="1" ht="30" customHeight="1">
      <c r="A38" s="425"/>
      <c r="B38" s="426"/>
      <c r="C38" s="117">
        <f>+G38*J38</f>
        <v>3707.1666647643801</v>
      </c>
      <c r="D38" s="118">
        <f t="shared" si="0"/>
        <v>6.122753095930111E-3</v>
      </c>
      <c r="E38" s="118">
        <f t="shared" si="1"/>
        <v>4.533164476853549E-3</v>
      </c>
      <c r="F38" s="136" t="s">
        <v>768</v>
      </c>
      <c r="G38" s="34">
        <f>8000*18172.3856115901</f>
        <v>145379084.89272079</v>
      </c>
      <c r="H38" s="31" t="s">
        <v>659</v>
      </c>
      <c r="I38" s="99" t="s">
        <v>767</v>
      </c>
      <c r="J38" s="34">
        <f>0.0255/1000</f>
        <v>2.55E-5</v>
      </c>
      <c r="K38" s="31" t="s">
        <v>657</v>
      </c>
      <c r="L38" s="136" t="s">
        <v>87</v>
      </c>
      <c r="M38" s="177"/>
    </row>
    <row r="39" spans="1:13" s="146" customFormat="1" ht="30" customHeight="1">
      <c r="A39" s="427"/>
      <c r="B39" s="428"/>
      <c r="C39" s="117">
        <f>+G39*J39</f>
        <v>596</v>
      </c>
      <c r="D39" s="118">
        <f t="shared" si="0"/>
        <v>9.8435305859287002E-4</v>
      </c>
      <c r="E39" s="118">
        <f t="shared" si="1"/>
        <v>7.2879540428658714E-4</v>
      </c>
      <c r="F39" s="136" t="s">
        <v>766</v>
      </c>
      <c r="G39" s="34">
        <f>8000*500</f>
        <v>4000000</v>
      </c>
      <c r="H39" s="31" t="s">
        <v>659</v>
      </c>
      <c r="I39" s="136" t="s">
        <v>79</v>
      </c>
      <c r="J39" s="34">
        <f>0.149/1000</f>
        <v>1.4899999999999999E-4</v>
      </c>
      <c r="K39" s="31" t="s">
        <v>657</v>
      </c>
      <c r="L39" s="136" t="s">
        <v>387</v>
      </c>
      <c r="M39" s="177" t="s">
        <v>765</v>
      </c>
    </row>
    <row r="40" spans="1:13" s="18" customFormat="1" ht="18.75" customHeight="1">
      <c r="A40" s="86">
        <v>5</v>
      </c>
      <c r="B40" s="71" t="s">
        <v>8</v>
      </c>
      <c r="C40" s="67">
        <f>SUM(C41:C46)</f>
        <v>5213.3099999999995</v>
      </c>
      <c r="D40" s="42">
        <f t="shared" ref="D40:D58" si="3">+C40/$C$96</f>
        <v>8.61029806022281E-3</v>
      </c>
      <c r="E40" s="42">
        <f t="shared" ref="E40:E58" si="4">+C40/$C$99</f>
        <v>6.374893236780717E-3</v>
      </c>
      <c r="F40" s="26"/>
      <c r="G40" s="26"/>
      <c r="H40" s="46"/>
      <c r="I40" s="46"/>
      <c r="J40" s="46"/>
      <c r="K40" s="46"/>
      <c r="L40" s="46"/>
      <c r="M40" s="59"/>
    </row>
    <row r="41" spans="1:13" s="18" customFormat="1" ht="18.75" customHeight="1">
      <c r="A41" s="382" t="s">
        <v>103</v>
      </c>
      <c r="B41" s="383"/>
      <c r="C41" s="122">
        <f t="shared" ref="C41:C47" si="5">+G41*J41</f>
        <v>3243</v>
      </c>
      <c r="D41" s="118">
        <f t="shared" si="3"/>
        <v>5.3561358540548274E-3</v>
      </c>
      <c r="E41" s="118">
        <f t="shared" si="4"/>
        <v>3.9655763357406074E-3</v>
      </c>
      <c r="F41" s="153" t="s">
        <v>19</v>
      </c>
      <c r="G41" s="45">
        <v>15000</v>
      </c>
      <c r="H41" s="47" t="s">
        <v>762</v>
      </c>
      <c r="I41" s="47" t="s">
        <v>83</v>
      </c>
      <c r="J41" s="47">
        <v>0.2162</v>
      </c>
      <c r="K41" s="47" t="s">
        <v>61</v>
      </c>
      <c r="L41" s="47" t="s">
        <v>115</v>
      </c>
      <c r="M41" s="407" t="s">
        <v>114</v>
      </c>
    </row>
    <row r="42" spans="1:13" s="18" customFormat="1" ht="18.75" customHeight="1">
      <c r="A42" s="382"/>
      <c r="B42" s="383"/>
      <c r="C42" s="122">
        <f t="shared" si="5"/>
        <v>749</v>
      </c>
      <c r="D42" s="118">
        <f t="shared" si="3"/>
        <v>1.2370477196074826E-3</v>
      </c>
      <c r="E42" s="118">
        <f t="shared" si="4"/>
        <v>9.1588549968230504E-4</v>
      </c>
      <c r="F42" s="153" t="s">
        <v>764</v>
      </c>
      <c r="G42" s="45">
        <v>10000</v>
      </c>
      <c r="H42" s="47" t="s">
        <v>762</v>
      </c>
      <c r="I42" s="47" t="s">
        <v>83</v>
      </c>
      <c r="J42" s="47">
        <v>7.4899999999999994E-2</v>
      </c>
      <c r="K42" s="47" t="s">
        <v>61</v>
      </c>
      <c r="L42" s="47" t="s">
        <v>115</v>
      </c>
      <c r="M42" s="408"/>
    </row>
    <row r="43" spans="1:13" s="18" customFormat="1" ht="18.75" customHeight="1">
      <c r="A43" s="382"/>
      <c r="B43" s="383"/>
      <c r="C43" s="122">
        <f t="shared" si="5"/>
        <v>349.2</v>
      </c>
      <c r="D43" s="118">
        <f t="shared" si="3"/>
        <v>5.7673840278629231E-4</v>
      </c>
      <c r="E43" s="118">
        <f t="shared" si="4"/>
        <v>4.2700562949140306E-4</v>
      </c>
      <c r="F43" s="153" t="s">
        <v>408</v>
      </c>
      <c r="G43" s="45">
        <v>6000</v>
      </c>
      <c r="H43" s="47" t="s">
        <v>762</v>
      </c>
      <c r="I43" s="47" t="s">
        <v>83</v>
      </c>
      <c r="J43" s="47">
        <v>5.8200000000000002E-2</v>
      </c>
      <c r="K43" s="47" t="s">
        <v>61</v>
      </c>
      <c r="L43" s="47" t="s">
        <v>115</v>
      </c>
      <c r="M43" s="408"/>
    </row>
    <row r="44" spans="1:13" s="18" customFormat="1" ht="18.75" customHeight="1">
      <c r="A44" s="382"/>
      <c r="B44" s="383"/>
      <c r="C44" s="122">
        <f t="shared" si="5"/>
        <v>48.7</v>
      </c>
      <c r="D44" s="118">
        <f t="shared" si="3"/>
        <v>8.0432875760860361E-5</v>
      </c>
      <c r="E44" s="118">
        <f t="shared" si="4"/>
        <v>5.9550899645565093E-5</v>
      </c>
      <c r="F44" s="153" t="s">
        <v>20</v>
      </c>
      <c r="G44" s="45">
        <v>1000</v>
      </c>
      <c r="H44" s="47" t="s">
        <v>762</v>
      </c>
      <c r="I44" s="47" t="s">
        <v>83</v>
      </c>
      <c r="J44" s="47">
        <v>4.87E-2</v>
      </c>
      <c r="K44" s="47" t="s">
        <v>61</v>
      </c>
      <c r="L44" s="47" t="s">
        <v>115</v>
      </c>
      <c r="M44" s="408"/>
    </row>
    <row r="45" spans="1:13" s="18" customFormat="1" ht="18.75" customHeight="1">
      <c r="A45" s="382"/>
      <c r="B45" s="383"/>
      <c r="C45" s="122">
        <f t="shared" si="5"/>
        <v>699.12</v>
      </c>
      <c r="D45" s="118">
        <f t="shared" si="3"/>
        <v>1.1546659569185358E-3</v>
      </c>
      <c r="E45" s="118">
        <f t="shared" si="4"/>
        <v>8.5489168296113902E-4</v>
      </c>
      <c r="F45" s="153" t="s">
        <v>272</v>
      </c>
      <c r="G45" s="45">
        <v>800</v>
      </c>
      <c r="H45" s="47" t="s">
        <v>762</v>
      </c>
      <c r="I45" s="47" t="s">
        <v>83</v>
      </c>
      <c r="J45" s="47">
        <v>0.87390000000000001</v>
      </c>
      <c r="K45" s="47" t="s">
        <v>61</v>
      </c>
      <c r="L45" s="47" t="s">
        <v>115</v>
      </c>
      <c r="M45" s="408"/>
    </row>
    <row r="46" spans="1:13" s="18" customFormat="1" ht="18.75" customHeight="1">
      <c r="A46" s="382"/>
      <c r="B46" s="383"/>
      <c r="C46" s="122">
        <f t="shared" si="5"/>
        <v>124.29</v>
      </c>
      <c r="D46" s="118">
        <f t="shared" si="3"/>
        <v>2.0527725109481177E-4</v>
      </c>
      <c r="E46" s="118">
        <f t="shared" si="4"/>
        <v>1.5198318925969785E-4</v>
      </c>
      <c r="F46" s="153" t="s">
        <v>410</v>
      </c>
      <c r="G46" s="45">
        <v>900</v>
      </c>
      <c r="H46" s="47" t="s">
        <v>762</v>
      </c>
      <c r="I46" s="47" t="s">
        <v>83</v>
      </c>
      <c r="J46" s="47">
        <v>0.1381</v>
      </c>
      <c r="K46" s="47" t="s">
        <v>61</v>
      </c>
      <c r="L46" s="47" t="s">
        <v>115</v>
      </c>
      <c r="M46" s="409"/>
    </row>
    <row r="47" spans="1:13" s="18" customFormat="1" ht="18.75" customHeight="1">
      <c r="A47" s="382"/>
      <c r="B47" s="383"/>
      <c r="C47" s="122">
        <f t="shared" si="5"/>
        <v>2.968</v>
      </c>
      <c r="D47" s="118">
        <f t="shared" si="3"/>
        <v>4.9019461038651642E-6</v>
      </c>
      <c r="E47" s="118">
        <f t="shared" si="4"/>
        <v>3.6293032884607226E-6</v>
      </c>
      <c r="F47" s="153" t="s">
        <v>763</v>
      </c>
      <c r="G47" s="153">
        <v>20</v>
      </c>
      <c r="H47" s="45" t="s">
        <v>762</v>
      </c>
      <c r="I47" s="47" t="s">
        <v>85</v>
      </c>
      <c r="J47" s="47">
        <v>0.1484</v>
      </c>
      <c r="K47" s="47" t="s">
        <v>61</v>
      </c>
      <c r="L47" s="47" t="s">
        <v>115</v>
      </c>
      <c r="M47" s="176" t="s">
        <v>82</v>
      </c>
    </row>
    <row r="48" spans="1:13" s="146" customFormat="1" ht="18.75" customHeight="1">
      <c r="A48" s="60">
        <v>6</v>
      </c>
      <c r="B48" s="175" t="s">
        <v>9</v>
      </c>
      <c r="C48" s="67">
        <f>C49</f>
        <v>650</v>
      </c>
      <c r="D48" s="42">
        <f t="shared" si="3"/>
        <v>1.0735394095392039E-3</v>
      </c>
      <c r="E48" s="42">
        <f t="shared" si="4"/>
        <v>7.9482720266154641E-4</v>
      </c>
      <c r="F48" s="174"/>
      <c r="G48" s="95"/>
      <c r="H48" s="41"/>
      <c r="I48" s="41"/>
      <c r="J48" s="41"/>
      <c r="K48" s="41"/>
      <c r="L48" s="41"/>
      <c r="M48" s="175"/>
    </row>
    <row r="49" spans="1:13" s="146" customFormat="1" ht="45" customHeight="1">
      <c r="A49" s="384" t="s">
        <v>759</v>
      </c>
      <c r="B49" s="385"/>
      <c r="C49" s="121">
        <f>+G49*J49</f>
        <v>650</v>
      </c>
      <c r="D49" s="118">
        <f t="shared" si="3"/>
        <v>1.0735394095392039E-3</v>
      </c>
      <c r="E49" s="118">
        <f t="shared" si="4"/>
        <v>7.9482720266154641E-4</v>
      </c>
      <c r="F49" s="136" t="s">
        <v>9</v>
      </c>
      <c r="G49" s="31">
        <v>5000</v>
      </c>
      <c r="H49" s="31" t="s">
        <v>608</v>
      </c>
      <c r="I49" s="22" t="s">
        <v>211</v>
      </c>
      <c r="J49" s="31">
        <v>0.13</v>
      </c>
      <c r="K49" s="31" t="s">
        <v>757</v>
      </c>
      <c r="L49" s="31" t="s">
        <v>761</v>
      </c>
      <c r="M49" s="177" t="s">
        <v>760</v>
      </c>
    </row>
    <row r="50" spans="1:13" s="146" customFormat="1" ht="18.75" customHeight="1">
      <c r="A50" s="60">
        <v>7</v>
      </c>
      <c r="B50" s="175" t="s">
        <v>10</v>
      </c>
      <c r="C50" s="67">
        <f>C51</f>
        <v>2267.9999999999995</v>
      </c>
      <c r="D50" s="42">
        <f t="shared" si="3"/>
        <v>3.7458267397460212E-3</v>
      </c>
      <c r="E50" s="42">
        <f t="shared" si="4"/>
        <v>2.7733355317482874E-3</v>
      </c>
      <c r="F50" s="174"/>
      <c r="G50" s="95"/>
      <c r="H50" s="41"/>
      <c r="I50" s="41"/>
      <c r="J50" s="41"/>
      <c r="K50" s="41"/>
      <c r="L50" s="41"/>
      <c r="M50" s="175"/>
    </row>
    <row r="51" spans="1:13" s="146" customFormat="1" ht="45" customHeight="1">
      <c r="A51" s="384" t="s">
        <v>759</v>
      </c>
      <c r="B51" s="385"/>
      <c r="C51" s="122">
        <f>+G51*J51</f>
        <v>2267.9999999999995</v>
      </c>
      <c r="D51" s="118">
        <f t="shared" si="3"/>
        <v>3.7458267397460212E-3</v>
      </c>
      <c r="E51" s="118">
        <f t="shared" si="4"/>
        <v>2.7733355317482874E-3</v>
      </c>
      <c r="F51" s="136" t="s">
        <v>758</v>
      </c>
      <c r="G51" s="31">
        <v>5000</v>
      </c>
      <c r="H51" s="31" t="s">
        <v>608</v>
      </c>
      <c r="I51" s="22" t="s">
        <v>211</v>
      </c>
      <c r="J51" s="31">
        <f>1.89*240/1000</f>
        <v>0.45359999999999995</v>
      </c>
      <c r="K51" s="31" t="s">
        <v>757</v>
      </c>
      <c r="L51" s="136" t="s">
        <v>756</v>
      </c>
      <c r="M51" s="264" t="s">
        <v>755</v>
      </c>
    </row>
    <row r="52" spans="1:13" s="146" customFormat="1" ht="18.75" customHeight="1">
      <c r="A52" s="60">
        <v>8</v>
      </c>
      <c r="B52" s="175" t="s">
        <v>11</v>
      </c>
      <c r="C52" s="93">
        <f>SUM(C53:C55)</f>
        <v>1607.875</v>
      </c>
      <c r="D52" s="42">
        <f t="shared" si="3"/>
        <v>2.6555648894043805E-3</v>
      </c>
      <c r="E52" s="42">
        <f t="shared" si="4"/>
        <v>1.9661273668914367E-3</v>
      </c>
      <c r="F52" s="94"/>
      <c r="G52" s="95"/>
      <c r="H52" s="95"/>
      <c r="I52" s="95"/>
      <c r="J52" s="95"/>
      <c r="K52" s="95"/>
      <c r="L52" s="95"/>
      <c r="M52" s="175"/>
    </row>
    <row r="53" spans="1:13" s="146" customFormat="1" ht="30" customHeight="1">
      <c r="A53" s="384" t="s">
        <v>754</v>
      </c>
      <c r="B53" s="385"/>
      <c r="C53" s="123">
        <f>+G53*J53</f>
        <v>1276</v>
      </c>
      <c r="D53" s="118">
        <f t="shared" si="3"/>
        <v>2.1074404408800373E-3</v>
      </c>
      <c r="E53" s="118">
        <f t="shared" si="4"/>
        <v>1.5603069393786665E-3</v>
      </c>
      <c r="F53" s="21" t="s">
        <v>753</v>
      </c>
      <c r="G53" s="100">
        <v>550</v>
      </c>
      <c r="H53" s="100" t="s">
        <v>729</v>
      </c>
      <c r="I53" s="22" t="s">
        <v>752</v>
      </c>
      <c r="J53" s="22">
        <v>2.3199999999999998</v>
      </c>
      <c r="K53" s="22" t="s">
        <v>751</v>
      </c>
      <c r="L53" s="22" t="s">
        <v>750</v>
      </c>
      <c r="M53" s="177" t="s">
        <v>749</v>
      </c>
    </row>
    <row r="54" spans="1:13" s="146" customFormat="1" ht="30" customHeight="1">
      <c r="A54" s="384"/>
      <c r="B54" s="385"/>
      <c r="C54" s="123">
        <f>+G54*J54</f>
        <v>12.875</v>
      </c>
      <c r="D54" s="118">
        <f t="shared" si="3"/>
        <v>2.1264338304334231E-5</v>
      </c>
      <c r="E54" s="118">
        <f t="shared" si="4"/>
        <v>1.5743692668103706E-5</v>
      </c>
      <c r="F54" s="21" t="s">
        <v>107</v>
      </c>
      <c r="G54" s="100">
        <v>500</v>
      </c>
      <c r="H54" s="100" t="s">
        <v>637</v>
      </c>
      <c r="I54" s="22" t="s">
        <v>110</v>
      </c>
      <c r="J54" s="22">
        <f>0.103*3/12</f>
        <v>2.5749999999999999E-2</v>
      </c>
      <c r="K54" s="22" t="s">
        <v>636</v>
      </c>
      <c r="L54" s="21" t="s">
        <v>120</v>
      </c>
      <c r="M54" s="177" t="s">
        <v>109</v>
      </c>
    </row>
    <row r="55" spans="1:13" s="146" customFormat="1" ht="18.75" customHeight="1">
      <c r="A55" s="384"/>
      <c r="B55" s="385"/>
      <c r="C55" s="123">
        <f>+G55*J55/100</f>
        <v>319</v>
      </c>
      <c r="D55" s="118">
        <f t="shared" si="3"/>
        <v>5.2686011022000931E-4</v>
      </c>
      <c r="E55" s="118">
        <f t="shared" si="4"/>
        <v>3.9007673484466661E-4</v>
      </c>
      <c r="F55" s="21" t="s">
        <v>740</v>
      </c>
      <c r="G55" s="263">
        <f>+C53</f>
        <v>1276</v>
      </c>
      <c r="H55" s="263" t="s">
        <v>714</v>
      </c>
      <c r="I55" s="22" t="s">
        <v>748</v>
      </c>
      <c r="J55" s="32">
        <v>25</v>
      </c>
      <c r="K55" s="32" t="s">
        <v>712</v>
      </c>
      <c r="L55" s="32" t="s">
        <v>711</v>
      </c>
      <c r="M55" s="171"/>
    </row>
    <row r="56" spans="1:13" s="146" customFormat="1" ht="18.75" customHeight="1">
      <c r="A56" s="60">
        <v>9</v>
      </c>
      <c r="B56" s="175" t="s">
        <v>12</v>
      </c>
      <c r="C56" s="93">
        <f>+C57+C58</f>
        <v>341.25</v>
      </c>
      <c r="D56" s="42">
        <f t="shared" si="3"/>
        <v>5.6360819000808202E-4</v>
      </c>
      <c r="E56" s="42">
        <f t="shared" si="4"/>
        <v>4.1728428139731184E-4</v>
      </c>
      <c r="F56" s="94"/>
      <c r="G56" s="95"/>
      <c r="H56" s="94"/>
      <c r="I56" s="94"/>
      <c r="J56" s="94"/>
      <c r="K56" s="94"/>
      <c r="L56" s="95"/>
      <c r="M56" s="175"/>
    </row>
    <row r="57" spans="1:13" s="146" customFormat="1" ht="45" customHeight="1">
      <c r="A57" s="384" t="s">
        <v>747</v>
      </c>
      <c r="B57" s="385"/>
      <c r="C57" s="123">
        <f>+G57*J57/1000</f>
        <v>273</v>
      </c>
      <c r="D57" s="118">
        <f t="shared" si="3"/>
        <v>4.5088655200646561E-4</v>
      </c>
      <c r="E57" s="118">
        <f t="shared" si="4"/>
        <v>3.3382742511784948E-4</v>
      </c>
      <c r="F57" s="21" t="s">
        <v>746</v>
      </c>
      <c r="G57" s="262">
        <f>10000000*100</f>
        <v>1000000000</v>
      </c>
      <c r="H57" s="100" t="s">
        <v>745</v>
      </c>
      <c r="I57" s="21" t="s">
        <v>744</v>
      </c>
      <c r="J57" s="205">
        <v>2.7300000000000002E-4</v>
      </c>
      <c r="K57" s="21" t="s">
        <v>743</v>
      </c>
      <c r="L57" s="21" t="s">
        <v>742</v>
      </c>
      <c r="M57" s="177" t="s">
        <v>741</v>
      </c>
    </row>
    <row r="58" spans="1:13" s="146" customFormat="1" ht="30" customHeight="1">
      <c r="A58" s="384"/>
      <c r="B58" s="385"/>
      <c r="C58" s="117">
        <f>+C57*J58/100</f>
        <v>68.25</v>
      </c>
      <c r="D58" s="118">
        <f t="shared" si="3"/>
        <v>1.127216380016164E-4</v>
      </c>
      <c r="E58" s="118">
        <f t="shared" si="4"/>
        <v>8.345685627946237E-5</v>
      </c>
      <c r="F58" s="21" t="s">
        <v>740</v>
      </c>
      <c r="G58" s="15">
        <f>SUM(C57)</f>
        <v>273</v>
      </c>
      <c r="H58" s="15" t="s">
        <v>714</v>
      </c>
      <c r="I58" s="32" t="s">
        <v>739</v>
      </c>
      <c r="J58" s="32">
        <v>25</v>
      </c>
      <c r="K58" s="32" t="s">
        <v>712</v>
      </c>
      <c r="L58" s="32" t="s">
        <v>711</v>
      </c>
      <c r="M58" s="171" t="s">
        <v>738</v>
      </c>
    </row>
    <row r="59" spans="1:13" s="146" customFormat="1" ht="18.75" customHeight="1">
      <c r="A59" s="60">
        <v>10</v>
      </c>
      <c r="B59" s="69" t="s">
        <v>13</v>
      </c>
      <c r="C59" s="379" t="s">
        <v>737</v>
      </c>
      <c r="D59" s="380"/>
      <c r="E59" s="380"/>
      <c r="F59" s="380"/>
      <c r="G59" s="380"/>
      <c r="H59" s="380"/>
      <c r="I59" s="380"/>
      <c r="J59" s="380"/>
      <c r="K59" s="380"/>
      <c r="L59" s="380"/>
      <c r="M59" s="381"/>
    </row>
    <row r="60" spans="1:13" s="13" customFormat="1" ht="18.75" customHeight="1">
      <c r="A60" s="85">
        <v>11</v>
      </c>
      <c r="B60" s="70" t="s">
        <v>14</v>
      </c>
      <c r="C60" s="66">
        <f>SUM(C64:C64)</f>
        <v>2396.2124999999996</v>
      </c>
      <c r="D60" s="42">
        <f t="shared" ref="D60:D75" si="6">+C60/$C$96</f>
        <v>3.9575823882776291E-3</v>
      </c>
      <c r="E60" s="43">
        <f t="shared" ref="E60:E75" si="7">+C60/$C$99</f>
        <v>2.9301151974732778E-3</v>
      </c>
      <c r="F60" s="25" t="s">
        <v>426</v>
      </c>
      <c r="G60" s="25"/>
      <c r="H60" s="25"/>
      <c r="I60" s="25"/>
      <c r="J60" s="25"/>
      <c r="K60" s="25"/>
      <c r="L60" s="25"/>
      <c r="M60" s="175"/>
    </row>
    <row r="61" spans="1:13" s="13" customFormat="1" ht="18.75" customHeight="1">
      <c r="A61" s="460" t="s">
        <v>736</v>
      </c>
      <c r="B61" s="466"/>
      <c r="C61" s="117">
        <f>+G61*J61/1000</f>
        <v>850.85000000000014</v>
      </c>
      <c r="D61" s="118">
        <f t="shared" si="6"/>
        <v>1.4052630870868181E-3</v>
      </c>
      <c r="E61" s="116">
        <f t="shared" si="7"/>
        <v>1.0404288082839644E-3</v>
      </c>
      <c r="F61" s="32" t="s">
        <v>735</v>
      </c>
      <c r="G61" s="206">
        <v>70000</v>
      </c>
      <c r="H61" s="32" t="s">
        <v>729</v>
      </c>
      <c r="I61" s="32" t="s">
        <v>453</v>
      </c>
      <c r="J61" s="32">
        <f>0.0221*1000*0.55</f>
        <v>12.155000000000001</v>
      </c>
      <c r="K61" s="32" t="s">
        <v>734</v>
      </c>
      <c r="L61" s="32" t="s">
        <v>731</v>
      </c>
      <c r="M61" s="457" t="s">
        <v>733</v>
      </c>
    </row>
    <row r="62" spans="1:13" s="13" customFormat="1" ht="18.75" customHeight="1">
      <c r="A62" s="460"/>
      <c r="B62" s="466"/>
      <c r="C62" s="117">
        <f>+G62*J62/1000</f>
        <v>2431</v>
      </c>
      <c r="D62" s="118">
        <f t="shared" si="6"/>
        <v>4.0150373916766225E-3</v>
      </c>
      <c r="E62" s="116">
        <f t="shared" si="7"/>
        <v>2.9726537379541835E-3</v>
      </c>
      <c r="F62" s="32" t="s">
        <v>732</v>
      </c>
      <c r="G62" s="206">
        <v>200000</v>
      </c>
      <c r="H62" s="32" t="s">
        <v>729</v>
      </c>
      <c r="I62" s="32" t="s">
        <v>453</v>
      </c>
      <c r="J62" s="32">
        <f>0.0221*1000*0.55</f>
        <v>12.155000000000001</v>
      </c>
      <c r="K62" s="32" t="s">
        <v>205</v>
      </c>
      <c r="L62" s="32" t="s">
        <v>731</v>
      </c>
      <c r="M62" s="458"/>
    </row>
    <row r="63" spans="1:13" s="13" customFormat="1" ht="18.75" customHeight="1">
      <c r="A63" s="460"/>
      <c r="B63" s="466"/>
      <c r="C63" s="117">
        <f>+G63*J63/1000</f>
        <v>6302.9999999999991</v>
      </c>
      <c r="D63" s="118">
        <f t="shared" si="6"/>
        <v>1.0410029074347078E-2</v>
      </c>
      <c r="E63" s="116">
        <f t="shared" si="7"/>
        <v>7.7073782436549634E-3</v>
      </c>
      <c r="F63" s="32" t="s">
        <v>730</v>
      </c>
      <c r="G63" s="206">
        <v>600000</v>
      </c>
      <c r="H63" s="32" t="s">
        <v>729</v>
      </c>
      <c r="I63" s="32" t="s">
        <v>453</v>
      </c>
      <c r="J63" s="32">
        <f>0.0191*1000*0.55</f>
        <v>10.504999999999999</v>
      </c>
      <c r="K63" s="32" t="s">
        <v>205</v>
      </c>
      <c r="L63" s="32" t="s">
        <v>728</v>
      </c>
      <c r="M63" s="459"/>
    </row>
    <row r="64" spans="1:13" s="13" customFormat="1" ht="18.75" customHeight="1">
      <c r="A64" s="460"/>
      <c r="B64" s="466"/>
      <c r="C64" s="117">
        <f>+G64*J64/100</f>
        <v>2396.2124999999996</v>
      </c>
      <c r="D64" s="118">
        <f t="shared" si="6"/>
        <v>3.9575823882776291E-3</v>
      </c>
      <c r="E64" s="116">
        <f t="shared" si="7"/>
        <v>2.9301151974732778E-3</v>
      </c>
      <c r="F64" s="32" t="s">
        <v>84</v>
      </c>
      <c r="G64" s="15">
        <f>SUM(C61:C63)</f>
        <v>9584.8499999999985</v>
      </c>
      <c r="H64" s="15" t="s">
        <v>714</v>
      </c>
      <c r="I64" s="32" t="s">
        <v>727</v>
      </c>
      <c r="J64" s="32">
        <v>25</v>
      </c>
      <c r="K64" s="32" t="s">
        <v>712</v>
      </c>
      <c r="L64" s="32" t="s">
        <v>711</v>
      </c>
      <c r="M64" s="171"/>
    </row>
    <row r="65" spans="1:13" s="146" customFormat="1" ht="18.75" customHeight="1">
      <c r="A65" s="60">
        <v>12</v>
      </c>
      <c r="B65" s="69" t="s">
        <v>15</v>
      </c>
      <c r="C65" s="67">
        <f>SUM(C66:C73)</f>
        <v>7417.3237956412777</v>
      </c>
      <c r="D65" s="42">
        <f t="shared" si="6"/>
        <v>1.2250445242975113E-2</v>
      </c>
      <c r="E65" s="42">
        <f t="shared" si="7"/>
        <v>9.0699857288068925E-3</v>
      </c>
      <c r="F65" s="174"/>
      <c r="G65" s="174"/>
      <c r="H65" s="95"/>
      <c r="I65" s="95"/>
      <c r="J65" s="41"/>
      <c r="K65" s="174"/>
      <c r="L65" s="174"/>
      <c r="M65" s="175"/>
    </row>
    <row r="66" spans="1:13" s="13" customFormat="1" ht="18.75" customHeight="1">
      <c r="A66" s="460" t="s">
        <v>726</v>
      </c>
      <c r="B66" s="461"/>
      <c r="C66" s="117">
        <f t="shared" ref="C66:C72" si="8">+G66*J66</f>
        <v>2600.7845127239998</v>
      </c>
      <c r="D66" s="118">
        <f t="shared" si="6"/>
        <v>4.295453338659121E-3</v>
      </c>
      <c r="E66" s="118">
        <f t="shared" si="7"/>
        <v>3.1802681214982919E-3</v>
      </c>
      <c r="F66" s="32" t="s">
        <v>725</v>
      </c>
      <c r="G66" s="206">
        <v>55101.366795000002</v>
      </c>
      <c r="H66" s="32" t="s">
        <v>452</v>
      </c>
      <c r="I66" s="32" t="s">
        <v>453</v>
      </c>
      <c r="J66" s="32">
        <v>4.7199999999999999E-2</v>
      </c>
      <c r="K66" s="32" t="s">
        <v>454</v>
      </c>
      <c r="L66" s="32" t="s">
        <v>455</v>
      </c>
      <c r="M66" s="171" t="s">
        <v>724</v>
      </c>
    </row>
    <row r="67" spans="1:13" s="13" customFormat="1" ht="18.75" customHeight="1">
      <c r="A67" s="462"/>
      <c r="B67" s="461"/>
      <c r="C67" s="117">
        <f t="shared" si="8"/>
        <v>11.850858588953203</v>
      </c>
      <c r="D67" s="118">
        <f t="shared" si="6"/>
        <v>1.9572867280180654E-5</v>
      </c>
      <c r="E67" s="118">
        <f t="shared" si="7"/>
        <v>1.4491361202146517E-5</v>
      </c>
      <c r="F67" s="32" t="s">
        <v>723</v>
      </c>
      <c r="G67" s="206">
        <v>80.073368844278406</v>
      </c>
      <c r="H67" s="32" t="s">
        <v>452</v>
      </c>
      <c r="I67" s="32" t="s">
        <v>457</v>
      </c>
      <c r="J67" s="32">
        <v>0.14799999999999999</v>
      </c>
      <c r="K67" s="32" t="s">
        <v>61</v>
      </c>
      <c r="L67" s="32" t="s">
        <v>715</v>
      </c>
      <c r="M67" s="171"/>
    </row>
    <row r="68" spans="1:13" s="13" customFormat="1" ht="18.75" customHeight="1">
      <c r="A68" s="462"/>
      <c r="B68" s="461"/>
      <c r="C68" s="117">
        <f t="shared" si="8"/>
        <v>11.654281898983632</v>
      </c>
      <c r="D68" s="118">
        <f t="shared" si="6"/>
        <v>1.9248201397597414E-5</v>
      </c>
      <c r="E68" s="118">
        <f t="shared" si="7"/>
        <v>1.4250985047381931E-5</v>
      </c>
      <c r="F68" s="32" t="s">
        <v>722</v>
      </c>
      <c r="G68" s="206">
        <v>239.30763652943801</v>
      </c>
      <c r="H68" s="32" t="s">
        <v>452</v>
      </c>
      <c r="I68" s="32" t="s">
        <v>457</v>
      </c>
      <c r="J68" s="32">
        <v>4.87E-2</v>
      </c>
      <c r="K68" s="32" t="s">
        <v>61</v>
      </c>
      <c r="L68" s="32" t="s">
        <v>719</v>
      </c>
      <c r="M68" s="171"/>
    </row>
    <row r="69" spans="1:13" s="13" customFormat="1" ht="18.75" customHeight="1">
      <c r="A69" s="462"/>
      <c r="B69" s="461"/>
      <c r="C69" s="117">
        <f t="shared" si="8"/>
        <v>883.16016861293383</v>
      </c>
      <c r="D69" s="118">
        <f t="shared" si="6"/>
        <v>1.4586265322173427E-3</v>
      </c>
      <c r="E69" s="118">
        <f t="shared" si="7"/>
        <v>1.0799380404934121E-3</v>
      </c>
      <c r="F69" s="32" t="s">
        <v>721</v>
      </c>
      <c r="G69" s="206">
        <v>18134.705721004801</v>
      </c>
      <c r="H69" s="32" t="s">
        <v>452</v>
      </c>
      <c r="I69" s="32" t="s">
        <v>457</v>
      </c>
      <c r="J69" s="32">
        <v>4.87E-2</v>
      </c>
      <c r="K69" s="32" t="s">
        <v>61</v>
      </c>
      <c r="L69" s="32" t="s">
        <v>719</v>
      </c>
      <c r="M69" s="171"/>
    </row>
    <row r="70" spans="1:13" s="13" customFormat="1" ht="18.75" customHeight="1">
      <c r="A70" s="462"/>
      <c r="B70" s="461"/>
      <c r="C70" s="117">
        <f t="shared" si="8"/>
        <v>0.3968850477575756</v>
      </c>
      <c r="D70" s="118">
        <f t="shared" si="6"/>
        <v>6.5549498434554839E-7</v>
      </c>
      <c r="E70" s="118">
        <f t="shared" si="7"/>
        <v>4.8531543428822775E-7</v>
      </c>
      <c r="F70" s="32" t="s">
        <v>720</v>
      </c>
      <c r="G70" s="206">
        <v>8.1495903030302994</v>
      </c>
      <c r="H70" s="32" t="s">
        <v>452</v>
      </c>
      <c r="I70" s="32" t="s">
        <v>457</v>
      </c>
      <c r="J70" s="32">
        <v>4.87E-2</v>
      </c>
      <c r="K70" s="32" t="s">
        <v>61</v>
      </c>
      <c r="L70" s="32" t="s">
        <v>719</v>
      </c>
      <c r="M70" s="171"/>
    </row>
    <row r="71" spans="1:13" s="13" customFormat="1" ht="18.75" customHeight="1">
      <c r="A71" s="462"/>
      <c r="B71" s="461"/>
      <c r="C71" s="117">
        <f t="shared" si="8"/>
        <v>1667.593646734563</v>
      </c>
      <c r="D71" s="118">
        <f t="shared" si="6"/>
        <v>2.7541961521026928E-3</v>
      </c>
      <c r="E71" s="118">
        <f t="shared" si="7"/>
        <v>2.0391519898618456E-3</v>
      </c>
      <c r="F71" s="32" t="s">
        <v>718</v>
      </c>
      <c r="G71" s="206">
        <v>11267.5246400984</v>
      </c>
      <c r="H71" s="32" t="s">
        <v>452</v>
      </c>
      <c r="I71" s="32" t="s">
        <v>717</v>
      </c>
      <c r="J71" s="32">
        <v>0.14799999999999999</v>
      </c>
      <c r="K71" s="32" t="s">
        <v>61</v>
      </c>
      <c r="L71" s="32" t="s">
        <v>715</v>
      </c>
      <c r="M71" s="171"/>
    </row>
    <row r="72" spans="1:13" s="13" customFormat="1" ht="18.75" customHeight="1">
      <c r="A72" s="462"/>
      <c r="B72" s="461"/>
      <c r="C72" s="117">
        <f t="shared" si="8"/>
        <v>758.41868290583045</v>
      </c>
      <c r="D72" s="118">
        <f t="shared" si="6"/>
        <v>1.2526036077388091E-3</v>
      </c>
      <c r="E72" s="118">
        <f t="shared" si="7"/>
        <v>9.2740276950814711E-4</v>
      </c>
      <c r="F72" s="32" t="s">
        <v>716</v>
      </c>
      <c r="G72" s="206">
        <v>5124.4505601745304</v>
      </c>
      <c r="H72" s="32" t="s">
        <v>452</v>
      </c>
      <c r="I72" s="32" t="s">
        <v>457</v>
      </c>
      <c r="J72" s="32">
        <v>0.14799999999999999</v>
      </c>
      <c r="K72" s="32" t="s">
        <v>61</v>
      </c>
      <c r="L72" s="32" t="s">
        <v>715</v>
      </c>
      <c r="M72" s="171"/>
    </row>
    <row r="73" spans="1:13" s="13" customFormat="1" ht="18.75" customHeight="1">
      <c r="A73" s="462"/>
      <c r="B73" s="461"/>
      <c r="C73" s="117">
        <f>+G73*J73/100</f>
        <v>1483.4647591282555</v>
      </c>
      <c r="D73" s="118">
        <f t="shared" si="6"/>
        <v>2.4500890485950224E-3</v>
      </c>
      <c r="E73" s="118">
        <f t="shared" si="7"/>
        <v>1.8139971457613786E-3</v>
      </c>
      <c r="F73" s="32" t="s">
        <v>84</v>
      </c>
      <c r="G73" s="15">
        <f>SUM(C66:C72)</f>
        <v>5933.8590365130221</v>
      </c>
      <c r="H73" s="15" t="s">
        <v>714</v>
      </c>
      <c r="I73" s="32" t="s">
        <v>713</v>
      </c>
      <c r="J73" s="32">
        <v>25</v>
      </c>
      <c r="K73" s="32" t="s">
        <v>712</v>
      </c>
      <c r="L73" s="32" t="s">
        <v>711</v>
      </c>
      <c r="M73" s="171"/>
    </row>
    <row r="74" spans="1:13" s="13" customFormat="1" ht="18.75" customHeight="1">
      <c r="A74" s="85">
        <v>13</v>
      </c>
      <c r="B74" s="87" t="s">
        <v>461</v>
      </c>
      <c r="C74" s="67">
        <f>C75</f>
        <v>66027.712499999994</v>
      </c>
      <c r="D74" s="42">
        <f t="shared" si="6"/>
        <v>0.10905130998534508</v>
      </c>
      <c r="E74" s="48">
        <f t="shared" si="7"/>
        <v>8.0739418499255103E-2</v>
      </c>
      <c r="F74" s="25"/>
      <c r="G74" s="25"/>
      <c r="H74" s="27"/>
      <c r="I74" s="25"/>
      <c r="J74" s="25"/>
      <c r="K74" s="25"/>
      <c r="L74" s="25"/>
      <c r="M74" s="61"/>
    </row>
    <row r="75" spans="1:13" s="18" customFormat="1" ht="56.25" customHeight="1">
      <c r="A75" s="398" t="s">
        <v>710</v>
      </c>
      <c r="B75" s="399"/>
      <c r="C75" s="122">
        <f>+G75*J75</f>
        <v>66027.712499999994</v>
      </c>
      <c r="D75" s="118">
        <f t="shared" si="6"/>
        <v>0.10905130998534508</v>
      </c>
      <c r="E75" s="120">
        <f t="shared" si="7"/>
        <v>8.0739418499255103E-2</v>
      </c>
      <c r="F75" s="153" t="s">
        <v>709</v>
      </c>
      <c r="G75" s="203">
        <v>76025</v>
      </c>
      <c r="H75" s="47" t="s">
        <v>119</v>
      </c>
      <c r="I75" s="47" t="s">
        <v>708</v>
      </c>
      <c r="J75" s="153">
        <f>0.000579*1500</f>
        <v>0.86849999999999994</v>
      </c>
      <c r="K75" s="153" t="s">
        <v>208</v>
      </c>
      <c r="L75" s="153" t="s">
        <v>707</v>
      </c>
      <c r="M75" s="176" t="s">
        <v>706</v>
      </c>
    </row>
    <row r="76" spans="1:13" s="146" customFormat="1" ht="18.75" customHeight="1">
      <c r="A76" s="60">
        <v>14</v>
      </c>
      <c r="B76" s="69" t="s">
        <v>479</v>
      </c>
      <c r="C76" s="379" t="s">
        <v>31</v>
      </c>
      <c r="D76" s="380"/>
      <c r="E76" s="380"/>
      <c r="F76" s="380"/>
      <c r="G76" s="380"/>
      <c r="H76" s="380"/>
      <c r="I76" s="380"/>
      <c r="J76" s="380"/>
      <c r="K76" s="380"/>
      <c r="L76" s="380"/>
      <c r="M76" s="381"/>
    </row>
    <row r="77" spans="1:13" s="146" customFormat="1" ht="30" customHeight="1">
      <c r="A77" s="60">
        <v>15</v>
      </c>
      <c r="B77" s="69" t="s">
        <v>1</v>
      </c>
      <c r="C77" s="93">
        <f>SUM(C78:C94)</f>
        <v>5059.2316195372023</v>
      </c>
      <c r="D77" s="42">
        <f t="shared" ref="D77:D94" si="9">+C77/$C$96</f>
        <v>8.355822347015443E-3</v>
      </c>
      <c r="E77" s="42">
        <f t="shared" ref="E77:E94" si="10">+C77/$C$99</f>
        <v>6.1864844858055381E-3</v>
      </c>
      <c r="F77" s="94" t="s">
        <v>86</v>
      </c>
      <c r="G77" s="102" t="s">
        <v>102</v>
      </c>
      <c r="H77" s="103" t="s">
        <v>126</v>
      </c>
      <c r="I77" s="95" t="s">
        <v>101</v>
      </c>
      <c r="J77" s="94" t="s">
        <v>89</v>
      </c>
      <c r="K77" s="94" t="s">
        <v>97</v>
      </c>
      <c r="L77" s="95" t="s">
        <v>117</v>
      </c>
      <c r="M77" s="175"/>
    </row>
    <row r="78" spans="1:13" s="146" customFormat="1" ht="18.75" customHeight="1">
      <c r="A78" s="384" t="s">
        <v>105</v>
      </c>
      <c r="B78" s="385"/>
      <c r="C78" s="123">
        <f t="shared" ref="C78:C94" si="11">+J78*K78</f>
        <v>1076.6919222103725</v>
      </c>
      <c r="D78" s="118">
        <f t="shared" si="9"/>
        <v>1.7782634006543903E-3</v>
      </c>
      <c r="E78" s="118">
        <f t="shared" si="10"/>
        <v>1.3165908133211594E-3</v>
      </c>
      <c r="F78" s="21" t="s">
        <v>297</v>
      </c>
      <c r="G78" s="100">
        <v>111452494</v>
      </c>
      <c r="H78" s="100">
        <v>1200000</v>
      </c>
      <c r="I78" s="22" t="s">
        <v>88</v>
      </c>
      <c r="J78" s="101">
        <f t="shared" ref="J78:J94" si="12">H78/G78</f>
        <v>1.0766919222103724E-2</v>
      </c>
      <c r="K78" s="100">
        <v>100000</v>
      </c>
      <c r="L78" s="22" t="s">
        <v>90</v>
      </c>
      <c r="M78" s="177"/>
    </row>
    <row r="79" spans="1:13" s="146" customFormat="1" ht="18.75" customHeight="1">
      <c r="A79" s="384"/>
      <c r="B79" s="385"/>
      <c r="C79" s="123">
        <f t="shared" si="11"/>
        <v>26.417658295527001</v>
      </c>
      <c r="D79" s="118">
        <f t="shared" si="9"/>
        <v>4.363138044305924E-5</v>
      </c>
      <c r="E79" s="118">
        <f t="shared" si="10"/>
        <v>3.2303805298311263E-5</v>
      </c>
      <c r="F79" s="21" t="s">
        <v>298</v>
      </c>
      <c r="G79" s="100">
        <v>4163760420</v>
      </c>
      <c r="H79" s="100">
        <v>687480</v>
      </c>
      <c r="I79" s="22" t="s">
        <v>88</v>
      </c>
      <c r="J79" s="101">
        <f t="shared" si="12"/>
        <v>1.6511036434704377E-4</v>
      </c>
      <c r="K79" s="100">
        <v>160000</v>
      </c>
      <c r="L79" s="22" t="s">
        <v>91</v>
      </c>
      <c r="M79" s="177"/>
    </row>
    <row r="80" spans="1:13" s="146" customFormat="1" ht="18.75" customHeight="1">
      <c r="A80" s="384"/>
      <c r="B80" s="385"/>
      <c r="C80" s="123">
        <f t="shared" si="11"/>
        <v>19.042509489546724</v>
      </c>
      <c r="D80" s="118">
        <f t="shared" si="9"/>
        <v>3.1450591374696424E-5</v>
      </c>
      <c r="E80" s="118">
        <f t="shared" si="10"/>
        <v>2.3285391614203652E-5</v>
      </c>
      <c r="F80" s="21" t="s">
        <v>299</v>
      </c>
      <c r="G80" s="100">
        <v>415352294</v>
      </c>
      <c r="H80" s="100">
        <v>158187</v>
      </c>
      <c r="I80" s="22" t="s">
        <v>88</v>
      </c>
      <c r="J80" s="101">
        <f t="shared" si="12"/>
        <v>3.8085018979093445E-4</v>
      </c>
      <c r="K80" s="100">
        <v>50000</v>
      </c>
      <c r="L80" s="22" t="s">
        <v>92</v>
      </c>
      <c r="M80" s="177"/>
    </row>
    <row r="81" spans="1:13" s="146" customFormat="1" ht="18.75" customHeight="1">
      <c r="A81" s="384"/>
      <c r="B81" s="385"/>
      <c r="C81" s="123">
        <f t="shared" si="11"/>
        <v>43.625767034497109</v>
      </c>
      <c r="D81" s="118">
        <f t="shared" si="9"/>
        <v>7.2052277204475215E-5</v>
      </c>
      <c r="E81" s="118">
        <f t="shared" si="10"/>
        <v>5.334607134768253E-5</v>
      </c>
      <c r="F81" s="21" t="s">
        <v>300</v>
      </c>
      <c r="G81" s="100">
        <v>1237800586</v>
      </c>
      <c r="H81" s="100">
        <v>900000</v>
      </c>
      <c r="I81" s="22" t="s">
        <v>88</v>
      </c>
      <c r="J81" s="101">
        <f t="shared" si="12"/>
        <v>7.2709611724161842E-4</v>
      </c>
      <c r="K81" s="100">
        <v>60000</v>
      </c>
      <c r="L81" s="22" t="s">
        <v>93</v>
      </c>
      <c r="M81" s="177"/>
    </row>
    <row r="82" spans="1:13" s="146" customFormat="1" ht="18.75" customHeight="1">
      <c r="A82" s="384"/>
      <c r="B82" s="385"/>
      <c r="C82" s="123">
        <f t="shared" si="11"/>
        <v>107.43490759668525</v>
      </c>
      <c r="D82" s="118">
        <f t="shared" si="9"/>
        <v>1.774393957926837E-4</v>
      </c>
      <c r="E82" s="118">
        <f t="shared" si="10"/>
        <v>1.3137259549734625E-4</v>
      </c>
      <c r="F82" s="21" t="s">
        <v>301</v>
      </c>
      <c r="G82" s="100">
        <v>1737940900</v>
      </c>
      <c r="H82" s="100">
        <v>2333944</v>
      </c>
      <c r="I82" s="22" t="s">
        <v>88</v>
      </c>
      <c r="J82" s="101">
        <f t="shared" si="12"/>
        <v>1.3429363449585657E-3</v>
      </c>
      <c r="K82" s="100">
        <v>80000</v>
      </c>
      <c r="L82" s="22" t="s">
        <v>94</v>
      </c>
      <c r="M82" s="177"/>
    </row>
    <row r="83" spans="1:13" s="146" customFormat="1" ht="18.75" customHeight="1">
      <c r="A83" s="384"/>
      <c r="B83" s="385"/>
      <c r="C83" s="123">
        <f t="shared" si="11"/>
        <v>277.39352083240539</v>
      </c>
      <c r="D83" s="118">
        <f t="shared" si="9"/>
        <v>4.5814288702218664E-4</v>
      </c>
      <c r="E83" s="118">
        <f t="shared" si="10"/>
        <v>3.391998710763972E-4</v>
      </c>
      <c r="F83" s="21" t="s">
        <v>302</v>
      </c>
      <c r="G83" s="100">
        <v>551521094</v>
      </c>
      <c r="H83" s="100">
        <v>1509029</v>
      </c>
      <c r="I83" s="22" t="s">
        <v>88</v>
      </c>
      <c r="J83" s="101">
        <f t="shared" si="12"/>
        <v>2.7361220022529185E-3</v>
      </c>
      <c r="K83" s="100">
        <v>101382</v>
      </c>
      <c r="L83" s="22" t="s">
        <v>95</v>
      </c>
      <c r="M83" s="177"/>
    </row>
    <row r="84" spans="1:13" s="146" customFormat="1" ht="18.75" customHeight="1">
      <c r="A84" s="384"/>
      <c r="B84" s="385"/>
      <c r="C84" s="123">
        <f t="shared" si="11"/>
        <v>512.89707709331537</v>
      </c>
      <c r="D84" s="118">
        <f t="shared" si="9"/>
        <v>8.4710034661098659E-4</v>
      </c>
      <c r="E84" s="118">
        <f t="shared" si="10"/>
        <v>6.2717622929132823E-4</v>
      </c>
      <c r="F84" s="21" t="s">
        <v>303</v>
      </c>
      <c r="G84" s="100">
        <v>700480693</v>
      </c>
      <c r="H84" s="100">
        <v>1381825</v>
      </c>
      <c r="I84" s="22" t="s">
        <v>88</v>
      </c>
      <c r="J84" s="101">
        <f t="shared" si="12"/>
        <v>1.9726810657435209E-3</v>
      </c>
      <c r="K84" s="100">
        <v>260000</v>
      </c>
      <c r="L84" s="22" t="s">
        <v>96</v>
      </c>
      <c r="M84" s="177"/>
    </row>
    <row r="85" spans="1:13" s="146" customFormat="1" ht="18.75" customHeight="1">
      <c r="A85" s="384"/>
      <c r="B85" s="385"/>
      <c r="C85" s="123">
        <f t="shared" si="11"/>
        <v>0</v>
      </c>
      <c r="D85" s="118">
        <f t="shared" si="9"/>
        <v>0</v>
      </c>
      <c r="E85" s="118">
        <f t="shared" si="10"/>
        <v>0</v>
      </c>
      <c r="F85" s="21" t="s">
        <v>304</v>
      </c>
      <c r="G85" s="100">
        <v>28149877</v>
      </c>
      <c r="H85" s="100">
        <v>971000</v>
      </c>
      <c r="I85" s="22" t="s">
        <v>88</v>
      </c>
      <c r="J85" s="101">
        <f t="shared" si="12"/>
        <v>3.449393402322859E-2</v>
      </c>
      <c r="K85" s="100">
        <v>0</v>
      </c>
      <c r="L85" s="22" t="s">
        <v>98</v>
      </c>
      <c r="M85" s="177"/>
    </row>
    <row r="86" spans="1:13" s="146" customFormat="1" ht="18.75" customHeight="1">
      <c r="A86" s="384"/>
      <c r="B86" s="385"/>
      <c r="C86" s="123">
        <f t="shared" si="11"/>
        <v>1771.2732742793926</v>
      </c>
      <c r="D86" s="118">
        <f t="shared" si="9"/>
        <v>2.9254333307730329E-3</v>
      </c>
      <c r="E86" s="118">
        <f t="shared" si="10"/>
        <v>2.165932587299458E-3</v>
      </c>
      <c r="F86" s="21" t="s">
        <v>305</v>
      </c>
      <c r="G86" s="100">
        <v>271056029</v>
      </c>
      <c r="H86" s="100">
        <v>1600381</v>
      </c>
      <c r="I86" s="22" t="s">
        <v>88</v>
      </c>
      <c r="J86" s="101">
        <f t="shared" si="12"/>
        <v>5.9042442475979754E-3</v>
      </c>
      <c r="K86" s="100">
        <v>300000</v>
      </c>
      <c r="L86" s="22" t="s">
        <v>99</v>
      </c>
      <c r="M86" s="177"/>
    </row>
    <row r="87" spans="1:13" s="146" customFormat="1" ht="18.75" customHeight="1">
      <c r="A87" s="384"/>
      <c r="B87" s="385"/>
      <c r="C87" s="123">
        <f t="shared" si="11"/>
        <v>503.4498897353115</v>
      </c>
      <c r="D87" s="118">
        <f t="shared" si="9"/>
        <v>8.3149738055234403E-4</v>
      </c>
      <c r="E87" s="118">
        <f t="shared" si="10"/>
        <v>6.1562410390551023E-4</v>
      </c>
      <c r="F87" s="21" t="s">
        <v>306</v>
      </c>
      <c r="G87" s="100">
        <v>1075540607</v>
      </c>
      <c r="H87" s="100">
        <v>1289240</v>
      </c>
      <c r="I87" s="22" t="s">
        <v>88</v>
      </c>
      <c r="J87" s="101">
        <f t="shared" si="12"/>
        <v>1.1986902136555035E-3</v>
      </c>
      <c r="K87" s="100">
        <v>420000</v>
      </c>
      <c r="L87" s="22" t="s">
        <v>116</v>
      </c>
      <c r="M87" s="177"/>
    </row>
    <row r="88" spans="1:13" s="146" customFormat="1" ht="18.75" customHeight="1">
      <c r="A88" s="384"/>
      <c r="B88" s="385"/>
      <c r="C88" s="123">
        <f t="shared" si="11"/>
        <v>0</v>
      </c>
      <c r="D88" s="118">
        <f t="shared" si="9"/>
        <v>0</v>
      </c>
      <c r="E88" s="118">
        <f t="shared" si="10"/>
        <v>0</v>
      </c>
      <c r="F88" s="21" t="s">
        <v>307</v>
      </c>
      <c r="G88" s="100">
        <v>490727495</v>
      </c>
      <c r="H88" s="100">
        <v>1822688</v>
      </c>
      <c r="I88" s="22" t="s">
        <v>88</v>
      </c>
      <c r="J88" s="101">
        <f t="shared" si="12"/>
        <v>3.7142569319454986E-3</v>
      </c>
      <c r="K88" s="100">
        <v>0</v>
      </c>
      <c r="L88" s="22" t="s">
        <v>98</v>
      </c>
      <c r="M88" s="177"/>
    </row>
    <row r="89" spans="1:13" s="146" customFormat="1" ht="18.75" customHeight="1">
      <c r="A89" s="384"/>
      <c r="B89" s="385"/>
      <c r="C89" s="123">
        <f t="shared" si="11"/>
        <v>160.19417475728153</v>
      </c>
      <c r="D89" s="118">
        <f t="shared" si="9"/>
        <v>2.6457655350854161E-4</v>
      </c>
      <c r="E89" s="118">
        <f t="shared" si="10"/>
        <v>1.9588721200769997E-4</v>
      </c>
      <c r="F89" s="21" t="s">
        <v>308</v>
      </c>
      <c r="G89" s="100">
        <v>206000000</v>
      </c>
      <c r="H89" s="100">
        <v>66000</v>
      </c>
      <c r="I89" s="22" t="s">
        <v>88</v>
      </c>
      <c r="J89" s="101">
        <f t="shared" si="12"/>
        <v>3.2038834951456308E-4</v>
      </c>
      <c r="K89" s="100">
        <v>500000</v>
      </c>
      <c r="L89" s="22" t="s">
        <v>100</v>
      </c>
      <c r="M89" s="177"/>
    </row>
    <row r="90" spans="1:13" s="146" customFormat="1" ht="18.75" customHeight="1">
      <c r="A90" s="384"/>
      <c r="B90" s="385"/>
      <c r="C90" s="123">
        <f t="shared" si="11"/>
        <v>64.810126582278485</v>
      </c>
      <c r="D90" s="118">
        <f t="shared" si="9"/>
        <v>1.0704034618969278E-4</v>
      </c>
      <c r="E90" s="118">
        <f t="shared" si="10"/>
        <v>7.9250540946974052E-5</v>
      </c>
      <c r="F90" s="21" t="s">
        <v>464</v>
      </c>
      <c r="G90" s="100">
        <v>395000000</v>
      </c>
      <c r="H90" s="100">
        <v>80000</v>
      </c>
      <c r="I90" s="22" t="s">
        <v>88</v>
      </c>
      <c r="J90" s="101">
        <f t="shared" si="12"/>
        <v>2.0253164556962027E-4</v>
      </c>
      <c r="K90" s="100">
        <v>320000</v>
      </c>
      <c r="L90" s="22" t="s">
        <v>465</v>
      </c>
      <c r="M90" s="177"/>
    </row>
    <row r="91" spans="1:13" s="146" customFormat="1" ht="18.75" customHeight="1">
      <c r="A91" s="384"/>
      <c r="B91" s="385"/>
      <c r="C91" s="123">
        <f t="shared" si="11"/>
        <v>0</v>
      </c>
      <c r="D91" s="118">
        <f t="shared" si="9"/>
        <v>0</v>
      </c>
      <c r="E91" s="118">
        <f t="shared" si="10"/>
        <v>0</v>
      </c>
      <c r="F91" s="21" t="s">
        <v>466</v>
      </c>
      <c r="G91" s="100">
        <v>122074243</v>
      </c>
      <c r="H91" s="100">
        <v>1479000</v>
      </c>
      <c r="I91" s="22" t="s">
        <v>88</v>
      </c>
      <c r="J91" s="101">
        <f t="shared" si="12"/>
        <v>1.2115577894675128E-2</v>
      </c>
      <c r="K91" s="100">
        <v>0</v>
      </c>
      <c r="L91" s="22" t="s">
        <v>98</v>
      </c>
      <c r="M91" s="177"/>
    </row>
    <row r="92" spans="1:13" s="146" customFormat="1" ht="18.75" customHeight="1">
      <c r="A92" s="384"/>
      <c r="B92" s="385"/>
      <c r="C92" s="123">
        <f t="shared" si="11"/>
        <v>472.20000000000005</v>
      </c>
      <c r="D92" s="118">
        <f t="shared" si="9"/>
        <v>7.7988509105294168E-4</v>
      </c>
      <c r="E92" s="118">
        <f t="shared" si="10"/>
        <v>5.7741139245658807E-4</v>
      </c>
      <c r="F92" s="21" t="s">
        <v>467</v>
      </c>
      <c r="G92" s="100">
        <v>250000000</v>
      </c>
      <c r="H92" s="100">
        <v>787000</v>
      </c>
      <c r="I92" s="22" t="s">
        <v>88</v>
      </c>
      <c r="J92" s="101">
        <f t="shared" si="12"/>
        <v>3.1480000000000002E-3</v>
      </c>
      <c r="K92" s="100">
        <v>150000</v>
      </c>
      <c r="L92" s="22" t="s">
        <v>468</v>
      </c>
      <c r="M92" s="177"/>
    </row>
    <row r="93" spans="1:13" s="146" customFormat="1" ht="18.75" customHeight="1">
      <c r="A93" s="384"/>
      <c r="B93" s="385"/>
      <c r="C93" s="123">
        <f t="shared" si="11"/>
        <v>23.80079163058835</v>
      </c>
      <c r="D93" s="118">
        <f t="shared" si="9"/>
        <v>3.930936583641145E-5</v>
      </c>
      <c r="E93" s="118">
        <f t="shared" si="10"/>
        <v>2.9103871742878281E-5</v>
      </c>
      <c r="F93" s="21" t="s">
        <v>469</v>
      </c>
      <c r="G93" s="100">
        <v>1906620616</v>
      </c>
      <c r="H93" s="100">
        <v>756318</v>
      </c>
      <c r="I93" s="22" t="s">
        <v>88</v>
      </c>
      <c r="J93" s="101">
        <f t="shared" si="12"/>
        <v>3.9667986050980581E-4</v>
      </c>
      <c r="K93" s="100">
        <v>60000</v>
      </c>
      <c r="L93" s="22" t="s">
        <v>470</v>
      </c>
      <c r="M93" s="177"/>
    </row>
    <row r="94" spans="1:13" s="146" customFormat="1" ht="18.75" customHeight="1">
      <c r="A94" s="384"/>
      <c r="B94" s="385"/>
      <c r="C94" s="123">
        <f t="shared" si="11"/>
        <v>0</v>
      </c>
      <c r="D94" s="118">
        <f t="shared" si="9"/>
        <v>0</v>
      </c>
      <c r="E94" s="118">
        <f t="shared" si="10"/>
        <v>0</v>
      </c>
      <c r="F94" s="21" t="s">
        <v>471</v>
      </c>
      <c r="G94" s="100">
        <v>16274241</v>
      </c>
      <c r="H94" s="100">
        <v>181000</v>
      </c>
      <c r="I94" s="22" t="s">
        <v>88</v>
      </c>
      <c r="J94" s="101">
        <f t="shared" si="12"/>
        <v>1.1121870445448117E-2</v>
      </c>
      <c r="K94" s="100">
        <v>0</v>
      </c>
      <c r="L94" s="22" t="s">
        <v>98</v>
      </c>
      <c r="M94" s="177"/>
    </row>
    <row r="95" spans="1:13" s="137" customFormat="1" ht="18.75" customHeight="1" thickBot="1">
      <c r="A95" s="85">
        <v>16</v>
      </c>
      <c r="B95" s="88" t="s">
        <v>0</v>
      </c>
      <c r="C95" s="377" t="s">
        <v>46</v>
      </c>
      <c r="D95" s="377"/>
      <c r="E95" s="377"/>
      <c r="F95" s="377"/>
      <c r="G95" s="377"/>
      <c r="H95" s="377"/>
      <c r="I95" s="377"/>
      <c r="J95" s="377"/>
      <c r="K95" s="377"/>
      <c r="L95" s="378"/>
      <c r="M95" s="64"/>
    </row>
    <row r="96" spans="1:13" ht="18.75" customHeight="1" thickBot="1">
      <c r="A96" s="400" t="s">
        <v>472</v>
      </c>
      <c r="B96" s="401"/>
      <c r="C96" s="119">
        <f>SUM(C77,C74,C65,C60,C56,C52,C50,C48,C40,C35,C30,C26,C8)</f>
        <v>605473.81327994284</v>
      </c>
      <c r="D96" s="129">
        <f>+C96/$C$96</f>
        <v>1</v>
      </c>
      <c r="E96" s="129">
        <f>+C96/$C$99</f>
        <v>0.7403800881447945</v>
      </c>
      <c r="F96" s="72"/>
      <c r="G96" s="72"/>
      <c r="H96" s="73"/>
      <c r="I96" s="73"/>
      <c r="J96" s="73"/>
      <c r="K96" s="73"/>
      <c r="L96" s="73"/>
      <c r="M96" s="74"/>
    </row>
    <row r="97" spans="1:13" ht="18.75" customHeight="1" thickTop="1">
      <c r="A97" s="392" t="s">
        <v>310</v>
      </c>
      <c r="B97" s="393"/>
      <c r="C97" s="83">
        <v>119454</v>
      </c>
      <c r="D97" s="49"/>
      <c r="E97" s="124">
        <f>+C97/$C$99</f>
        <v>0.14606967487189595</v>
      </c>
      <c r="F97" s="10"/>
      <c r="G97" s="10"/>
      <c r="H97" s="79"/>
      <c r="I97" s="79"/>
      <c r="J97" s="79"/>
      <c r="K97" s="79"/>
      <c r="L97" s="79"/>
      <c r="M97" s="62"/>
    </row>
    <row r="98" spans="1:13" ht="18.75" customHeight="1" thickBot="1">
      <c r="A98" s="394" t="s">
        <v>311</v>
      </c>
      <c r="B98" s="395"/>
      <c r="C98" s="84">
        <v>92860</v>
      </c>
      <c r="D98" s="50"/>
      <c r="E98" s="165">
        <f>+C98/$C$99</f>
        <v>0.11355023698330954</v>
      </c>
      <c r="F98" s="11"/>
      <c r="G98" s="11"/>
      <c r="H98" s="173"/>
      <c r="I98" s="173"/>
      <c r="J98" s="173"/>
      <c r="K98" s="173"/>
      <c r="L98" s="173"/>
      <c r="M98" s="63"/>
    </row>
    <row r="99" spans="1:13" ht="18.75" customHeight="1" thickTop="1" thickBot="1">
      <c r="A99" s="396" t="s">
        <v>18</v>
      </c>
      <c r="B99" s="397"/>
      <c r="C99" s="163">
        <f>SUM(C96:C98)</f>
        <v>817787.81327994284</v>
      </c>
      <c r="D99" s="210"/>
      <c r="E99" s="164">
        <f>+C99/$C$99</f>
        <v>1</v>
      </c>
      <c r="F99" s="75"/>
      <c r="G99" s="75"/>
      <c r="H99" s="76"/>
      <c r="I99" s="76"/>
      <c r="J99" s="76"/>
      <c r="K99" s="76"/>
      <c r="L99" s="76"/>
      <c r="M99" s="77"/>
    </row>
    <row r="101" spans="1:13" ht="14.25" thickBot="1">
      <c r="E101" s="373" t="s">
        <v>23</v>
      </c>
      <c r="F101" s="374"/>
      <c r="G101" s="172" t="s">
        <v>309</v>
      </c>
      <c r="H101" s="172" t="s">
        <v>27</v>
      </c>
    </row>
    <row r="102" spans="1:13" ht="14.25" thickTop="1">
      <c r="E102" s="52" t="s">
        <v>310</v>
      </c>
      <c r="F102" s="53"/>
      <c r="G102" s="7">
        <f>C97</f>
        <v>119454</v>
      </c>
      <c r="H102" s="9">
        <f t="shared" ref="H102:H118" si="13">G102/$G$119</f>
        <v>0.14490029842474181</v>
      </c>
    </row>
    <row r="103" spans="1:13">
      <c r="E103" s="54" t="s">
        <v>311</v>
      </c>
      <c r="F103" s="55"/>
      <c r="G103" s="7">
        <f>C98</f>
        <v>92860</v>
      </c>
      <c r="H103" s="9">
        <f t="shared" si="13"/>
        <v>0.11264119838365835</v>
      </c>
    </row>
    <row r="104" spans="1:13">
      <c r="E104" s="5" t="s">
        <v>484</v>
      </c>
      <c r="F104" s="5" t="s">
        <v>4</v>
      </c>
      <c r="G104" s="8">
        <f>C8</f>
        <v>409889.125</v>
      </c>
      <c r="H104" s="9">
        <f t="shared" si="13"/>
        <v>0.4972044178809944</v>
      </c>
    </row>
    <row r="105" spans="1:13">
      <c r="E105" s="16" t="s">
        <v>483</v>
      </c>
      <c r="F105" s="16" t="s">
        <v>5</v>
      </c>
      <c r="G105" s="8">
        <f>C26</f>
        <v>23560</v>
      </c>
      <c r="H105" s="9">
        <f t="shared" si="13"/>
        <v>2.8578792094755449E-2</v>
      </c>
    </row>
    <row r="106" spans="1:13">
      <c r="E106" s="5" t="s">
        <v>482</v>
      </c>
      <c r="F106" s="16" t="s">
        <v>6</v>
      </c>
      <c r="G106" s="8">
        <f>C30</f>
        <v>28740.606199999998</v>
      </c>
      <c r="H106" s="9">
        <f t="shared" si="13"/>
        <v>3.4862980019823402E-2</v>
      </c>
    </row>
    <row r="107" spans="1:13">
      <c r="E107" s="16" t="s">
        <v>481</v>
      </c>
      <c r="F107" s="16" t="s">
        <v>7</v>
      </c>
      <c r="G107" s="8">
        <f>C35</f>
        <v>52303.16666476438</v>
      </c>
      <c r="H107" s="9">
        <f t="shared" si="13"/>
        <v>6.3444878013991721E-2</v>
      </c>
    </row>
    <row r="108" spans="1:13">
      <c r="E108" s="5" t="s">
        <v>480</v>
      </c>
      <c r="F108" s="154" t="s">
        <v>8</v>
      </c>
      <c r="G108" s="8">
        <f>C40</f>
        <v>5213.3099999999995</v>
      </c>
      <c r="H108" s="9">
        <f t="shared" si="13"/>
        <v>6.3238583453102508E-3</v>
      </c>
    </row>
    <row r="109" spans="1:13">
      <c r="E109" s="5" t="s">
        <v>133</v>
      </c>
      <c r="F109" s="16" t="s">
        <v>9</v>
      </c>
      <c r="G109" s="8">
        <f>C48</f>
        <v>650</v>
      </c>
      <c r="H109" s="9">
        <f t="shared" si="13"/>
        <v>7.8846412825089309E-4</v>
      </c>
    </row>
    <row r="110" spans="1:13">
      <c r="E110" s="16" t="s">
        <v>134</v>
      </c>
      <c r="F110" s="16" t="s">
        <v>10</v>
      </c>
      <c r="G110" s="8">
        <f>C50</f>
        <v>2267.9999999999995</v>
      </c>
      <c r="H110" s="9">
        <f t="shared" si="13"/>
        <v>2.7511332967277312E-3</v>
      </c>
    </row>
    <row r="111" spans="1:13">
      <c r="E111" s="5" t="s">
        <v>135</v>
      </c>
      <c r="F111" s="16" t="s">
        <v>11</v>
      </c>
      <c r="G111" s="8">
        <f>C52</f>
        <v>1607.875</v>
      </c>
      <c r="H111" s="9">
        <f t="shared" si="13"/>
        <v>1.950387323402161E-3</v>
      </c>
    </row>
    <row r="112" spans="1:13">
      <c r="E112" s="16" t="s">
        <v>136</v>
      </c>
      <c r="F112" s="16" t="s">
        <v>12</v>
      </c>
      <c r="G112" s="8">
        <f>C56</f>
        <v>341.25</v>
      </c>
      <c r="H112" s="9">
        <f t="shared" si="13"/>
        <v>4.1394366733171886E-4</v>
      </c>
    </row>
    <row r="113" spans="5:9">
      <c r="E113" s="5" t="s">
        <v>137</v>
      </c>
      <c r="F113" s="16" t="s">
        <v>13</v>
      </c>
      <c r="G113" s="28"/>
      <c r="H113" s="9">
        <f t="shared" si="13"/>
        <v>0</v>
      </c>
    </row>
    <row r="114" spans="5:9">
      <c r="E114" s="5" t="s">
        <v>138</v>
      </c>
      <c r="F114" s="12" t="s">
        <v>14</v>
      </c>
      <c r="G114" s="8">
        <f>C60</f>
        <v>2396.2124999999996</v>
      </c>
      <c r="H114" s="9">
        <f t="shared" si="13"/>
        <v>2.9066578460252199E-3</v>
      </c>
    </row>
    <row r="115" spans="5:9">
      <c r="E115" s="16" t="s">
        <v>139</v>
      </c>
      <c r="F115" s="16" t="s">
        <v>15</v>
      </c>
      <c r="G115" s="8">
        <f>C65</f>
        <v>7417.3237956412777</v>
      </c>
      <c r="H115" s="9">
        <f t="shared" si="13"/>
        <v>8.9973749853613921E-3</v>
      </c>
    </row>
    <row r="116" spans="5:9">
      <c r="E116" s="5" t="s">
        <v>140</v>
      </c>
      <c r="F116" s="19" t="s">
        <v>2</v>
      </c>
      <c r="G116" s="8">
        <f>C74</f>
        <v>66027.712499999994</v>
      </c>
      <c r="H116" s="9">
        <f t="shared" si="13"/>
        <v>8.009305042571245E-2</v>
      </c>
    </row>
    <row r="117" spans="5:9">
      <c r="E117" s="16" t="s">
        <v>141</v>
      </c>
      <c r="F117" s="16" t="s">
        <v>479</v>
      </c>
      <c r="G117" s="28">
        <v>0</v>
      </c>
      <c r="H117" s="9">
        <f t="shared" si="13"/>
        <v>0</v>
      </c>
    </row>
    <row r="118" spans="5:9" ht="14.25" thickBot="1">
      <c r="E118" s="5" t="s">
        <v>142</v>
      </c>
      <c r="F118" s="80" t="s">
        <v>1</v>
      </c>
      <c r="G118" s="6">
        <v>11658.954449755514</v>
      </c>
      <c r="H118" s="81">
        <f t="shared" si="13"/>
        <v>1.414256516391285E-2</v>
      </c>
    </row>
    <row r="119" spans="5:9" ht="14.25" thickTop="1">
      <c r="E119" s="375" t="s">
        <v>18</v>
      </c>
      <c r="F119" s="376"/>
      <c r="G119" s="7">
        <f>SUM(G102:G118)</f>
        <v>824387.53611016134</v>
      </c>
      <c r="H119" s="9">
        <f>G119/G119</f>
        <v>1</v>
      </c>
      <c r="I119" s="51"/>
    </row>
  </sheetData>
  <mergeCells count="33">
    <mergeCell ref="A98:B98"/>
    <mergeCell ref="A99:B99"/>
    <mergeCell ref="A61:B64"/>
    <mergeCell ref="A66:B73"/>
    <mergeCell ref="A75:B75"/>
    <mergeCell ref="A78:B94"/>
    <mergeCell ref="A96:B96"/>
    <mergeCell ref="E101:F101"/>
    <mergeCell ref="E119:F119"/>
    <mergeCell ref="C95:L95"/>
    <mergeCell ref="C59:M59"/>
    <mergeCell ref="C76:M76"/>
    <mergeCell ref="M61:M63"/>
    <mergeCell ref="A49:B49"/>
    <mergeCell ref="A51:B51"/>
    <mergeCell ref="A53:B55"/>
    <mergeCell ref="A57:B58"/>
    <mergeCell ref="A97:B97"/>
    <mergeCell ref="M41:M46"/>
    <mergeCell ref="M6:M7"/>
    <mergeCell ref="A6:B7"/>
    <mergeCell ref="C6:C7"/>
    <mergeCell ref="D6:E6"/>
    <mergeCell ref="F6:F7"/>
    <mergeCell ref="J6:L6"/>
    <mergeCell ref="G6:I6"/>
    <mergeCell ref="M9:M21"/>
    <mergeCell ref="M22:M24"/>
    <mergeCell ref="A9:B25"/>
    <mergeCell ref="A27:B29"/>
    <mergeCell ref="A31:B34"/>
    <mergeCell ref="A36:B39"/>
    <mergeCell ref="A41:B47"/>
  </mergeCells>
  <phoneticPr fontId="3"/>
  <pageMargins left="0.70866141732283472" right="0.70866141732283472" top="0.74803149606299213" bottom="0.74803149606299213" header="0.31496062992125984" footer="0.31496062992125984"/>
  <pageSetup paperSize="8" scale="55" fitToHeight="2" orientation="landscape" r:id="rId1"/>
  <rowBreaks count="1" manualBreakCount="1">
    <brk id="5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9"/>
  <sheetViews>
    <sheetView view="pageBreakPreview" zoomScale="80" zoomScaleNormal="85" zoomScaleSheetLayoutView="80" workbookViewId="0">
      <pane ySplit="7" topLeftCell="A8" activePane="bottomLeft" state="frozen"/>
      <selection pane="bottomLeft"/>
    </sheetView>
  </sheetViews>
  <sheetFormatPr defaultRowHeight="13.5"/>
  <cols>
    <col min="1" max="1" width="3.5" style="130" bestFit="1" customWidth="1"/>
    <col min="2" max="2" width="29.875" style="130" customWidth="1"/>
    <col min="3" max="3" width="10.875" style="3" customWidth="1"/>
    <col min="4" max="4" width="7.875" style="4" bestFit="1" customWidth="1"/>
    <col min="5" max="5" width="9.875" style="4" bestFit="1" customWidth="1"/>
    <col min="6" max="6" width="24.75" style="1" customWidth="1"/>
    <col min="7" max="7" width="13.125" style="1" customWidth="1"/>
    <col min="8" max="8" width="13.125" style="130" customWidth="1"/>
    <col min="9" max="9" width="40" style="130" customWidth="1"/>
    <col min="10" max="11" width="13.125" style="130" customWidth="1"/>
    <col min="12" max="12" width="40" style="130" customWidth="1"/>
    <col min="13" max="13" width="65.75" style="1" customWidth="1"/>
    <col min="14" max="16384" width="9" style="130"/>
  </cols>
  <sheetData>
    <row r="2" spans="1:13">
      <c r="B2" s="130" t="s">
        <v>705</v>
      </c>
    </row>
    <row r="3" spans="1:13">
      <c r="B3" s="130" t="s">
        <v>704</v>
      </c>
    </row>
    <row r="5" spans="1:13" ht="14.25" thickBot="1">
      <c r="D5" s="261">
        <f>5/42</f>
        <v>0.11904761904761904</v>
      </c>
    </row>
    <row r="6" spans="1:13" ht="14.25" thickBot="1">
      <c r="A6" s="412" t="s">
        <v>48</v>
      </c>
      <c r="B6" s="412"/>
      <c r="C6" s="413" t="s">
        <v>49</v>
      </c>
      <c r="D6" s="415" t="s">
        <v>121</v>
      </c>
      <c r="E6" s="415"/>
      <c r="F6" s="416" t="s">
        <v>16</v>
      </c>
      <c r="G6" s="417" t="s">
        <v>50</v>
      </c>
      <c r="H6" s="418"/>
      <c r="I6" s="419"/>
      <c r="J6" s="412" t="s">
        <v>51</v>
      </c>
      <c r="K6" s="412"/>
      <c r="L6" s="412"/>
      <c r="M6" s="410" t="s">
        <v>43</v>
      </c>
    </row>
    <row r="7" spans="1:13" s="2" customFormat="1" ht="14.25" thickBot="1">
      <c r="A7" s="412"/>
      <c r="B7" s="412"/>
      <c r="C7" s="414"/>
      <c r="D7" s="90" t="s">
        <v>52</v>
      </c>
      <c r="E7" s="90" t="s">
        <v>53</v>
      </c>
      <c r="F7" s="416"/>
      <c r="G7" s="91" t="s">
        <v>54</v>
      </c>
      <c r="H7" s="92" t="s">
        <v>55</v>
      </c>
      <c r="I7" s="92" t="s">
        <v>56</v>
      </c>
      <c r="J7" s="92" t="s">
        <v>57</v>
      </c>
      <c r="K7" s="92" t="s">
        <v>55</v>
      </c>
      <c r="L7" s="169" t="s">
        <v>56</v>
      </c>
      <c r="M7" s="411"/>
    </row>
    <row r="8" spans="1:13" ht="18.75" customHeight="1">
      <c r="A8" s="260">
        <v>1</v>
      </c>
      <c r="B8" s="259" t="s">
        <v>4</v>
      </c>
      <c r="C8" s="258">
        <f>SUM(C9:C26)</f>
        <v>1448646.5</v>
      </c>
      <c r="D8" s="257">
        <f t="shared" ref="D8:D39" si="0">+C8/$C$86</f>
        <v>0.88814077783646572</v>
      </c>
      <c r="E8" s="257">
        <f t="shared" ref="E8:E39" si="1">+C8/$C$89</f>
        <v>0.67032827804331463</v>
      </c>
      <c r="F8" s="256"/>
      <c r="G8" s="256"/>
      <c r="H8" s="255"/>
      <c r="I8" s="255"/>
      <c r="J8" s="255"/>
      <c r="K8" s="255"/>
      <c r="L8" s="255"/>
      <c r="M8" s="254"/>
    </row>
    <row r="9" spans="1:13" s="146" customFormat="1" ht="18.75" customHeight="1">
      <c r="A9" s="386" t="s">
        <v>703</v>
      </c>
      <c r="B9" s="387"/>
      <c r="C9" s="125">
        <f t="shared" ref="C9:C26" si="2">+G9*J9</f>
        <v>601.5</v>
      </c>
      <c r="D9" s="124">
        <f t="shared" si="0"/>
        <v>3.6876952235665095E-4</v>
      </c>
      <c r="E9" s="124">
        <f t="shared" si="1"/>
        <v>2.7833046864300832E-4</v>
      </c>
      <c r="F9" s="147" t="s">
        <v>702</v>
      </c>
      <c r="G9" s="253">
        <v>150</v>
      </c>
      <c r="H9" s="22" t="s">
        <v>253</v>
      </c>
      <c r="I9" s="32" t="s">
        <v>689</v>
      </c>
      <c r="J9" s="252">
        <v>4.01</v>
      </c>
      <c r="K9" s="30" t="s">
        <v>207</v>
      </c>
      <c r="L9" s="147" t="s">
        <v>701</v>
      </c>
      <c r="M9" s="82"/>
    </row>
    <row r="10" spans="1:13" s="146" customFormat="1" ht="18.75" customHeight="1">
      <c r="A10" s="388"/>
      <c r="B10" s="389"/>
      <c r="C10" s="125">
        <f t="shared" si="2"/>
        <v>540</v>
      </c>
      <c r="D10" s="124">
        <f t="shared" si="0"/>
        <v>3.3106490785135746E-4</v>
      </c>
      <c r="E10" s="124">
        <f t="shared" si="1"/>
        <v>2.4987273992888525E-4</v>
      </c>
      <c r="F10" s="147" t="s">
        <v>66</v>
      </c>
      <c r="G10" s="253">
        <v>100</v>
      </c>
      <c r="H10" s="22" t="s">
        <v>253</v>
      </c>
      <c r="I10" s="32" t="s">
        <v>689</v>
      </c>
      <c r="J10" s="252">
        <v>5.4</v>
      </c>
      <c r="K10" s="30" t="s">
        <v>207</v>
      </c>
      <c r="L10" s="147" t="s">
        <v>673</v>
      </c>
      <c r="M10" s="82"/>
    </row>
    <row r="11" spans="1:13" s="146" customFormat="1" ht="18.75" customHeight="1">
      <c r="A11" s="388"/>
      <c r="B11" s="389"/>
      <c r="C11" s="125">
        <f t="shared" si="2"/>
        <v>22980</v>
      </c>
      <c r="D11" s="124">
        <f t="shared" si="0"/>
        <v>1.4088651078563323E-2</v>
      </c>
      <c r="E11" s="124">
        <f t="shared" si="1"/>
        <v>1.0633473265862562E-2</v>
      </c>
      <c r="F11" s="147" t="s">
        <v>700</v>
      </c>
      <c r="G11" s="253">
        <v>6000</v>
      </c>
      <c r="H11" s="22" t="s">
        <v>253</v>
      </c>
      <c r="I11" s="32" t="s">
        <v>689</v>
      </c>
      <c r="J11" s="252">
        <v>3.83</v>
      </c>
      <c r="K11" s="30" t="s">
        <v>207</v>
      </c>
      <c r="L11" s="147" t="s">
        <v>699</v>
      </c>
      <c r="M11" s="82" t="s">
        <v>698</v>
      </c>
    </row>
    <row r="12" spans="1:13" s="146" customFormat="1" ht="18.75" customHeight="1">
      <c r="A12" s="388"/>
      <c r="B12" s="389"/>
      <c r="C12" s="125">
        <f t="shared" si="2"/>
        <v>14280</v>
      </c>
      <c r="D12" s="124">
        <f t="shared" si="0"/>
        <v>8.7548275631803424E-3</v>
      </c>
      <c r="E12" s="124">
        <f t="shared" si="1"/>
        <v>6.607745789230522E-3</v>
      </c>
      <c r="F12" s="147" t="s">
        <v>697</v>
      </c>
      <c r="G12" s="253">
        <v>2000</v>
      </c>
      <c r="H12" s="22" t="s">
        <v>253</v>
      </c>
      <c r="I12" s="32" t="s">
        <v>689</v>
      </c>
      <c r="J12" s="252">
        <v>7.14</v>
      </c>
      <c r="K12" s="30" t="s">
        <v>207</v>
      </c>
      <c r="L12" s="147" t="s">
        <v>696</v>
      </c>
      <c r="M12" s="82"/>
    </row>
    <row r="13" spans="1:13" s="146" customFormat="1" ht="29.25" customHeight="1">
      <c r="A13" s="388"/>
      <c r="B13" s="389"/>
      <c r="C13" s="125">
        <f t="shared" si="2"/>
        <v>9780</v>
      </c>
      <c r="D13" s="124">
        <f t="shared" si="0"/>
        <v>5.9959533310856962E-3</v>
      </c>
      <c r="E13" s="124">
        <f t="shared" si="1"/>
        <v>4.525472956489811E-3</v>
      </c>
      <c r="F13" s="179" t="s">
        <v>695</v>
      </c>
      <c r="G13" s="253">
        <v>3000</v>
      </c>
      <c r="H13" s="22" t="s">
        <v>253</v>
      </c>
      <c r="I13" s="32" t="s">
        <v>689</v>
      </c>
      <c r="J13" s="252">
        <v>3.26</v>
      </c>
      <c r="K13" s="30" t="s">
        <v>207</v>
      </c>
      <c r="L13" s="147" t="s">
        <v>694</v>
      </c>
      <c r="M13" s="82" t="s">
        <v>693</v>
      </c>
    </row>
    <row r="14" spans="1:13" s="146" customFormat="1" ht="18.75" customHeight="1">
      <c r="A14" s="388"/>
      <c r="B14" s="389"/>
      <c r="C14" s="125">
        <f t="shared" si="2"/>
        <v>79500</v>
      </c>
      <c r="D14" s="124">
        <f t="shared" si="0"/>
        <v>4.8740111433672073E-2</v>
      </c>
      <c r="E14" s="124">
        <f t="shared" si="1"/>
        <v>3.6786820045085884E-2</v>
      </c>
      <c r="F14" s="147" t="s">
        <v>692</v>
      </c>
      <c r="G14" s="253">
        <v>30000</v>
      </c>
      <c r="H14" s="22" t="s">
        <v>253</v>
      </c>
      <c r="I14" s="32" t="s">
        <v>689</v>
      </c>
      <c r="J14" s="252">
        <v>2.65</v>
      </c>
      <c r="K14" s="30" t="s">
        <v>207</v>
      </c>
      <c r="L14" s="147" t="s">
        <v>670</v>
      </c>
      <c r="M14" s="82"/>
    </row>
    <row r="15" spans="1:13" s="146" customFormat="1" ht="18.75" customHeight="1">
      <c r="A15" s="388"/>
      <c r="B15" s="389"/>
      <c r="C15" s="125">
        <f t="shared" si="2"/>
        <v>5300</v>
      </c>
      <c r="D15" s="124">
        <f t="shared" si="0"/>
        <v>3.2493407622448049E-3</v>
      </c>
      <c r="E15" s="124">
        <f t="shared" si="1"/>
        <v>2.4524546696723924E-3</v>
      </c>
      <c r="F15" s="147" t="s">
        <v>691</v>
      </c>
      <c r="G15" s="253">
        <v>2000</v>
      </c>
      <c r="H15" s="22" t="s">
        <v>253</v>
      </c>
      <c r="I15" s="32" t="s">
        <v>689</v>
      </c>
      <c r="J15" s="252">
        <v>2.65</v>
      </c>
      <c r="K15" s="30" t="s">
        <v>207</v>
      </c>
      <c r="L15" s="147" t="s">
        <v>670</v>
      </c>
      <c r="M15" s="82"/>
    </row>
    <row r="16" spans="1:13" s="146" customFormat="1" ht="18.75" customHeight="1">
      <c r="A16" s="388"/>
      <c r="B16" s="389"/>
      <c r="C16" s="125">
        <f t="shared" si="2"/>
        <v>2190</v>
      </c>
      <c r="D16" s="124">
        <f t="shared" si="0"/>
        <v>1.3426521262860608E-3</v>
      </c>
      <c r="E16" s="124">
        <f t="shared" si="1"/>
        <v>1.0133727786004792E-3</v>
      </c>
      <c r="F16" s="147" t="s">
        <v>690</v>
      </c>
      <c r="G16" s="253">
        <v>3000</v>
      </c>
      <c r="H16" s="22" t="s">
        <v>253</v>
      </c>
      <c r="I16" s="32" t="s">
        <v>689</v>
      </c>
      <c r="J16" s="252">
        <v>0.73</v>
      </c>
      <c r="K16" s="30" t="s">
        <v>207</v>
      </c>
      <c r="L16" s="147" t="s">
        <v>688</v>
      </c>
      <c r="M16" s="82"/>
    </row>
    <row r="17" spans="1:13" s="146" customFormat="1" ht="18.75" customHeight="1">
      <c r="A17" s="388"/>
      <c r="B17" s="389"/>
      <c r="C17" s="125">
        <f t="shared" si="2"/>
        <v>24500</v>
      </c>
      <c r="D17" s="124">
        <f t="shared" si="0"/>
        <v>1.5020537485848626E-2</v>
      </c>
      <c r="E17" s="124">
        <f t="shared" si="1"/>
        <v>1.1336818756032757E-2</v>
      </c>
      <c r="F17" s="147" t="s">
        <v>687</v>
      </c>
      <c r="G17" s="253">
        <v>5000</v>
      </c>
      <c r="H17" s="22" t="s">
        <v>253</v>
      </c>
      <c r="I17" s="32" t="s">
        <v>676</v>
      </c>
      <c r="J17" s="252">
        <v>4.9000000000000004</v>
      </c>
      <c r="K17" s="30" t="s">
        <v>207</v>
      </c>
      <c r="L17" s="147" t="s">
        <v>680</v>
      </c>
      <c r="M17" s="82"/>
    </row>
    <row r="18" spans="1:13" s="146" customFormat="1" ht="45" customHeight="1">
      <c r="A18" s="388"/>
      <c r="B18" s="389"/>
      <c r="C18" s="125">
        <f t="shared" si="2"/>
        <v>39300</v>
      </c>
      <c r="D18" s="124">
        <f t="shared" si="0"/>
        <v>2.409416829362657E-2</v>
      </c>
      <c r="E18" s="124">
        <f t="shared" si="1"/>
        <v>1.8185182739268873E-2</v>
      </c>
      <c r="F18" s="147" t="s">
        <v>686</v>
      </c>
      <c r="G18" s="253">
        <v>10000</v>
      </c>
      <c r="H18" s="22" t="s">
        <v>253</v>
      </c>
      <c r="I18" s="32" t="s">
        <v>676</v>
      </c>
      <c r="J18" s="252">
        <v>3.93</v>
      </c>
      <c r="K18" s="30" t="s">
        <v>207</v>
      </c>
      <c r="L18" s="147" t="s">
        <v>685</v>
      </c>
      <c r="M18" s="82" t="s">
        <v>684</v>
      </c>
    </row>
    <row r="19" spans="1:13" s="146" customFormat="1" ht="18.75" customHeight="1">
      <c r="A19" s="388"/>
      <c r="B19" s="389"/>
      <c r="C19" s="125">
        <f t="shared" si="2"/>
        <v>266000</v>
      </c>
      <c r="D19" s="124">
        <f t="shared" si="0"/>
        <v>0.16308012127492794</v>
      </c>
      <c r="E19" s="124">
        <f t="shared" si="1"/>
        <v>0.12308546077978423</v>
      </c>
      <c r="F19" s="147" t="s">
        <v>683</v>
      </c>
      <c r="G19" s="253">
        <v>20000</v>
      </c>
      <c r="H19" s="22" t="s">
        <v>253</v>
      </c>
      <c r="I19" s="32" t="s">
        <v>676</v>
      </c>
      <c r="J19" s="252">
        <v>13.3</v>
      </c>
      <c r="K19" s="30" t="s">
        <v>207</v>
      </c>
      <c r="L19" s="147" t="s">
        <v>678</v>
      </c>
      <c r="M19" s="82"/>
    </row>
    <row r="20" spans="1:13" s="146" customFormat="1" ht="18.75" customHeight="1">
      <c r="A20" s="388"/>
      <c r="B20" s="389"/>
      <c r="C20" s="125">
        <f t="shared" si="2"/>
        <v>291360</v>
      </c>
      <c r="D20" s="124">
        <f t="shared" si="0"/>
        <v>0.17862791028068797</v>
      </c>
      <c r="E20" s="124">
        <f t="shared" si="1"/>
        <v>0.13482022501051855</v>
      </c>
      <c r="F20" s="147" t="s">
        <v>682</v>
      </c>
      <c r="G20" s="253">
        <v>24000</v>
      </c>
      <c r="H20" s="22" t="s">
        <v>253</v>
      </c>
      <c r="I20" s="32" t="s">
        <v>676</v>
      </c>
      <c r="J20" s="252">
        <v>12.14</v>
      </c>
      <c r="K20" s="30" t="s">
        <v>207</v>
      </c>
      <c r="L20" s="147" t="s">
        <v>675</v>
      </c>
      <c r="M20" s="82"/>
    </row>
    <row r="21" spans="1:13" s="146" customFormat="1" ht="18.75" customHeight="1">
      <c r="A21" s="388"/>
      <c r="B21" s="389"/>
      <c r="C21" s="125">
        <f t="shared" si="2"/>
        <v>98000</v>
      </c>
      <c r="D21" s="124">
        <f t="shared" si="0"/>
        <v>6.0082149943394503E-2</v>
      </c>
      <c r="E21" s="124">
        <f t="shared" si="1"/>
        <v>4.534727502413103E-2</v>
      </c>
      <c r="F21" s="147" t="s">
        <v>681</v>
      </c>
      <c r="G21" s="253">
        <v>20000</v>
      </c>
      <c r="H21" s="22" t="s">
        <v>253</v>
      </c>
      <c r="I21" s="32" t="s">
        <v>676</v>
      </c>
      <c r="J21" s="252">
        <v>4.9000000000000004</v>
      </c>
      <c r="K21" s="30" t="s">
        <v>207</v>
      </c>
      <c r="L21" s="147" t="s">
        <v>680</v>
      </c>
      <c r="M21" s="82"/>
    </row>
    <row r="22" spans="1:13" s="146" customFormat="1" ht="18.75" customHeight="1">
      <c r="A22" s="388"/>
      <c r="B22" s="389"/>
      <c r="C22" s="125">
        <f t="shared" si="2"/>
        <v>399000</v>
      </c>
      <c r="D22" s="124">
        <f t="shared" si="0"/>
        <v>0.2446201819123919</v>
      </c>
      <c r="E22" s="124">
        <f t="shared" si="1"/>
        <v>0.18462819116967633</v>
      </c>
      <c r="F22" s="147" t="s">
        <v>679</v>
      </c>
      <c r="G22" s="253">
        <v>30000</v>
      </c>
      <c r="H22" s="22" t="s">
        <v>253</v>
      </c>
      <c r="I22" s="32" t="s">
        <v>676</v>
      </c>
      <c r="J22" s="252">
        <v>13.3</v>
      </c>
      <c r="K22" s="30" t="s">
        <v>207</v>
      </c>
      <c r="L22" s="147" t="s">
        <v>678</v>
      </c>
      <c r="M22" s="82"/>
    </row>
    <row r="23" spans="1:13" s="146" customFormat="1" ht="18.75" customHeight="1">
      <c r="A23" s="388"/>
      <c r="B23" s="389"/>
      <c r="C23" s="125">
        <f t="shared" si="2"/>
        <v>182100</v>
      </c>
      <c r="D23" s="124">
        <f t="shared" si="0"/>
        <v>0.11164244392542999</v>
      </c>
      <c r="E23" s="124">
        <f t="shared" si="1"/>
        <v>8.4262640631574084E-2</v>
      </c>
      <c r="F23" s="147" t="s">
        <v>677</v>
      </c>
      <c r="G23" s="253">
        <v>15000</v>
      </c>
      <c r="H23" s="22" t="s">
        <v>253</v>
      </c>
      <c r="I23" s="32" t="s">
        <v>676</v>
      </c>
      <c r="J23" s="252">
        <v>12.14</v>
      </c>
      <c r="K23" s="30" t="s">
        <v>207</v>
      </c>
      <c r="L23" s="147" t="s">
        <v>675</v>
      </c>
      <c r="M23" s="82"/>
    </row>
    <row r="24" spans="1:13" s="146" customFormat="1" ht="18.75" customHeight="1">
      <c r="A24" s="388"/>
      <c r="B24" s="389"/>
      <c r="C24" s="125">
        <f t="shared" si="2"/>
        <v>1545</v>
      </c>
      <c r="D24" s="124">
        <f t="shared" si="0"/>
        <v>9.4721348635249498E-4</v>
      </c>
      <c r="E24" s="124">
        <f t="shared" si="1"/>
        <v>7.1491367257431066E-4</v>
      </c>
      <c r="F24" s="136" t="s">
        <v>62</v>
      </c>
      <c r="G24" s="98">
        <v>100</v>
      </c>
      <c r="H24" s="111" t="s">
        <v>64</v>
      </c>
      <c r="I24" s="31" t="s">
        <v>67</v>
      </c>
      <c r="J24" s="31">
        <v>15.45</v>
      </c>
      <c r="K24" s="157" t="s">
        <v>59</v>
      </c>
      <c r="L24" s="30" t="s">
        <v>74</v>
      </c>
      <c r="M24" s="170"/>
    </row>
    <row r="25" spans="1:13" s="146" customFormat="1" ht="18.75" customHeight="1">
      <c r="A25" s="388"/>
      <c r="B25" s="389"/>
      <c r="C25" s="125">
        <f t="shared" si="2"/>
        <v>540</v>
      </c>
      <c r="D25" s="124">
        <f t="shared" si="0"/>
        <v>3.3106490785135746E-4</v>
      </c>
      <c r="E25" s="124">
        <f t="shared" si="1"/>
        <v>2.4987273992888525E-4</v>
      </c>
      <c r="F25" s="147" t="s">
        <v>674</v>
      </c>
      <c r="G25" s="132">
        <v>100</v>
      </c>
      <c r="H25" s="22" t="s">
        <v>253</v>
      </c>
      <c r="I25" s="136" t="s">
        <v>214</v>
      </c>
      <c r="J25" s="252">
        <v>5.4</v>
      </c>
      <c r="K25" s="30" t="s">
        <v>207</v>
      </c>
      <c r="L25" s="147" t="s">
        <v>673</v>
      </c>
      <c r="M25" s="177"/>
    </row>
    <row r="26" spans="1:13" ht="18.75" customHeight="1">
      <c r="A26" s="390"/>
      <c r="B26" s="391"/>
      <c r="C26" s="125">
        <f t="shared" si="2"/>
        <v>11130</v>
      </c>
      <c r="D26" s="124">
        <f t="shared" si="0"/>
        <v>6.8236156007140903E-3</v>
      </c>
      <c r="E26" s="124">
        <f t="shared" si="1"/>
        <v>5.1501548063120246E-3</v>
      </c>
      <c r="F26" s="147" t="s">
        <v>672</v>
      </c>
      <c r="G26" s="132">
        <v>4200</v>
      </c>
      <c r="H26" s="22" t="s">
        <v>253</v>
      </c>
      <c r="I26" s="136" t="s">
        <v>671</v>
      </c>
      <c r="J26" s="252">
        <v>2.65</v>
      </c>
      <c r="K26" s="30" t="s">
        <v>207</v>
      </c>
      <c r="L26" s="147" t="s">
        <v>670</v>
      </c>
      <c r="M26" s="177"/>
    </row>
    <row r="27" spans="1:13" s="146" customFormat="1" ht="18.75" customHeight="1">
      <c r="A27" s="60">
        <v>2</v>
      </c>
      <c r="B27" s="69" t="s">
        <v>5</v>
      </c>
      <c r="C27" s="93">
        <f>SUM(C28:C29)</f>
        <v>22570</v>
      </c>
      <c r="D27" s="42">
        <f t="shared" si="0"/>
        <v>1.3837286981861367E-2</v>
      </c>
      <c r="E27" s="42">
        <f t="shared" si="1"/>
        <v>1.0443755074435075E-2</v>
      </c>
      <c r="F27" s="94"/>
      <c r="G27" s="95"/>
      <c r="H27" s="95"/>
      <c r="I27" s="95"/>
      <c r="J27" s="95"/>
      <c r="K27" s="95"/>
      <c r="L27" s="95"/>
      <c r="M27" s="175"/>
    </row>
    <row r="28" spans="1:13" s="146" customFormat="1" ht="18.75" customHeight="1">
      <c r="A28" s="386" t="s">
        <v>104</v>
      </c>
      <c r="B28" s="387"/>
      <c r="C28" s="123">
        <f>+G28*J28</f>
        <v>19100</v>
      </c>
      <c r="D28" s="118">
        <f t="shared" si="0"/>
        <v>1.1709888407335051E-2</v>
      </c>
      <c r="E28" s="118">
        <f t="shared" si="1"/>
        <v>8.8380913567439046E-3</v>
      </c>
      <c r="F28" s="134" t="s">
        <v>669</v>
      </c>
      <c r="G28" s="22">
        <v>5000</v>
      </c>
      <c r="H28" s="139" t="s">
        <v>156</v>
      </c>
      <c r="I28" s="22" t="s">
        <v>211</v>
      </c>
      <c r="J28" s="134">
        <v>3.82</v>
      </c>
      <c r="K28" s="135" t="s">
        <v>668</v>
      </c>
      <c r="L28" s="138" t="s">
        <v>667</v>
      </c>
      <c r="M28" s="177"/>
    </row>
    <row r="29" spans="1:13" s="146" customFormat="1" ht="18.75" customHeight="1">
      <c r="A29" s="388"/>
      <c r="B29" s="389"/>
      <c r="C29" s="123">
        <f>+G29*J29</f>
        <v>3470</v>
      </c>
      <c r="D29" s="118">
        <f t="shared" si="0"/>
        <v>2.1273985745263154E-3</v>
      </c>
      <c r="E29" s="118">
        <f t="shared" si="1"/>
        <v>1.6056637176911702E-3</v>
      </c>
      <c r="F29" s="134" t="s">
        <v>666</v>
      </c>
      <c r="G29" s="22">
        <v>1000</v>
      </c>
      <c r="H29" s="139" t="s">
        <v>156</v>
      </c>
      <c r="I29" s="22" t="s">
        <v>211</v>
      </c>
      <c r="J29" s="134">
        <v>3.47</v>
      </c>
      <c r="K29" s="135" t="s">
        <v>203</v>
      </c>
      <c r="L29" s="138" t="s">
        <v>665</v>
      </c>
      <c r="M29" s="177"/>
    </row>
    <row r="30" spans="1:13" s="137" customFormat="1" ht="18.75" customHeight="1">
      <c r="A30" s="85">
        <v>3</v>
      </c>
      <c r="B30" s="70" t="s">
        <v>6</v>
      </c>
      <c r="C30" s="66">
        <f>SUM(C31:C38)</f>
        <v>36992.5</v>
      </c>
      <c r="D30" s="43">
        <f t="shared" si="0"/>
        <v>2.2679478895724706E-2</v>
      </c>
      <c r="E30" s="43">
        <f t="shared" si="1"/>
        <v>1.7117439503369053E-2</v>
      </c>
      <c r="F30" s="25"/>
      <c r="G30" s="25"/>
      <c r="H30" s="44"/>
      <c r="I30" s="44"/>
      <c r="J30" s="25"/>
      <c r="K30" s="44"/>
      <c r="L30" s="44"/>
      <c r="M30" s="57"/>
    </row>
    <row r="31" spans="1:13" s="137" customFormat="1" ht="18.75" customHeight="1">
      <c r="A31" s="429" t="s">
        <v>104</v>
      </c>
      <c r="B31" s="430"/>
      <c r="C31" s="117">
        <f t="shared" ref="C31:C38" si="3">+G31*J31</f>
        <v>8850</v>
      </c>
      <c r="D31" s="116">
        <f t="shared" si="0"/>
        <v>5.4257859897861365E-3</v>
      </c>
      <c r="E31" s="116">
        <f t="shared" si="1"/>
        <v>4.0951365710567306E-3</v>
      </c>
      <c r="F31" s="32" t="s">
        <v>29</v>
      </c>
      <c r="G31" s="96">
        <v>250000</v>
      </c>
      <c r="H31" s="33" t="s">
        <v>664</v>
      </c>
      <c r="I31" s="33" t="s">
        <v>75</v>
      </c>
      <c r="J31" s="33">
        <v>3.5400000000000001E-2</v>
      </c>
      <c r="K31" s="33" t="s">
        <v>663</v>
      </c>
      <c r="L31" s="22" t="s">
        <v>44</v>
      </c>
      <c r="M31" s="58"/>
    </row>
    <row r="32" spans="1:13" s="137" customFormat="1" ht="18.75" customHeight="1">
      <c r="A32" s="429"/>
      <c r="B32" s="430"/>
      <c r="C32" s="117">
        <f t="shared" si="3"/>
        <v>3430.0000000000005</v>
      </c>
      <c r="D32" s="116">
        <f t="shared" si="0"/>
        <v>2.1028752480188079E-3</v>
      </c>
      <c r="E32" s="116">
        <f t="shared" si="1"/>
        <v>1.5871546258445863E-3</v>
      </c>
      <c r="F32" s="141" t="s">
        <v>178</v>
      </c>
      <c r="G32" s="251">
        <v>10000</v>
      </c>
      <c r="H32" s="156" t="s">
        <v>170</v>
      </c>
      <c r="I32" s="33" t="s">
        <v>75</v>
      </c>
      <c r="J32" s="142">
        <v>0.34300000000000003</v>
      </c>
      <c r="K32" s="140" t="s">
        <v>205</v>
      </c>
      <c r="L32" s="141" t="s">
        <v>179</v>
      </c>
      <c r="M32" s="58"/>
    </row>
    <row r="33" spans="1:13" s="137" customFormat="1" ht="18.75" customHeight="1">
      <c r="A33" s="429"/>
      <c r="B33" s="430"/>
      <c r="C33" s="117">
        <f t="shared" si="3"/>
        <v>121</v>
      </c>
      <c r="D33" s="116">
        <f t="shared" si="0"/>
        <v>7.4183062685211586E-5</v>
      </c>
      <c r="E33" s="116">
        <f t="shared" si="1"/>
        <v>5.5990002835916883E-5</v>
      </c>
      <c r="F33" s="141" t="s">
        <v>169</v>
      </c>
      <c r="G33" s="251">
        <v>1000</v>
      </c>
      <c r="H33" s="156" t="s">
        <v>170</v>
      </c>
      <c r="I33" s="33" t="s">
        <v>75</v>
      </c>
      <c r="J33" s="142">
        <v>0.121</v>
      </c>
      <c r="K33" s="140" t="s">
        <v>205</v>
      </c>
      <c r="L33" s="141" t="s">
        <v>171</v>
      </c>
      <c r="M33" s="58"/>
    </row>
    <row r="34" spans="1:13" s="137" customFormat="1" ht="18.75" customHeight="1">
      <c r="A34" s="429"/>
      <c r="B34" s="430"/>
      <c r="C34" s="117">
        <f t="shared" si="3"/>
        <v>12160</v>
      </c>
      <c r="D34" s="116">
        <f t="shared" si="0"/>
        <v>7.4550912582824203E-3</v>
      </c>
      <c r="E34" s="116">
        <f t="shared" si="1"/>
        <v>5.6267639213615642E-3</v>
      </c>
      <c r="F34" s="141" t="s">
        <v>172</v>
      </c>
      <c r="G34" s="251">
        <v>80000</v>
      </c>
      <c r="H34" s="156" t="s">
        <v>170</v>
      </c>
      <c r="I34" s="33" t="s">
        <v>75</v>
      </c>
      <c r="J34" s="142">
        <v>0.152</v>
      </c>
      <c r="K34" s="140" t="s">
        <v>205</v>
      </c>
      <c r="L34" s="141" t="s">
        <v>173</v>
      </c>
      <c r="M34" s="58"/>
    </row>
    <row r="35" spans="1:13" s="137" customFormat="1" ht="18.75" customHeight="1">
      <c r="A35" s="429"/>
      <c r="B35" s="430"/>
      <c r="C35" s="117">
        <f t="shared" si="3"/>
        <v>10700</v>
      </c>
      <c r="D35" s="116">
        <f t="shared" si="0"/>
        <v>6.5599898407583792E-3</v>
      </c>
      <c r="E35" s="116">
        <f t="shared" si="1"/>
        <v>4.9511820689612449E-3</v>
      </c>
      <c r="F35" s="141" t="s">
        <v>174</v>
      </c>
      <c r="G35" s="251">
        <v>50000</v>
      </c>
      <c r="H35" s="156" t="s">
        <v>170</v>
      </c>
      <c r="I35" s="33" t="s">
        <v>75</v>
      </c>
      <c r="J35" s="142">
        <v>0.214</v>
      </c>
      <c r="K35" s="140" t="s">
        <v>205</v>
      </c>
      <c r="L35" s="141" t="s">
        <v>175</v>
      </c>
      <c r="M35" s="58"/>
    </row>
    <row r="36" spans="1:13" s="137" customFormat="1" ht="18.75" customHeight="1">
      <c r="A36" s="429"/>
      <c r="B36" s="430"/>
      <c r="C36" s="117">
        <f t="shared" si="3"/>
        <v>112.5</v>
      </c>
      <c r="D36" s="116">
        <f t="shared" si="0"/>
        <v>6.8971855802366135E-5</v>
      </c>
      <c r="E36" s="116">
        <f t="shared" si="1"/>
        <v>5.2056820818517767E-5</v>
      </c>
      <c r="F36" s="141" t="s">
        <v>176</v>
      </c>
      <c r="G36" s="251">
        <v>500</v>
      </c>
      <c r="H36" s="156" t="s">
        <v>170</v>
      </c>
      <c r="I36" s="33" t="s">
        <v>75</v>
      </c>
      <c r="J36" s="142">
        <v>0.22500000000000001</v>
      </c>
      <c r="K36" s="140" t="s">
        <v>205</v>
      </c>
      <c r="L36" s="141" t="s">
        <v>177</v>
      </c>
      <c r="M36" s="58"/>
    </row>
    <row r="37" spans="1:13" s="137" customFormat="1" ht="18.75" customHeight="1">
      <c r="A37" s="429"/>
      <c r="B37" s="430"/>
      <c r="C37" s="117">
        <f t="shared" si="3"/>
        <v>1480</v>
      </c>
      <c r="D37" s="116">
        <f t="shared" si="0"/>
        <v>9.0736308077779451E-4</v>
      </c>
      <c r="E37" s="116">
        <f t="shared" si="1"/>
        <v>6.8483639832361148E-4</v>
      </c>
      <c r="F37" s="141" t="s">
        <v>180</v>
      </c>
      <c r="G37" s="251">
        <v>2000</v>
      </c>
      <c r="H37" s="156" t="s">
        <v>181</v>
      </c>
      <c r="I37" s="33" t="s">
        <v>75</v>
      </c>
      <c r="J37" s="142">
        <v>0.74</v>
      </c>
      <c r="K37" s="144" t="s">
        <v>206</v>
      </c>
      <c r="L37" s="141" t="s">
        <v>182</v>
      </c>
      <c r="M37" s="58"/>
    </row>
    <row r="38" spans="1:13" s="137" customFormat="1" ht="18.75" customHeight="1">
      <c r="A38" s="429"/>
      <c r="B38" s="430"/>
      <c r="C38" s="117">
        <f t="shared" si="3"/>
        <v>139</v>
      </c>
      <c r="D38" s="116">
        <f t="shared" si="0"/>
        <v>8.5218559613590164E-5</v>
      </c>
      <c r="E38" s="116">
        <f t="shared" si="1"/>
        <v>6.431909416687973E-5</v>
      </c>
      <c r="F38" s="32" t="s">
        <v>30</v>
      </c>
      <c r="G38" s="96">
        <v>10000</v>
      </c>
      <c r="H38" s="33" t="s">
        <v>662</v>
      </c>
      <c r="I38" s="33" t="s">
        <v>75</v>
      </c>
      <c r="J38" s="33">
        <v>1.3899999999999999E-2</v>
      </c>
      <c r="K38" s="33" t="s">
        <v>661</v>
      </c>
      <c r="L38" s="22" t="s">
        <v>45</v>
      </c>
      <c r="M38" s="58"/>
    </row>
    <row r="39" spans="1:13" s="146" customFormat="1" ht="18.75" customHeight="1">
      <c r="A39" s="60">
        <v>4</v>
      </c>
      <c r="B39" s="175" t="s">
        <v>7</v>
      </c>
      <c r="C39" s="67">
        <f>SUM(C40:C41)</f>
        <v>500.63999999999993</v>
      </c>
      <c r="D39" s="42">
        <f t="shared" si="0"/>
        <v>3.069339545679696E-4</v>
      </c>
      <c r="E39" s="42">
        <f t="shared" si="1"/>
        <v>2.3165979355184649E-4</v>
      </c>
      <c r="F39" s="174"/>
      <c r="G39" s="174"/>
      <c r="H39" s="41"/>
      <c r="I39" s="41"/>
      <c r="J39" s="41"/>
      <c r="K39" s="41"/>
      <c r="L39" s="41"/>
      <c r="M39" s="175"/>
    </row>
    <row r="40" spans="1:13" s="146" customFormat="1" ht="75" customHeight="1">
      <c r="A40" s="423" t="s">
        <v>103</v>
      </c>
      <c r="B40" s="424"/>
      <c r="C40" s="122">
        <f>G40*J40</f>
        <v>446.99999999999994</v>
      </c>
      <c r="D40" s="118">
        <f t="shared" ref="D40:D61" si="4">+C40/$C$86</f>
        <v>2.740481737214014E-4</v>
      </c>
      <c r="E40" s="118">
        <f t="shared" ref="E40:E61" si="5">+C40/$C$89</f>
        <v>2.0683910138557724E-4</v>
      </c>
      <c r="F40" s="250" t="s">
        <v>660</v>
      </c>
      <c r="G40" s="249">
        <f>(G11*2.5+G12*4.5+G13*2)*100</f>
        <v>3000000</v>
      </c>
      <c r="H40" s="248" t="s">
        <v>659</v>
      </c>
      <c r="I40" s="99" t="s">
        <v>658</v>
      </c>
      <c r="J40" s="34">
        <f>0.149/1000</f>
        <v>1.4899999999999999E-4</v>
      </c>
      <c r="K40" s="31" t="s">
        <v>657</v>
      </c>
      <c r="L40" s="136" t="s">
        <v>387</v>
      </c>
      <c r="M40" s="177" t="s">
        <v>656</v>
      </c>
    </row>
    <row r="41" spans="1:13" s="146" customFormat="1" ht="75" customHeight="1">
      <c r="A41" s="427"/>
      <c r="B41" s="428"/>
      <c r="C41" s="122">
        <f>G41*J41</f>
        <v>53.639999999999993</v>
      </c>
      <c r="D41" s="118">
        <f t="shared" si="4"/>
        <v>3.2885780846568172E-5</v>
      </c>
      <c r="E41" s="118">
        <f t="shared" si="5"/>
        <v>2.4820692166269267E-5</v>
      </c>
      <c r="F41" s="136" t="s">
        <v>655</v>
      </c>
      <c r="G41" s="98">
        <f>C40</f>
        <v>446.99999999999994</v>
      </c>
      <c r="H41" s="31" t="s">
        <v>654</v>
      </c>
      <c r="I41" s="136" t="s">
        <v>653</v>
      </c>
      <c r="J41" s="247">
        <v>0.12</v>
      </c>
      <c r="K41" s="31" t="s">
        <v>652</v>
      </c>
      <c r="L41" s="136" t="s">
        <v>651</v>
      </c>
      <c r="M41" s="177" t="s">
        <v>650</v>
      </c>
    </row>
    <row r="42" spans="1:13" s="18" customFormat="1" ht="18.75" customHeight="1">
      <c r="A42" s="86">
        <v>5</v>
      </c>
      <c r="B42" s="71" t="s">
        <v>8</v>
      </c>
      <c r="C42" s="67">
        <f>SUM(C43:C50)</f>
        <v>6524.4679999999998</v>
      </c>
      <c r="D42" s="42">
        <f t="shared" si="4"/>
        <v>4.0000414762946862E-3</v>
      </c>
      <c r="E42" s="42">
        <f t="shared" si="5"/>
        <v>3.0190494365524706E-3</v>
      </c>
      <c r="F42" s="26"/>
      <c r="G42" s="26"/>
      <c r="H42" s="46"/>
      <c r="I42" s="46"/>
      <c r="J42" s="46"/>
      <c r="K42" s="46"/>
      <c r="L42" s="46"/>
      <c r="M42" s="59"/>
    </row>
    <row r="43" spans="1:13" s="18" customFormat="1" ht="18.75" customHeight="1">
      <c r="A43" s="382" t="s">
        <v>649</v>
      </c>
      <c r="B43" s="383"/>
      <c r="C43" s="122">
        <f t="shared" ref="C43:C50" si="6">+G43*J43</f>
        <v>137</v>
      </c>
      <c r="D43" s="118">
        <f t="shared" si="4"/>
        <v>8.3992393288214758E-5</v>
      </c>
      <c r="E43" s="118">
        <f t="shared" si="5"/>
        <v>6.3393639574550528E-5</v>
      </c>
      <c r="F43" s="147" t="s">
        <v>499</v>
      </c>
      <c r="G43" s="45">
        <v>1000</v>
      </c>
      <c r="H43" s="47" t="s">
        <v>646</v>
      </c>
      <c r="I43" s="47" t="s">
        <v>83</v>
      </c>
      <c r="J43" s="147">
        <v>0.13700000000000001</v>
      </c>
      <c r="K43" s="147" t="s">
        <v>61</v>
      </c>
      <c r="L43" s="47" t="s">
        <v>115</v>
      </c>
      <c r="M43" s="407" t="s">
        <v>648</v>
      </c>
    </row>
    <row r="44" spans="1:13" s="18" customFormat="1" ht="18.75" customHeight="1">
      <c r="A44" s="382"/>
      <c r="B44" s="383"/>
      <c r="C44" s="122">
        <f t="shared" si="6"/>
        <v>3568</v>
      </c>
      <c r="D44" s="118">
        <f t="shared" si="4"/>
        <v>2.1874807244697102E-3</v>
      </c>
      <c r="E44" s="118">
        <f t="shared" si="5"/>
        <v>1.6510109927153013E-3</v>
      </c>
      <c r="F44" s="147" t="s">
        <v>647</v>
      </c>
      <c r="G44" s="45">
        <v>4000</v>
      </c>
      <c r="H44" s="47" t="s">
        <v>646</v>
      </c>
      <c r="I44" s="47" t="s">
        <v>83</v>
      </c>
      <c r="J44" s="147">
        <v>0.89200000000000002</v>
      </c>
      <c r="K44" s="147" t="s">
        <v>61</v>
      </c>
      <c r="L44" s="47" t="s">
        <v>115</v>
      </c>
      <c r="M44" s="408"/>
    </row>
    <row r="45" spans="1:13" s="18" customFormat="1" ht="18.75" customHeight="1">
      <c r="A45" s="382"/>
      <c r="B45" s="383"/>
      <c r="C45" s="122">
        <f t="shared" si="6"/>
        <v>98.199999999999989</v>
      </c>
      <c r="D45" s="118">
        <f t="shared" si="4"/>
        <v>6.0204766575932033E-5</v>
      </c>
      <c r="E45" s="118">
        <f t="shared" si="5"/>
        <v>4.5439820483363945E-5</v>
      </c>
      <c r="F45" s="147" t="s">
        <v>497</v>
      </c>
      <c r="G45" s="155">
        <v>2000</v>
      </c>
      <c r="H45" s="47" t="s">
        <v>646</v>
      </c>
      <c r="I45" s="47" t="s">
        <v>83</v>
      </c>
      <c r="J45" s="147">
        <v>4.9099999999999998E-2</v>
      </c>
      <c r="K45" s="147" t="s">
        <v>61</v>
      </c>
      <c r="L45" s="47" t="s">
        <v>115</v>
      </c>
      <c r="M45" s="408"/>
    </row>
    <row r="46" spans="1:13" s="18" customFormat="1" ht="18.75" customHeight="1">
      <c r="A46" s="382"/>
      <c r="B46" s="383"/>
      <c r="C46" s="122">
        <f t="shared" si="6"/>
        <v>108.5</v>
      </c>
      <c r="D46" s="118">
        <f t="shared" si="4"/>
        <v>6.6519523151615349E-5</v>
      </c>
      <c r="E46" s="118">
        <f t="shared" si="5"/>
        <v>5.0205911633859356E-5</v>
      </c>
      <c r="F46" s="147" t="s">
        <v>645</v>
      </c>
      <c r="G46" s="155">
        <v>500</v>
      </c>
      <c r="H46" s="47" t="s">
        <v>644</v>
      </c>
      <c r="I46" s="47" t="s">
        <v>83</v>
      </c>
      <c r="J46" s="147">
        <v>0.217</v>
      </c>
      <c r="K46" s="147" t="s">
        <v>61</v>
      </c>
      <c r="L46" s="47" t="s">
        <v>115</v>
      </c>
      <c r="M46" s="408"/>
    </row>
    <row r="47" spans="1:13" s="18" customFormat="1" ht="18.75" customHeight="1">
      <c r="A47" s="382"/>
      <c r="B47" s="383"/>
      <c r="C47" s="122">
        <f t="shared" si="6"/>
        <v>378</v>
      </c>
      <c r="D47" s="118">
        <f t="shared" si="4"/>
        <v>2.3174543549595023E-4</v>
      </c>
      <c r="E47" s="118">
        <f t="shared" si="5"/>
        <v>1.7491091795021968E-4</v>
      </c>
      <c r="F47" s="147" t="s">
        <v>643</v>
      </c>
      <c r="G47" s="155">
        <v>200</v>
      </c>
      <c r="H47" s="47" t="s">
        <v>452</v>
      </c>
      <c r="I47" s="47" t="s">
        <v>83</v>
      </c>
      <c r="J47" s="147">
        <v>1.89</v>
      </c>
      <c r="K47" s="147" t="s">
        <v>61</v>
      </c>
      <c r="L47" s="47" t="s">
        <v>115</v>
      </c>
      <c r="M47" s="408"/>
    </row>
    <row r="48" spans="1:13" s="18" customFormat="1" ht="18.75" customHeight="1">
      <c r="A48" s="382"/>
      <c r="B48" s="383"/>
      <c r="C48" s="122">
        <f t="shared" si="6"/>
        <v>5.8000000000000007</v>
      </c>
      <c r="D48" s="118">
        <f t="shared" si="4"/>
        <v>3.5558823435886546E-6</v>
      </c>
      <c r="E48" s="118">
        <f t="shared" si="5"/>
        <v>2.683818317754694E-6</v>
      </c>
      <c r="F48" s="147" t="s">
        <v>335</v>
      </c>
      <c r="G48" s="155">
        <v>100</v>
      </c>
      <c r="H48" s="47" t="s">
        <v>452</v>
      </c>
      <c r="I48" s="47" t="s">
        <v>83</v>
      </c>
      <c r="J48" s="147">
        <v>5.8000000000000003E-2</v>
      </c>
      <c r="K48" s="147" t="s">
        <v>61</v>
      </c>
      <c r="L48" s="47" t="s">
        <v>115</v>
      </c>
      <c r="M48" s="409"/>
    </row>
    <row r="49" spans="1:13" s="18" customFormat="1" ht="18.75" customHeight="1">
      <c r="A49" s="382"/>
      <c r="B49" s="383"/>
      <c r="C49" s="122">
        <f t="shared" si="6"/>
        <v>2226</v>
      </c>
      <c r="D49" s="118">
        <f t="shared" si="4"/>
        <v>1.364723120142818E-3</v>
      </c>
      <c r="E49" s="118">
        <f t="shared" si="5"/>
        <v>1.0300309612624049E-3</v>
      </c>
      <c r="F49" s="147" t="s">
        <v>642</v>
      </c>
      <c r="G49" s="155">
        <v>15000</v>
      </c>
      <c r="H49" s="47" t="s">
        <v>452</v>
      </c>
      <c r="I49" s="47" t="s">
        <v>85</v>
      </c>
      <c r="J49" s="47">
        <v>0.1484</v>
      </c>
      <c r="K49" s="47" t="s">
        <v>61</v>
      </c>
      <c r="L49" s="47" t="s">
        <v>115</v>
      </c>
      <c r="M49" s="168" t="s">
        <v>641</v>
      </c>
    </row>
    <row r="50" spans="1:13" s="18" customFormat="1" ht="18.75" customHeight="1">
      <c r="A50" s="382"/>
      <c r="B50" s="383"/>
      <c r="C50" s="122">
        <f t="shared" si="6"/>
        <v>2.968</v>
      </c>
      <c r="D50" s="118">
        <f t="shared" si="4"/>
        <v>1.8196308268570905E-6</v>
      </c>
      <c r="E50" s="118">
        <f t="shared" si="5"/>
        <v>1.3733746150165398E-6</v>
      </c>
      <c r="F50" s="153" t="s">
        <v>640</v>
      </c>
      <c r="G50" s="153">
        <v>20</v>
      </c>
      <c r="H50" s="45" t="s">
        <v>452</v>
      </c>
      <c r="I50" s="47" t="s">
        <v>85</v>
      </c>
      <c r="J50" s="47">
        <v>0.1484</v>
      </c>
      <c r="K50" s="47" t="s">
        <v>61</v>
      </c>
      <c r="L50" s="47" t="s">
        <v>115</v>
      </c>
      <c r="M50" s="176" t="s">
        <v>82</v>
      </c>
    </row>
    <row r="51" spans="1:13" s="146" customFormat="1" ht="18.75" customHeight="1">
      <c r="A51" s="60">
        <v>6</v>
      </c>
      <c r="B51" s="175" t="s">
        <v>9</v>
      </c>
      <c r="C51" s="67">
        <f>SUM(C52:C54)</f>
        <v>2709</v>
      </c>
      <c r="D51" s="42">
        <f t="shared" si="4"/>
        <v>1.6608422877209766E-3</v>
      </c>
      <c r="E51" s="42">
        <f t="shared" si="5"/>
        <v>1.2535282453099079E-3</v>
      </c>
      <c r="F51" s="174"/>
      <c r="G51" s="95"/>
      <c r="H51" s="41"/>
      <c r="I51" s="41"/>
      <c r="J51" s="41"/>
      <c r="K51" s="41"/>
      <c r="L51" s="41"/>
      <c r="M51" s="175"/>
    </row>
    <row r="52" spans="1:13" s="146" customFormat="1" ht="18.75" customHeight="1">
      <c r="A52" s="386" t="s">
        <v>639</v>
      </c>
      <c r="B52" s="387"/>
      <c r="C52" s="121">
        <f>+G52*J52</f>
        <v>822.00000000000011</v>
      </c>
      <c r="D52" s="118">
        <f t="shared" si="4"/>
        <v>5.039543597292886E-4</v>
      </c>
      <c r="E52" s="118">
        <f t="shared" si="5"/>
        <v>3.8036183744730319E-4</v>
      </c>
      <c r="F52" s="148" t="s">
        <v>191</v>
      </c>
      <c r="G52" s="246">
        <v>600</v>
      </c>
      <c r="H52" s="160" t="s">
        <v>185</v>
      </c>
      <c r="I52" s="159" t="s">
        <v>214</v>
      </c>
      <c r="J52" s="40">
        <v>1.37</v>
      </c>
      <c r="K52" s="161" t="s">
        <v>207</v>
      </c>
      <c r="L52" s="151" t="s">
        <v>186</v>
      </c>
      <c r="M52" s="177"/>
    </row>
    <row r="53" spans="1:13" s="146" customFormat="1" ht="18.75" customHeight="1">
      <c r="A53" s="388"/>
      <c r="B53" s="389"/>
      <c r="C53" s="121">
        <f>+G53*J53</f>
        <v>1284</v>
      </c>
      <c r="D53" s="118">
        <f t="shared" si="4"/>
        <v>7.8719878089100553E-4</v>
      </c>
      <c r="E53" s="118">
        <f t="shared" si="5"/>
        <v>5.9414184827534945E-4</v>
      </c>
      <c r="F53" s="147" t="s">
        <v>187</v>
      </c>
      <c r="G53" s="245">
        <v>400</v>
      </c>
      <c r="H53" s="160" t="s">
        <v>185</v>
      </c>
      <c r="I53" s="159" t="s">
        <v>214</v>
      </c>
      <c r="J53" s="40">
        <v>3.21</v>
      </c>
      <c r="K53" s="161" t="s">
        <v>207</v>
      </c>
      <c r="L53" s="152" t="s">
        <v>188</v>
      </c>
      <c r="M53" s="177"/>
    </row>
    <row r="54" spans="1:13" s="146" customFormat="1" ht="18.75" customHeight="1">
      <c r="A54" s="390"/>
      <c r="B54" s="391"/>
      <c r="C54" s="121">
        <f>+G54*J54</f>
        <v>602.99999999999989</v>
      </c>
      <c r="D54" s="118">
        <f t="shared" si="4"/>
        <v>3.6968914710068241E-4</v>
      </c>
      <c r="E54" s="118">
        <f t="shared" si="5"/>
        <v>2.7902455958725517E-4</v>
      </c>
      <c r="F54" s="145" t="s">
        <v>189</v>
      </c>
      <c r="G54" s="245">
        <v>300</v>
      </c>
      <c r="H54" s="160" t="s">
        <v>185</v>
      </c>
      <c r="I54" s="159" t="s">
        <v>214</v>
      </c>
      <c r="J54" s="40">
        <v>2.0099999999999998</v>
      </c>
      <c r="K54" s="161" t="s">
        <v>207</v>
      </c>
      <c r="L54" s="152" t="s">
        <v>190</v>
      </c>
      <c r="M54" s="177"/>
    </row>
    <row r="55" spans="1:13" s="146" customFormat="1" ht="18.75" customHeight="1">
      <c r="A55" s="60">
        <v>7</v>
      </c>
      <c r="B55" s="175" t="s">
        <v>10</v>
      </c>
      <c r="C55" s="67">
        <f>SUM(C56:C58)</f>
        <v>58534.383301707778</v>
      </c>
      <c r="D55" s="42">
        <f t="shared" si="4"/>
        <v>3.5886444840585043E-2</v>
      </c>
      <c r="E55" s="42">
        <f t="shared" si="5"/>
        <v>2.708545691786169E-2</v>
      </c>
      <c r="F55" s="174"/>
      <c r="G55" s="95"/>
      <c r="H55" s="46"/>
      <c r="I55" s="41"/>
      <c r="J55" s="244"/>
      <c r="K55" s="41"/>
      <c r="L55" s="41"/>
      <c r="M55" s="175"/>
    </row>
    <row r="56" spans="1:13" s="146" customFormat="1" ht="18.75" customHeight="1">
      <c r="A56" s="386" t="s">
        <v>638</v>
      </c>
      <c r="B56" s="387"/>
      <c r="C56" s="122">
        <f>+G56*J56</f>
        <v>6850.0000000000009</v>
      </c>
      <c r="D56" s="118">
        <f t="shared" si="4"/>
        <v>4.199619664410739E-3</v>
      </c>
      <c r="E56" s="118">
        <f t="shared" si="5"/>
        <v>3.1696819787275267E-3</v>
      </c>
      <c r="F56" s="150" t="s">
        <v>192</v>
      </c>
      <c r="G56" s="37">
        <v>5000</v>
      </c>
      <c r="H56" s="160" t="s">
        <v>185</v>
      </c>
      <c r="I56" s="159" t="s">
        <v>214</v>
      </c>
      <c r="J56" s="216">
        <v>1.37</v>
      </c>
      <c r="K56" s="161" t="s">
        <v>207</v>
      </c>
      <c r="L56" s="151" t="s">
        <v>193</v>
      </c>
      <c r="M56" s="162"/>
    </row>
    <row r="57" spans="1:13" s="146" customFormat="1" ht="18.75" customHeight="1">
      <c r="A57" s="388"/>
      <c r="B57" s="389"/>
      <c r="C57" s="122">
        <f>+G57*J57</f>
        <v>1210</v>
      </c>
      <c r="D57" s="118">
        <f t="shared" si="4"/>
        <v>7.4183062685211575E-4</v>
      </c>
      <c r="E57" s="118">
        <f t="shared" si="5"/>
        <v>5.5990002835916886E-4</v>
      </c>
      <c r="F57" s="150" t="s">
        <v>194</v>
      </c>
      <c r="G57" s="37">
        <v>500</v>
      </c>
      <c r="H57" s="160" t="s">
        <v>185</v>
      </c>
      <c r="I57" s="159" t="s">
        <v>214</v>
      </c>
      <c r="J57" s="216">
        <v>2.42</v>
      </c>
      <c r="K57" s="161" t="s">
        <v>203</v>
      </c>
      <c r="L57" s="152" t="s">
        <v>195</v>
      </c>
      <c r="M57" s="162"/>
    </row>
    <row r="58" spans="1:13" s="146" customFormat="1" ht="30" customHeight="1">
      <c r="A58" s="390"/>
      <c r="B58" s="391"/>
      <c r="C58" s="122">
        <f>+G58*J58</f>
        <v>50474.383301707778</v>
      </c>
      <c r="D58" s="118">
        <f t="shared" si="4"/>
        <v>3.0944994549322188E-2</v>
      </c>
      <c r="E58" s="118">
        <f t="shared" si="5"/>
        <v>2.3355874910774996E-2</v>
      </c>
      <c r="F58" s="150" t="s">
        <v>196</v>
      </c>
      <c r="G58" s="37">
        <v>3000</v>
      </c>
      <c r="H58" s="160" t="s">
        <v>185</v>
      </c>
      <c r="I58" s="159" t="s">
        <v>214</v>
      </c>
      <c r="J58" s="38">
        <v>16.824794433902593</v>
      </c>
      <c r="K58" s="161" t="s">
        <v>203</v>
      </c>
      <c r="L58" s="114" t="s">
        <v>197</v>
      </c>
      <c r="M58" s="162" t="s">
        <v>198</v>
      </c>
    </row>
    <row r="59" spans="1:13" s="146" customFormat="1" ht="18.75" customHeight="1">
      <c r="A59" s="60">
        <v>8</v>
      </c>
      <c r="B59" s="175" t="s">
        <v>11</v>
      </c>
      <c r="C59" s="93">
        <f>SUM(C60:C61)</f>
        <v>12.875</v>
      </c>
      <c r="D59" s="42">
        <f t="shared" si="4"/>
        <v>7.8934457196041243E-6</v>
      </c>
      <c r="E59" s="42">
        <f t="shared" si="5"/>
        <v>5.9576139381192553E-6</v>
      </c>
      <c r="F59" s="94"/>
      <c r="G59" s="95"/>
      <c r="H59" s="95"/>
      <c r="I59" s="95"/>
      <c r="J59" s="95"/>
      <c r="K59" s="95"/>
      <c r="L59" s="95"/>
      <c r="M59" s="175"/>
    </row>
    <row r="60" spans="1:13" s="146" customFormat="1" ht="45" customHeight="1">
      <c r="A60" s="386" t="s">
        <v>218</v>
      </c>
      <c r="B60" s="387"/>
      <c r="C60" s="123">
        <f>+G60*J60</f>
        <v>12.875</v>
      </c>
      <c r="D60" s="118">
        <f t="shared" si="4"/>
        <v>7.8934457196041243E-6</v>
      </c>
      <c r="E60" s="118">
        <f t="shared" si="5"/>
        <v>5.9576139381192553E-6</v>
      </c>
      <c r="F60" s="21" t="s">
        <v>107</v>
      </c>
      <c r="G60" s="100">
        <v>500</v>
      </c>
      <c r="H60" s="100" t="s">
        <v>637</v>
      </c>
      <c r="I60" s="22" t="s">
        <v>110</v>
      </c>
      <c r="J60" s="22">
        <f>0.103*3/12</f>
        <v>2.5749999999999999E-2</v>
      </c>
      <c r="K60" s="22" t="s">
        <v>636</v>
      </c>
      <c r="L60" s="21" t="s">
        <v>120</v>
      </c>
      <c r="M60" s="177" t="s">
        <v>109</v>
      </c>
    </row>
    <row r="61" spans="1:13" s="146" customFormat="1" ht="45" customHeight="1">
      <c r="A61" s="390"/>
      <c r="B61" s="391"/>
      <c r="C61" s="123">
        <f>+G61*J61</f>
        <v>0</v>
      </c>
      <c r="D61" s="118">
        <f t="shared" si="4"/>
        <v>0</v>
      </c>
      <c r="E61" s="118">
        <f t="shared" si="5"/>
        <v>0</v>
      </c>
      <c r="F61" s="21" t="s">
        <v>515</v>
      </c>
      <c r="G61" s="100"/>
      <c r="H61" s="100"/>
      <c r="I61" s="22"/>
      <c r="J61" s="22"/>
      <c r="K61" s="22"/>
      <c r="L61" s="21"/>
      <c r="M61" s="177" t="s">
        <v>514</v>
      </c>
    </row>
    <row r="62" spans="1:13" s="146" customFormat="1" ht="18.75" customHeight="1">
      <c r="A62" s="60">
        <v>9</v>
      </c>
      <c r="B62" s="175" t="s">
        <v>12</v>
      </c>
      <c r="C62" s="437" t="s">
        <v>635</v>
      </c>
      <c r="D62" s="438"/>
      <c r="E62" s="438"/>
      <c r="F62" s="438"/>
      <c r="G62" s="438"/>
      <c r="H62" s="438"/>
      <c r="I62" s="438"/>
      <c r="J62" s="438"/>
      <c r="K62" s="438"/>
      <c r="L62" s="438"/>
      <c r="M62" s="439"/>
    </row>
    <row r="63" spans="1:13" s="146" customFormat="1" ht="18.75" customHeight="1">
      <c r="A63" s="60">
        <v>10</v>
      </c>
      <c r="B63" s="69" t="s">
        <v>13</v>
      </c>
      <c r="C63" s="467" t="s">
        <v>634</v>
      </c>
      <c r="D63" s="468"/>
      <c r="E63" s="468"/>
      <c r="F63" s="468"/>
      <c r="G63" s="468"/>
      <c r="H63" s="468"/>
      <c r="I63" s="468"/>
      <c r="J63" s="468"/>
      <c r="K63" s="468"/>
      <c r="L63" s="468"/>
      <c r="M63" s="469"/>
    </row>
    <row r="64" spans="1:13" s="13" customFormat="1" ht="18.75" customHeight="1">
      <c r="A64" s="85">
        <v>11</v>
      </c>
      <c r="B64" s="70" t="s">
        <v>14</v>
      </c>
      <c r="C64" s="467" t="s">
        <v>633</v>
      </c>
      <c r="D64" s="468"/>
      <c r="E64" s="468"/>
      <c r="F64" s="468"/>
      <c r="G64" s="468"/>
      <c r="H64" s="468"/>
      <c r="I64" s="468"/>
      <c r="J64" s="468"/>
      <c r="K64" s="468"/>
      <c r="L64" s="468"/>
      <c r="M64" s="469"/>
    </row>
    <row r="65" spans="1:13" s="146" customFormat="1" ht="18.75" customHeight="1">
      <c r="A65" s="60">
        <v>12</v>
      </c>
      <c r="B65" s="69" t="s">
        <v>15</v>
      </c>
      <c r="C65" s="93">
        <f>SUM(C66:C67)</f>
        <v>111.3</v>
      </c>
      <c r="D65" s="42">
        <f>+C65/$C$86</f>
        <v>6.8236156007140896E-5</v>
      </c>
      <c r="E65" s="42">
        <f>+C65/$C$89</f>
        <v>5.1501548063120237E-5</v>
      </c>
      <c r="F65" s="94"/>
      <c r="G65" s="95"/>
      <c r="H65" s="95"/>
      <c r="I65" s="95"/>
      <c r="J65" s="95"/>
      <c r="K65" s="95"/>
      <c r="L65" s="95"/>
      <c r="M65" s="175"/>
    </row>
    <row r="66" spans="1:13" s="146" customFormat="1" ht="29.25" customHeight="1">
      <c r="A66" s="386" t="s">
        <v>632</v>
      </c>
      <c r="B66" s="440"/>
      <c r="C66" s="123">
        <f>+G66*J66</f>
        <v>0</v>
      </c>
      <c r="D66" s="118">
        <f>+C66/$C$86</f>
        <v>0</v>
      </c>
      <c r="E66" s="118">
        <f>+C66/$C$89</f>
        <v>0</v>
      </c>
      <c r="F66" s="21" t="s">
        <v>631</v>
      </c>
      <c r="G66" s="100"/>
      <c r="H66" s="100"/>
      <c r="I66" s="21"/>
      <c r="J66" s="22"/>
      <c r="K66" s="22"/>
      <c r="L66" s="21"/>
      <c r="M66" s="177" t="s">
        <v>630</v>
      </c>
    </row>
    <row r="67" spans="1:13" s="146" customFormat="1" ht="45" customHeight="1">
      <c r="A67" s="441"/>
      <c r="B67" s="442"/>
      <c r="C67" s="123">
        <f>+G67*J67</f>
        <v>111.3</v>
      </c>
      <c r="D67" s="118">
        <f>+C67/$C$86</f>
        <v>6.8236156007140896E-5</v>
      </c>
      <c r="E67" s="118">
        <f>+C67/$C$89</f>
        <v>5.1501548063120237E-5</v>
      </c>
      <c r="F67" s="21" t="s">
        <v>629</v>
      </c>
      <c r="G67" s="100">
        <f>150000000*5*10^-6</f>
        <v>750</v>
      </c>
      <c r="H67" s="100" t="s">
        <v>452</v>
      </c>
      <c r="I67" s="21" t="s">
        <v>628</v>
      </c>
      <c r="J67" s="47">
        <v>0.1484</v>
      </c>
      <c r="K67" s="47" t="s">
        <v>61</v>
      </c>
      <c r="L67" s="47" t="s">
        <v>627</v>
      </c>
      <c r="M67" s="177" t="s">
        <v>626</v>
      </c>
    </row>
    <row r="68" spans="1:13" s="13" customFormat="1" ht="18.75" customHeight="1">
      <c r="A68" s="85">
        <v>13</v>
      </c>
      <c r="B68" s="87" t="s">
        <v>461</v>
      </c>
      <c r="C68" s="93">
        <f>SUM(C69:C69)</f>
        <v>50000</v>
      </c>
      <c r="D68" s="42">
        <f>+C68/$C$86</f>
        <v>3.0654158134384952E-2</v>
      </c>
      <c r="E68" s="42">
        <f>+C68/$C$89</f>
        <v>2.3136364808230118E-2</v>
      </c>
      <c r="F68" s="94"/>
      <c r="G68" s="95"/>
      <c r="H68" s="95"/>
      <c r="I68" s="95"/>
      <c r="J68" s="95"/>
      <c r="K68" s="95"/>
      <c r="L68" s="95"/>
      <c r="M68" s="175"/>
    </row>
    <row r="69" spans="1:13" s="146" customFormat="1" ht="45" customHeight="1">
      <c r="A69" s="384" t="s">
        <v>218</v>
      </c>
      <c r="B69" s="385"/>
      <c r="C69" s="123">
        <f>+G69*J69</f>
        <v>50000</v>
      </c>
      <c r="D69" s="118">
        <f>+C69/$C$86</f>
        <v>3.0654158134384952E-2</v>
      </c>
      <c r="E69" s="118">
        <f>+C69/$C$89</f>
        <v>2.3136364808230118E-2</v>
      </c>
      <c r="F69" s="21" t="s">
        <v>625</v>
      </c>
      <c r="G69" s="100">
        <v>500</v>
      </c>
      <c r="H69" s="100" t="s">
        <v>119</v>
      </c>
      <c r="I69" s="22" t="s">
        <v>624</v>
      </c>
      <c r="J69" s="22">
        <v>100</v>
      </c>
      <c r="K69" s="22" t="s">
        <v>208</v>
      </c>
      <c r="L69" s="21" t="s">
        <v>623</v>
      </c>
      <c r="M69" s="177" t="s">
        <v>109</v>
      </c>
    </row>
    <row r="70" spans="1:13" s="146" customFormat="1" ht="18.75" customHeight="1">
      <c r="A70" s="60">
        <v>14</v>
      </c>
      <c r="B70" s="69" t="s">
        <v>479</v>
      </c>
      <c r="C70" s="379" t="s">
        <v>31</v>
      </c>
      <c r="D70" s="380"/>
      <c r="E70" s="380"/>
      <c r="F70" s="380"/>
      <c r="G70" s="380"/>
      <c r="H70" s="380"/>
      <c r="I70" s="380"/>
      <c r="J70" s="380"/>
      <c r="K70" s="380"/>
      <c r="L70" s="380"/>
      <c r="M70" s="381"/>
    </row>
    <row r="71" spans="1:13" s="146" customFormat="1" ht="30" customHeight="1">
      <c r="A71" s="60">
        <v>15</v>
      </c>
      <c r="B71" s="69" t="s">
        <v>1</v>
      </c>
      <c r="C71" s="93">
        <f>SUM(C72:C83)</f>
        <v>4498.4207013243349</v>
      </c>
      <c r="D71" s="42">
        <f t="shared" ref="D71:D86" si="7">+C71/$C$86</f>
        <v>2.7579059906677403E-3</v>
      </c>
      <c r="E71" s="42">
        <f t="shared" ref="E71:E89" si="8">+C71/$C$89</f>
        <v>2.0815420481346838E-3</v>
      </c>
      <c r="F71" s="94" t="s">
        <v>86</v>
      </c>
      <c r="G71" s="102" t="s">
        <v>102</v>
      </c>
      <c r="H71" s="103" t="s">
        <v>126</v>
      </c>
      <c r="I71" s="95" t="s">
        <v>101</v>
      </c>
      <c r="J71" s="94" t="s">
        <v>89</v>
      </c>
      <c r="K71" s="94" t="s">
        <v>97</v>
      </c>
      <c r="L71" s="95" t="s">
        <v>117</v>
      </c>
      <c r="M71" s="175"/>
    </row>
    <row r="72" spans="1:13" s="146" customFormat="1" ht="18.75" customHeight="1">
      <c r="A72" s="384" t="s">
        <v>105</v>
      </c>
      <c r="B72" s="385"/>
      <c r="C72" s="123">
        <f t="shared" ref="C72:C83" si="9">+J72*K72</f>
        <v>1076.6919222103725</v>
      </c>
      <c r="D72" s="118">
        <f t="shared" si="7"/>
        <v>6.6010168890903319E-4</v>
      </c>
      <c r="E72" s="118">
        <f t="shared" si="8"/>
        <v>4.9821474196667405E-4</v>
      </c>
      <c r="F72" s="21" t="s">
        <v>622</v>
      </c>
      <c r="G72" s="100">
        <v>111452494</v>
      </c>
      <c r="H72" s="100">
        <v>1200000</v>
      </c>
      <c r="I72" s="22" t="s">
        <v>88</v>
      </c>
      <c r="J72" s="101">
        <f t="shared" ref="J72:J83" si="10">H72/G72</f>
        <v>1.0766919222103724E-2</v>
      </c>
      <c r="K72" s="100">
        <v>100000</v>
      </c>
      <c r="L72" s="22" t="s">
        <v>90</v>
      </c>
      <c r="M72" s="177"/>
    </row>
    <row r="73" spans="1:13" s="146" customFormat="1" ht="18.75" customHeight="1">
      <c r="A73" s="384"/>
      <c r="B73" s="385"/>
      <c r="C73" s="123">
        <f t="shared" si="9"/>
        <v>26.417658295527001</v>
      </c>
      <c r="D73" s="118">
        <f t="shared" si="7"/>
        <v>1.6196221498624623E-5</v>
      </c>
      <c r="E73" s="118">
        <f t="shared" si="8"/>
        <v>1.2224171594089586E-5</v>
      </c>
      <c r="F73" s="21" t="s">
        <v>621</v>
      </c>
      <c r="G73" s="100">
        <v>4163760420</v>
      </c>
      <c r="H73" s="100">
        <v>687480</v>
      </c>
      <c r="I73" s="22" t="s">
        <v>88</v>
      </c>
      <c r="J73" s="101">
        <f t="shared" si="10"/>
        <v>1.6511036434704377E-4</v>
      </c>
      <c r="K73" s="100">
        <v>160000</v>
      </c>
      <c r="L73" s="22" t="s">
        <v>91</v>
      </c>
      <c r="M73" s="177"/>
    </row>
    <row r="74" spans="1:13" s="146" customFormat="1" ht="18.75" customHeight="1">
      <c r="A74" s="384"/>
      <c r="B74" s="385"/>
      <c r="C74" s="123">
        <f t="shared" si="9"/>
        <v>19.042509489546724</v>
      </c>
      <c r="D74" s="118">
        <f t="shared" si="7"/>
        <v>1.1674641943361826E-5</v>
      </c>
      <c r="E74" s="118">
        <f t="shared" si="8"/>
        <v>8.8114889282867383E-6</v>
      </c>
      <c r="F74" s="21" t="s">
        <v>620</v>
      </c>
      <c r="G74" s="100">
        <v>415352294</v>
      </c>
      <c r="H74" s="100">
        <v>158187</v>
      </c>
      <c r="I74" s="22" t="s">
        <v>88</v>
      </c>
      <c r="J74" s="101">
        <f t="shared" si="10"/>
        <v>3.8085018979093445E-4</v>
      </c>
      <c r="K74" s="100">
        <v>50000</v>
      </c>
      <c r="L74" s="22" t="s">
        <v>92</v>
      </c>
      <c r="M74" s="177"/>
    </row>
    <row r="75" spans="1:13" s="146" customFormat="1" ht="18.75" customHeight="1">
      <c r="A75" s="384"/>
      <c r="B75" s="385"/>
      <c r="C75" s="123">
        <f t="shared" si="9"/>
        <v>43.625767034497109</v>
      </c>
      <c r="D75" s="118">
        <f t="shared" si="7"/>
        <v>2.6746223228186249E-5</v>
      </c>
      <c r="E75" s="118">
        <f t="shared" si="8"/>
        <v>2.018683322297969E-5</v>
      </c>
      <c r="F75" s="21" t="s">
        <v>619</v>
      </c>
      <c r="G75" s="100">
        <v>1237800586</v>
      </c>
      <c r="H75" s="100">
        <v>900000</v>
      </c>
      <c r="I75" s="22" t="s">
        <v>88</v>
      </c>
      <c r="J75" s="101">
        <f t="shared" si="10"/>
        <v>7.2709611724161842E-4</v>
      </c>
      <c r="K75" s="100">
        <v>60000</v>
      </c>
      <c r="L75" s="22" t="s">
        <v>93</v>
      </c>
      <c r="M75" s="177"/>
    </row>
    <row r="76" spans="1:13" s="146" customFormat="1" ht="18.75" customHeight="1">
      <c r="A76" s="384"/>
      <c r="B76" s="385"/>
      <c r="C76" s="123">
        <f t="shared" si="9"/>
        <v>107.43490759668525</v>
      </c>
      <c r="D76" s="118">
        <f t="shared" si="7"/>
        <v>6.5866532932436499E-5</v>
      </c>
      <c r="E76" s="118">
        <f t="shared" si="8"/>
        <v>4.9713064305908061E-5</v>
      </c>
      <c r="F76" s="21" t="s">
        <v>618</v>
      </c>
      <c r="G76" s="100">
        <v>1737940900</v>
      </c>
      <c r="H76" s="100">
        <v>2333944</v>
      </c>
      <c r="I76" s="22" t="s">
        <v>88</v>
      </c>
      <c r="J76" s="101">
        <f t="shared" si="10"/>
        <v>1.3429363449585657E-3</v>
      </c>
      <c r="K76" s="100">
        <v>80000</v>
      </c>
      <c r="L76" s="22" t="s">
        <v>94</v>
      </c>
      <c r="M76" s="177"/>
    </row>
    <row r="77" spans="1:13" s="146" customFormat="1" ht="18.75" customHeight="1">
      <c r="A77" s="384"/>
      <c r="B77" s="385"/>
      <c r="C77" s="123">
        <f t="shared" si="9"/>
        <v>277.39352083240539</v>
      </c>
      <c r="D77" s="118">
        <f t="shared" si="7"/>
        <v>1.7006529706100723E-4</v>
      </c>
      <c r="E77" s="118">
        <f t="shared" si="8"/>
        <v>1.2835755386835825E-4</v>
      </c>
      <c r="F77" s="21" t="s">
        <v>617</v>
      </c>
      <c r="G77" s="100">
        <v>551521094</v>
      </c>
      <c r="H77" s="100">
        <v>1509029</v>
      </c>
      <c r="I77" s="22" t="s">
        <v>88</v>
      </c>
      <c r="J77" s="101">
        <f t="shared" si="10"/>
        <v>2.7361220022529185E-3</v>
      </c>
      <c r="K77" s="100">
        <v>101382</v>
      </c>
      <c r="L77" s="22" t="s">
        <v>95</v>
      </c>
      <c r="M77" s="177"/>
    </row>
    <row r="78" spans="1:13" s="146" customFormat="1" ht="18.75" customHeight="1">
      <c r="A78" s="384"/>
      <c r="B78" s="385"/>
      <c r="C78" s="123">
        <f t="shared" si="9"/>
        <v>512.89707709331537</v>
      </c>
      <c r="D78" s="118">
        <f t="shared" si="7"/>
        <v>3.1444856215764638E-4</v>
      </c>
      <c r="E78" s="118">
        <f t="shared" si="8"/>
        <v>2.3733147769411744E-4</v>
      </c>
      <c r="F78" s="21" t="s">
        <v>616</v>
      </c>
      <c r="G78" s="100">
        <v>700480693</v>
      </c>
      <c r="H78" s="100">
        <v>1381825</v>
      </c>
      <c r="I78" s="22" t="s">
        <v>88</v>
      </c>
      <c r="J78" s="101">
        <f t="shared" si="10"/>
        <v>1.9726810657435209E-3</v>
      </c>
      <c r="K78" s="100">
        <v>260000</v>
      </c>
      <c r="L78" s="22" t="s">
        <v>96</v>
      </c>
      <c r="M78" s="177"/>
    </row>
    <row r="79" spans="1:13" s="146" customFormat="1" ht="18.75" customHeight="1">
      <c r="A79" s="384"/>
      <c r="B79" s="385"/>
      <c r="C79" s="123">
        <f t="shared" si="9"/>
        <v>0</v>
      </c>
      <c r="D79" s="118">
        <f t="shared" si="7"/>
        <v>0</v>
      </c>
      <c r="E79" s="118">
        <f t="shared" si="8"/>
        <v>0</v>
      </c>
      <c r="F79" s="21" t="s">
        <v>615</v>
      </c>
      <c r="G79" s="100">
        <v>28149877</v>
      </c>
      <c r="H79" s="100">
        <v>971000</v>
      </c>
      <c r="I79" s="22" t="s">
        <v>88</v>
      </c>
      <c r="J79" s="101">
        <f t="shared" si="10"/>
        <v>3.449393402322859E-2</v>
      </c>
      <c r="K79" s="100">
        <v>0</v>
      </c>
      <c r="L79" s="22" t="s">
        <v>98</v>
      </c>
      <c r="M79" s="177"/>
    </row>
    <row r="80" spans="1:13" s="146" customFormat="1" ht="18.75" customHeight="1">
      <c r="A80" s="384"/>
      <c r="B80" s="385"/>
      <c r="C80" s="123">
        <f t="shared" si="9"/>
        <v>1771.2732742793926</v>
      </c>
      <c r="D80" s="118">
        <f t="shared" si="7"/>
        <v>1.0859378209794061E-3</v>
      </c>
      <c r="E80" s="118">
        <f t="shared" si="8"/>
        <v>8.1961649297592539E-4</v>
      </c>
      <c r="F80" s="21" t="s">
        <v>614</v>
      </c>
      <c r="G80" s="100">
        <v>271056029</v>
      </c>
      <c r="H80" s="100">
        <v>1600381</v>
      </c>
      <c r="I80" s="22" t="s">
        <v>88</v>
      </c>
      <c r="J80" s="101">
        <f t="shared" si="10"/>
        <v>5.9042442475979754E-3</v>
      </c>
      <c r="K80" s="100">
        <v>300000</v>
      </c>
      <c r="L80" s="22" t="s">
        <v>99</v>
      </c>
      <c r="M80" s="177"/>
    </row>
    <row r="81" spans="1:13" s="146" customFormat="1" ht="18.75" customHeight="1">
      <c r="A81" s="384"/>
      <c r="B81" s="385"/>
      <c r="C81" s="123">
        <f t="shared" si="9"/>
        <v>503.4498897353115</v>
      </c>
      <c r="D81" s="118">
        <f t="shared" si="7"/>
        <v>3.0865665065369811E-4</v>
      </c>
      <c r="E81" s="118">
        <f t="shared" si="8"/>
        <v>2.3296000623158788E-4</v>
      </c>
      <c r="F81" s="21" t="s">
        <v>613</v>
      </c>
      <c r="G81" s="100">
        <v>1075540607</v>
      </c>
      <c r="H81" s="100">
        <v>1289240</v>
      </c>
      <c r="I81" s="22" t="s">
        <v>88</v>
      </c>
      <c r="J81" s="101">
        <f t="shared" si="10"/>
        <v>1.1986902136555035E-3</v>
      </c>
      <c r="K81" s="100">
        <v>420000</v>
      </c>
      <c r="L81" s="22" t="s">
        <v>116</v>
      </c>
      <c r="M81" s="177"/>
    </row>
    <row r="82" spans="1:13" s="146" customFormat="1" ht="18.75" customHeight="1">
      <c r="A82" s="384"/>
      <c r="B82" s="385"/>
      <c r="C82" s="123">
        <f t="shared" si="9"/>
        <v>0</v>
      </c>
      <c r="D82" s="118">
        <f t="shared" si="7"/>
        <v>0</v>
      </c>
      <c r="E82" s="118">
        <f t="shared" si="8"/>
        <v>0</v>
      </c>
      <c r="F82" s="21" t="s">
        <v>612</v>
      </c>
      <c r="G82" s="100">
        <v>490727495</v>
      </c>
      <c r="H82" s="100">
        <v>1822688</v>
      </c>
      <c r="I82" s="22" t="s">
        <v>88</v>
      </c>
      <c r="J82" s="101">
        <f t="shared" si="10"/>
        <v>3.7142569319454986E-3</v>
      </c>
      <c r="K82" s="100">
        <v>0</v>
      </c>
      <c r="L82" s="22" t="s">
        <v>98</v>
      </c>
      <c r="M82" s="177"/>
    </row>
    <row r="83" spans="1:13" s="146" customFormat="1" ht="18.75" customHeight="1">
      <c r="A83" s="384"/>
      <c r="B83" s="385"/>
      <c r="C83" s="123">
        <f t="shared" si="9"/>
        <v>160.19417475728153</v>
      </c>
      <c r="D83" s="118">
        <f t="shared" si="7"/>
        <v>9.8212351304340111E-5</v>
      </c>
      <c r="E83" s="118">
        <f t="shared" si="8"/>
        <v>7.4126217346756683E-5</v>
      </c>
      <c r="F83" s="21" t="s">
        <v>611</v>
      </c>
      <c r="G83" s="100">
        <v>206000000</v>
      </c>
      <c r="H83" s="100">
        <v>66000</v>
      </c>
      <c r="I83" s="22" t="s">
        <v>88</v>
      </c>
      <c r="J83" s="101">
        <f t="shared" si="10"/>
        <v>3.2038834951456308E-4</v>
      </c>
      <c r="K83" s="100">
        <v>500000</v>
      </c>
      <c r="L83" s="22" t="s">
        <v>100</v>
      </c>
      <c r="M83" s="177"/>
    </row>
    <row r="84" spans="1:13" s="137" customFormat="1" ht="18.75" customHeight="1">
      <c r="A84" s="85">
        <v>16</v>
      </c>
      <c r="B84" s="243" t="s">
        <v>0</v>
      </c>
      <c r="C84" s="93">
        <f>SUM(C85:C85)</f>
        <v>2800.0000000000005</v>
      </c>
      <c r="D84" s="42">
        <f t="shared" si="7"/>
        <v>1.7166328555255576E-3</v>
      </c>
      <c r="E84" s="42">
        <f t="shared" si="8"/>
        <v>1.2956364292608868E-3</v>
      </c>
      <c r="F84" s="242"/>
      <c r="G84" s="242"/>
      <c r="H84" s="242"/>
      <c r="I84" s="242"/>
      <c r="J84" s="242"/>
      <c r="K84" s="242"/>
      <c r="L84" s="242"/>
      <c r="M84" s="57"/>
    </row>
    <row r="85" spans="1:13" s="137" customFormat="1" ht="75" customHeight="1" thickBot="1">
      <c r="A85" s="472" t="s">
        <v>610</v>
      </c>
      <c r="B85" s="473"/>
      <c r="C85" s="241">
        <f>+G85*J85</f>
        <v>2800.0000000000005</v>
      </c>
      <c r="D85" s="240">
        <f t="shared" si="7"/>
        <v>1.7166328555255576E-3</v>
      </c>
      <c r="E85" s="240">
        <f t="shared" si="8"/>
        <v>1.2956364292608868E-3</v>
      </c>
      <c r="F85" s="237" t="s">
        <v>609</v>
      </c>
      <c r="G85" s="239">
        <v>10000</v>
      </c>
      <c r="H85" s="239" t="s">
        <v>608</v>
      </c>
      <c r="I85" s="238" t="s">
        <v>607</v>
      </c>
      <c r="J85" s="238">
        <v>0.28000000000000003</v>
      </c>
      <c r="K85" s="237" t="s">
        <v>606</v>
      </c>
      <c r="L85" s="237" t="s">
        <v>605</v>
      </c>
      <c r="M85" s="236" t="s">
        <v>604</v>
      </c>
    </row>
    <row r="86" spans="1:13" ht="18.75" customHeight="1" thickBot="1">
      <c r="A86" s="470" t="s">
        <v>17</v>
      </c>
      <c r="B86" s="471"/>
      <c r="C86" s="235">
        <f>SUM(C71,C68,C65,C64,C62,C59,C55,C51,C42,C39,C30,C27,C8)</f>
        <v>1631100.0870030322</v>
      </c>
      <c r="D86" s="234">
        <f t="shared" si="7"/>
        <v>1</v>
      </c>
      <c r="E86" s="234">
        <f t="shared" si="8"/>
        <v>0.75475453303276074</v>
      </c>
      <c r="F86" s="233"/>
      <c r="G86" s="233"/>
      <c r="H86" s="232"/>
      <c r="I86" s="232"/>
      <c r="J86" s="232"/>
      <c r="K86" s="232"/>
      <c r="L86" s="232"/>
      <c r="M86" s="231"/>
    </row>
    <row r="87" spans="1:13" ht="18.75" customHeight="1" thickTop="1">
      <c r="A87" s="392" t="s">
        <v>310</v>
      </c>
      <c r="B87" s="393"/>
      <c r="C87" s="83">
        <v>450000</v>
      </c>
      <c r="D87" s="49"/>
      <c r="E87" s="124">
        <f t="shared" si="8"/>
        <v>0.20822728327407106</v>
      </c>
      <c r="F87" s="10"/>
      <c r="G87" s="10"/>
      <c r="H87" s="79"/>
      <c r="I87" s="79"/>
      <c r="J87" s="79"/>
      <c r="K87" s="79"/>
      <c r="L87" s="79"/>
      <c r="M87" s="62"/>
    </row>
    <row r="88" spans="1:13" ht="18.75" customHeight="1" thickBot="1">
      <c r="A88" s="394" t="s">
        <v>311</v>
      </c>
      <c r="B88" s="395"/>
      <c r="C88" s="84">
        <v>80000</v>
      </c>
      <c r="D88" s="50"/>
      <c r="E88" s="165">
        <f t="shared" si="8"/>
        <v>3.7018183693168186E-2</v>
      </c>
      <c r="F88" s="11"/>
      <c r="G88" s="11"/>
      <c r="H88" s="173"/>
      <c r="I88" s="173"/>
      <c r="J88" s="173"/>
      <c r="K88" s="173"/>
      <c r="L88" s="173"/>
      <c r="M88" s="63"/>
    </row>
    <row r="89" spans="1:13" ht="18.75" customHeight="1" thickTop="1" thickBot="1">
      <c r="A89" s="396" t="s">
        <v>18</v>
      </c>
      <c r="B89" s="397"/>
      <c r="C89" s="163">
        <f>SUM(C86:C88)</f>
        <v>2161100.0870030322</v>
      </c>
      <c r="D89" s="166"/>
      <c r="E89" s="164">
        <f t="shared" si="8"/>
        <v>1</v>
      </c>
      <c r="F89" s="75"/>
      <c r="G89" s="75"/>
      <c r="H89" s="76"/>
      <c r="I89" s="76"/>
      <c r="J89" s="76"/>
      <c r="K89" s="76"/>
      <c r="L89" s="76"/>
      <c r="M89" s="77"/>
    </row>
    <row r="91" spans="1:13" ht="14.25" thickBot="1">
      <c r="E91" s="373" t="s">
        <v>23</v>
      </c>
      <c r="F91" s="374"/>
      <c r="G91" s="172" t="s">
        <v>309</v>
      </c>
      <c r="H91" s="172" t="s">
        <v>27</v>
      </c>
    </row>
    <row r="92" spans="1:13" ht="14.25" thickTop="1">
      <c r="E92" s="52" t="s">
        <v>310</v>
      </c>
      <c r="F92" s="53"/>
      <c r="G92" s="7">
        <f>C87</f>
        <v>450000</v>
      </c>
      <c r="H92" s="9">
        <f t="shared" ref="H92:H108" si="11">G92/$G$109</f>
        <v>0.20822728327407106</v>
      </c>
    </row>
    <row r="93" spans="1:13">
      <c r="E93" s="54" t="s">
        <v>311</v>
      </c>
      <c r="F93" s="55"/>
      <c r="G93" s="7">
        <f>C88</f>
        <v>80000</v>
      </c>
      <c r="H93" s="9">
        <f t="shared" si="11"/>
        <v>3.7018183693168186E-2</v>
      </c>
    </row>
    <row r="94" spans="1:13">
      <c r="E94" s="5" t="s">
        <v>484</v>
      </c>
      <c r="F94" s="5" t="s">
        <v>4</v>
      </c>
      <c r="G94" s="8">
        <f>C8</f>
        <v>1448646.5</v>
      </c>
      <c r="H94" s="9">
        <f t="shared" si="11"/>
        <v>0.67032827804331463</v>
      </c>
    </row>
    <row r="95" spans="1:13">
      <c r="E95" s="16" t="s">
        <v>483</v>
      </c>
      <c r="F95" s="16" t="s">
        <v>5</v>
      </c>
      <c r="G95" s="8">
        <f>C27</f>
        <v>22570</v>
      </c>
      <c r="H95" s="9">
        <f t="shared" si="11"/>
        <v>1.0443755074435075E-2</v>
      </c>
    </row>
    <row r="96" spans="1:13">
      <c r="E96" s="5" t="s">
        <v>482</v>
      </c>
      <c r="F96" s="16" t="s">
        <v>6</v>
      </c>
      <c r="G96" s="8">
        <f>C30</f>
        <v>36992.5</v>
      </c>
      <c r="H96" s="9">
        <f t="shared" si="11"/>
        <v>1.7117439503369053E-2</v>
      </c>
    </row>
    <row r="97" spans="5:9">
      <c r="E97" s="16" t="s">
        <v>481</v>
      </c>
      <c r="F97" s="16" t="s">
        <v>7</v>
      </c>
      <c r="G97" s="8">
        <f>C39</f>
        <v>500.63999999999993</v>
      </c>
      <c r="H97" s="9">
        <f t="shared" si="11"/>
        <v>2.3165979355184649E-4</v>
      </c>
    </row>
    <row r="98" spans="5:9">
      <c r="E98" s="5" t="s">
        <v>480</v>
      </c>
      <c r="F98" s="154" t="s">
        <v>8</v>
      </c>
      <c r="G98" s="8">
        <f>C42</f>
        <v>6524.4679999999998</v>
      </c>
      <c r="H98" s="9">
        <f t="shared" si="11"/>
        <v>3.0190494365524706E-3</v>
      </c>
    </row>
    <row r="99" spans="5:9">
      <c r="E99" s="5" t="s">
        <v>133</v>
      </c>
      <c r="F99" s="16" t="s">
        <v>9</v>
      </c>
      <c r="G99" s="8">
        <f>C51</f>
        <v>2709</v>
      </c>
      <c r="H99" s="9">
        <f t="shared" si="11"/>
        <v>1.2535282453099079E-3</v>
      </c>
    </row>
    <row r="100" spans="5:9">
      <c r="E100" s="16" t="s">
        <v>134</v>
      </c>
      <c r="F100" s="16" t="s">
        <v>10</v>
      </c>
      <c r="G100" s="8">
        <f>C55</f>
        <v>58534.383301707778</v>
      </c>
      <c r="H100" s="9">
        <f t="shared" si="11"/>
        <v>2.708545691786169E-2</v>
      </c>
    </row>
    <row r="101" spans="5:9">
      <c r="E101" s="5" t="s">
        <v>135</v>
      </c>
      <c r="F101" s="16" t="s">
        <v>11</v>
      </c>
      <c r="G101" s="8">
        <f>C59</f>
        <v>12.875</v>
      </c>
      <c r="H101" s="9">
        <f t="shared" si="11"/>
        <v>5.9576139381192553E-6</v>
      </c>
    </row>
    <row r="102" spans="5:9">
      <c r="E102" s="16" t="s">
        <v>136</v>
      </c>
      <c r="F102" s="16" t="s">
        <v>12</v>
      </c>
      <c r="G102" s="8">
        <v>0</v>
      </c>
      <c r="H102" s="9">
        <f t="shared" si="11"/>
        <v>0</v>
      </c>
    </row>
    <row r="103" spans="5:9">
      <c r="E103" s="5" t="s">
        <v>137</v>
      </c>
      <c r="F103" s="16" t="s">
        <v>13</v>
      </c>
      <c r="G103" s="28">
        <v>0</v>
      </c>
      <c r="H103" s="9">
        <f t="shared" si="11"/>
        <v>0</v>
      </c>
    </row>
    <row r="104" spans="5:9">
      <c r="E104" s="5" t="s">
        <v>138</v>
      </c>
      <c r="F104" s="12" t="s">
        <v>14</v>
      </c>
      <c r="G104" s="8">
        <v>0</v>
      </c>
      <c r="H104" s="9">
        <f t="shared" si="11"/>
        <v>0</v>
      </c>
    </row>
    <row r="105" spans="5:9">
      <c r="E105" s="16" t="s">
        <v>139</v>
      </c>
      <c r="F105" s="16" t="s">
        <v>15</v>
      </c>
      <c r="G105" s="8">
        <f>C65</f>
        <v>111.3</v>
      </c>
      <c r="H105" s="9">
        <f t="shared" si="11"/>
        <v>5.1501548063120237E-5</v>
      </c>
    </row>
    <row r="106" spans="5:9">
      <c r="E106" s="5" t="s">
        <v>140</v>
      </c>
      <c r="F106" s="19" t="s">
        <v>2</v>
      </c>
      <c r="G106" s="8">
        <f>C68</f>
        <v>50000</v>
      </c>
      <c r="H106" s="9">
        <f t="shared" si="11"/>
        <v>2.3136364808230118E-2</v>
      </c>
    </row>
    <row r="107" spans="5:9">
      <c r="E107" s="16" t="s">
        <v>141</v>
      </c>
      <c r="F107" s="16" t="s">
        <v>479</v>
      </c>
      <c r="G107" s="28">
        <v>0</v>
      </c>
      <c r="H107" s="9">
        <f t="shared" si="11"/>
        <v>0</v>
      </c>
    </row>
    <row r="108" spans="5:9" ht="14.25" thickBot="1">
      <c r="E108" s="5" t="s">
        <v>142</v>
      </c>
      <c r="F108" s="80" t="s">
        <v>1</v>
      </c>
      <c r="G108" s="6">
        <f>C71</f>
        <v>4498.4207013243349</v>
      </c>
      <c r="H108" s="81">
        <f t="shared" si="11"/>
        <v>2.0815420481346838E-3</v>
      </c>
    </row>
    <row r="109" spans="5:9" ht="14.25" thickTop="1">
      <c r="E109" s="375" t="s">
        <v>18</v>
      </c>
      <c r="F109" s="376"/>
      <c r="G109" s="7">
        <f>SUM(G92:G108)</f>
        <v>2161100.0870030322</v>
      </c>
      <c r="H109" s="9">
        <f>G109/G109</f>
        <v>1</v>
      </c>
      <c r="I109" s="51"/>
    </row>
  </sheetData>
  <mergeCells count="30">
    <mergeCell ref="E91:F91"/>
    <mergeCell ref="E109:F109"/>
    <mergeCell ref="C70:M70"/>
    <mergeCell ref="A43:B50"/>
    <mergeCell ref="A56:B58"/>
    <mergeCell ref="A52:B54"/>
    <mergeCell ref="A87:B87"/>
    <mergeCell ref="A88:B88"/>
    <mergeCell ref="A89:B89"/>
    <mergeCell ref="A72:B83"/>
    <mergeCell ref="A86:B86"/>
    <mergeCell ref="C64:M64"/>
    <mergeCell ref="A66:B67"/>
    <mergeCell ref="M43:M48"/>
    <mergeCell ref="A85:B85"/>
    <mergeCell ref="A69:B69"/>
    <mergeCell ref="M6:M7"/>
    <mergeCell ref="A6:B7"/>
    <mergeCell ref="C6:C7"/>
    <mergeCell ref="D6:E6"/>
    <mergeCell ref="F6:F7"/>
    <mergeCell ref="J6:L6"/>
    <mergeCell ref="G6:I6"/>
    <mergeCell ref="A40:B41"/>
    <mergeCell ref="A9:B26"/>
    <mergeCell ref="C62:M62"/>
    <mergeCell ref="C63:M63"/>
    <mergeCell ref="A31:B38"/>
    <mergeCell ref="A28:B29"/>
    <mergeCell ref="A60:B61"/>
  </mergeCells>
  <phoneticPr fontId="3"/>
  <pageMargins left="0.70866141732283472" right="0.70866141732283472" top="0.74803149606299213" bottom="0.74803149606299213" header="0.31496062992125984" footer="0.31496062992125984"/>
  <pageSetup paperSize="8" scale="55" fitToHeight="2" orientation="landscape" r:id="rId1"/>
  <rowBreaks count="1" manualBreakCount="1">
    <brk id="58"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23"/>
  <sheetViews>
    <sheetView view="pageBreakPreview" zoomScale="80" zoomScaleNormal="85" zoomScaleSheetLayoutView="80" workbookViewId="0">
      <pane ySplit="7" topLeftCell="A8" activePane="bottomLeft" state="frozen"/>
      <selection pane="bottomLeft"/>
    </sheetView>
  </sheetViews>
  <sheetFormatPr defaultRowHeight="13.5"/>
  <cols>
    <col min="1" max="1" width="3.5" style="130" bestFit="1" customWidth="1"/>
    <col min="2" max="2" width="29.875" style="130" customWidth="1"/>
    <col min="3" max="3" width="10.875" style="3" customWidth="1"/>
    <col min="4" max="4" width="7.875" style="4" bestFit="1" customWidth="1"/>
    <col min="5" max="5" width="9.875" style="4" bestFit="1" customWidth="1"/>
    <col min="6" max="6" width="24.75" style="1" customWidth="1"/>
    <col min="7" max="7" width="13.125" style="1" customWidth="1"/>
    <col min="8" max="8" width="13.125" style="130" customWidth="1"/>
    <col min="9" max="9" width="40" style="130" customWidth="1"/>
    <col min="10" max="11" width="13.125" style="130" customWidth="1"/>
    <col min="12" max="12" width="40" style="130" customWidth="1"/>
    <col min="13" max="13" width="65.75" style="1" customWidth="1"/>
    <col min="14" max="16384" width="9" style="130"/>
  </cols>
  <sheetData>
    <row r="2" spans="1:13">
      <c r="B2" s="130" t="s">
        <v>603</v>
      </c>
    </row>
    <row r="3" spans="1:13">
      <c r="B3" s="130" t="s">
        <v>602</v>
      </c>
    </row>
    <row r="5" spans="1:13" ht="14.25" thickBot="1"/>
    <row r="6" spans="1:13" ht="14.25" thickBot="1">
      <c r="A6" s="412" t="s">
        <v>48</v>
      </c>
      <c r="B6" s="412"/>
      <c r="C6" s="413" t="s">
        <v>49</v>
      </c>
      <c r="D6" s="415" t="s">
        <v>121</v>
      </c>
      <c r="E6" s="415"/>
      <c r="F6" s="416" t="s">
        <v>16</v>
      </c>
      <c r="G6" s="417" t="s">
        <v>50</v>
      </c>
      <c r="H6" s="418"/>
      <c r="I6" s="419"/>
      <c r="J6" s="412" t="s">
        <v>51</v>
      </c>
      <c r="K6" s="412"/>
      <c r="L6" s="412"/>
      <c r="M6" s="410" t="s">
        <v>43</v>
      </c>
    </row>
    <row r="7" spans="1:13" s="2" customFormat="1" ht="14.25" thickBot="1">
      <c r="A7" s="412"/>
      <c r="B7" s="412"/>
      <c r="C7" s="414"/>
      <c r="D7" s="90" t="s">
        <v>52</v>
      </c>
      <c r="E7" s="90" t="s">
        <v>53</v>
      </c>
      <c r="F7" s="416"/>
      <c r="G7" s="91" t="s">
        <v>54</v>
      </c>
      <c r="H7" s="92" t="s">
        <v>55</v>
      </c>
      <c r="I7" s="92" t="s">
        <v>56</v>
      </c>
      <c r="J7" s="92" t="s">
        <v>57</v>
      </c>
      <c r="K7" s="92" t="s">
        <v>55</v>
      </c>
      <c r="L7" s="169" t="s">
        <v>56</v>
      </c>
      <c r="M7" s="411"/>
    </row>
    <row r="8" spans="1:13" ht="18.75" customHeight="1">
      <c r="A8" s="89">
        <v>1</v>
      </c>
      <c r="B8" s="68" t="s">
        <v>4</v>
      </c>
      <c r="C8" s="65">
        <f>SUM(C9:C24)</f>
        <v>203727</v>
      </c>
      <c r="D8" s="36">
        <f t="shared" ref="D8:D39" si="0">+C8/$C$100</f>
        <v>0.3207147786233529</v>
      </c>
      <c r="E8" s="36">
        <f t="shared" ref="E8:E39" si="1">+C8/$C$103</f>
        <v>0.31235550636065751</v>
      </c>
      <c r="F8" s="24"/>
      <c r="G8" s="24"/>
      <c r="H8" s="35"/>
      <c r="I8" s="35"/>
      <c r="J8" s="35"/>
      <c r="K8" s="35"/>
      <c r="L8" s="35"/>
      <c r="M8" s="56"/>
    </row>
    <row r="9" spans="1:13" s="146" customFormat="1" ht="18.75" customHeight="1">
      <c r="A9" s="386" t="s">
        <v>104</v>
      </c>
      <c r="B9" s="387"/>
      <c r="C9" s="125">
        <f t="shared" ref="C9:C24" si="2">+G9*J9</f>
        <v>31460</v>
      </c>
      <c r="D9" s="124">
        <f t="shared" si="0"/>
        <v>4.9525526491288253E-2</v>
      </c>
      <c r="E9" s="124">
        <f t="shared" si="1"/>
        <v>4.8234668110296065E-2</v>
      </c>
      <c r="F9" s="131" t="s">
        <v>601</v>
      </c>
      <c r="G9" s="37">
        <v>5200</v>
      </c>
      <c r="H9" s="131" t="s">
        <v>156</v>
      </c>
      <c r="I9" s="31" t="s">
        <v>67</v>
      </c>
      <c r="J9" s="230">
        <v>6.05</v>
      </c>
      <c r="K9" s="229" t="s">
        <v>59</v>
      </c>
      <c r="L9" s="147" t="s">
        <v>600</v>
      </c>
      <c r="M9" s="177"/>
    </row>
    <row r="10" spans="1:13" s="146" customFormat="1" ht="18.75" customHeight="1">
      <c r="A10" s="388"/>
      <c r="B10" s="389"/>
      <c r="C10" s="125">
        <f t="shared" si="2"/>
        <v>6060</v>
      </c>
      <c r="D10" s="124">
        <f t="shared" si="0"/>
        <v>9.5398820895488505E-3</v>
      </c>
      <c r="E10" s="124">
        <f t="shared" si="1"/>
        <v>9.291229775854868E-3</v>
      </c>
      <c r="F10" s="131" t="s">
        <v>599</v>
      </c>
      <c r="G10" s="37">
        <v>1000</v>
      </c>
      <c r="H10" s="131" t="s">
        <v>156</v>
      </c>
      <c r="I10" s="31" t="s">
        <v>67</v>
      </c>
      <c r="J10" s="230">
        <v>6.06</v>
      </c>
      <c r="K10" s="229" t="s">
        <v>59</v>
      </c>
      <c r="L10" s="147" t="s">
        <v>598</v>
      </c>
      <c r="M10" s="177"/>
    </row>
    <row r="11" spans="1:13" s="146" customFormat="1" ht="18.75" customHeight="1">
      <c r="A11" s="388"/>
      <c r="B11" s="389"/>
      <c r="C11" s="125">
        <f t="shared" si="2"/>
        <v>1212</v>
      </c>
      <c r="D11" s="124">
        <f t="shared" si="0"/>
        <v>1.90797641790977E-3</v>
      </c>
      <c r="E11" s="124">
        <f t="shared" si="1"/>
        <v>1.8582459551709735E-3</v>
      </c>
      <c r="F11" s="131" t="s">
        <v>597</v>
      </c>
      <c r="G11" s="37">
        <v>200</v>
      </c>
      <c r="H11" s="131" t="s">
        <v>156</v>
      </c>
      <c r="I11" s="31" t="s">
        <v>67</v>
      </c>
      <c r="J11" s="230">
        <v>6.06</v>
      </c>
      <c r="K11" s="229" t="s">
        <v>59</v>
      </c>
      <c r="L11" s="147" t="s">
        <v>596</v>
      </c>
      <c r="M11" s="177"/>
    </row>
    <row r="12" spans="1:13" s="146" customFormat="1" ht="18.75" customHeight="1">
      <c r="A12" s="388"/>
      <c r="B12" s="389"/>
      <c r="C12" s="125">
        <f t="shared" si="2"/>
        <v>6971.9999999999991</v>
      </c>
      <c r="D12" s="124">
        <f t="shared" si="0"/>
        <v>1.0975587116886893E-2</v>
      </c>
      <c r="E12" s="124">
        <f t="shared" si="1"/>
        <v>1.0689513860934014E-2</v>
      </c>
      <c r="F12" s="131" t="s">
        <v>335</v>
      </c>
      <c r="G12" s="133">
        <v>1200</v>
      </c>
      <c r="H12" s="131" t="s">
        <v>156</v>
      </c>
      <c r="I12" s="31" t="s">
        <v>67</v>
      </c>
      <c r="J12" s="230">
        <v>5.81</v>
      </c>
      <c r="K12" s="229" t="s">
        <v>59</v>
      </c>
      <c r="L12" s="147" t="s">
        <v>595</v>
      </c>
      <c r="M12" s="177"/>
    </row>
    <row r="13" spans="1:13" s="146" customFormat="1" ht="18.75" customHeight="1">
      <c r="A13" s="388"/>
      <c r="B13" s="389"/>
      <c r="C13" s="125">
        <f t="shared" si="2"/>
        <v>4560</v>
      </c>
      <c r="D13" s="124">
        <f t="shared" si="0"/>
        <v>7.1785251366902241E-3</v>
      </c>
      <c r="E13" s="124">
        <f t="shared" si="1"/>
        <v>6.991420425395742E-3</v>
      </c>
      <c r="F13" s="131" t="s">
        <v>594</v>
      </c>
      <c r="G13" s="133">
        <v>800</v>
      </c>
      <c r="H13" s="131" t="s">
        <v>64</v>
      </c>
      <c r="I13" s="31" t="s">
        <v>67</v>
      </c>
      <c r="J13" s="230">
        <v>5.7</v>
      </c>
      <c r="K13" s="229" t="s">
        <v>59</v>
      </c>
      <c r="L13" s="147" t="s">
        <v>593</v>
      </c>
      <c r="M13" s="177"/>
    </row>
    <row r="14" spans="1:13" ht="18.75" customHeight="1">
      <c r="A14" s="388"/>
      <c r="B14" s="389"/>
      <c r="C14" s="125">
        <f t="shared" si="2"/>
        <v>40950</v>
      </c>
      <c r="D14" s="124">
        <f t="shared" si="0"/>
        <v>6.4465044813040495E-2</v>
      </c>
      <c r="E14" s="124">
        <f t="shared" si="1"/>
        <v>6.2784795267534124E-2</v>
      </c>
      <c r="F14" s="131" t="s">
        <v>592</v>
      </c>
      <c r="G14" s="37">
        <v>1500</v>
      </c>
      <c r="H14" s="131" t="s">
        <v>156</v>
      </c>
      <c r="I14" s="31" t="s">
        <v>67</v>
      </c>
      <c r="J14" s="230">
        <v>27.3</v>
      </c>
      <c r="K14" s="229" t="s">
        <v>59</v>
      </c>
      <c r="L14" s="147" t="s">
        <v>591</v>
      </c>
      <c r="M14" s="177"/>
    </row>
    <row r="15" spans="1:13" ht="18.75" customHeight="1">
      <c r="A15" s="388"/>
      <c r="B15" s="389"/>
      <c r="C15" s="125">
        <f t="shared" si="2"/>
        <v>26125</v>
      </c>
      <c r="D15" s="124">
        <f t="shared" si="0"/>
        <v>4.1126966928954407E-2</v>
      </c>
      <c r="E15" s="124">
        <f t="shared" si="1"/>
        <v>4.0055012853829772E-2</v>
      </c>
      <c r="F15" s="131" t="s">
        <v>590</v>
      </c>
      <c r="G15" s="37">
        <v>2500</v>
      </c>
      <c r="H15" s="131" t="s">
        <v>156</v>
      </c>
      <c r="I15" s="31" t="s">
        <v>67</v>
      </c>
      <c r="J15" s="230">
        <v>10.45</v>
      </c>
      <c r="K15" s="229" t="s">
        <v>59</v>
      </c>
      <c r="L15" s="147" t="s">
        <v>588</v>
      </c>
      <c r="M15" s="170"/>
    </row>
    <row r="16" spans="1:13" ht="18.75" customHeight="1">
      <c r="A16" s="388"/>
      <c r="B16" s="389"/>
      <c r="C16" s="125">
        <f t="shared" si="2"/>
        <v>10450</v>
      </c>
      <c r="D16" s="124">
        <f t="shared" si="0"/>
        <v>1.6450786771581762E-2</v>
      </c>
      <c r="E16" s="124">
        <f t="shared" si="1"/>
        <v>1.602200514153191E-2</v>
      </c>
      <c r="F16" s="131" t="s">
        <v>589</v>
      </c>
      <c r="G16" s="37">
        <v>1000</v>
      </c>
      <c r="H16" s="131" t="s">
        <v>156</v>
      </c>
      <c r="I16" s="31" t="s">
        <v>67</v>
      </c>
      <c r="J16" s="230">
        <v>10.45</v>
      </c>
      <c r="K16" s="229" t="s">
        <v>59</v>
      </c>
      <c r="L16" s="147" t="s">
        <v>588</v>
      </c>
      <c r="M16" s="170"/>
    </row>
    <row r="17" spans="1:13" ht="18.75" customHeight="1">
      <c r="A17" s="388"/>
      <c r="B17" s="389"/>
      <c r="C17" s="125">
        <f t="shared" si="2"/>
        <v>18760</v>
      </c>
      <c r="D17" s="124">
        <f t="shared" si="0"/>
        <v>2.9532704290418554E-2</v>
      </c>
      <c r="E17" s="124">
        <f t="shared" si="1"/>
        <v>2.8762948943075465E-2</v>
      </c>
      <c r="F17" s="131" t="s">
        <v>587</v>
      </c>
      <c r="G17" s="37">
        <v>700</v>
      </c>
      <c r="H17" s="131" t="s">
        <v>156</v>
      </c>
      <c r="I17" s="31" t="s">
        <v>67</v>
      </c>
      <c r="J17" s="230">
        <v>26.8</v>
      </c>
      <c r="K17" s="229" t="s">
        <v>59</v>
      </c>
      <c r="L17" s="147" t="s">
        <v>586</v>
      </c>
      <c r="M17" s="170"/>
    </row>
    <row r="18" spans="1:13" ht="18.75" customHeight="1">
      <c r="A18" s="388"/>
      <c r="B18" s="389"/>
      <c r="C18" s="125">
        <f t="shared" si="2"/>
        <v>5244</v>
      </c>
      <c r="D18" s="124">
        <f t="shared" si="0"/>
        <v>8.2553039071937579E-3</v>
      </c>
      <c r="E18" s="124">
        <f t="shared" si="1"/>
        <v>8.0401334892051032E-3</v>
      </c>
      <c r="F18" s="131" t="s">
        <v>585</v>
      </c>
      <c r="G18" s="37">
        <v>600</v>
      </c>
      <c r="H18" s="131" t="s">
        <v>156</v>
      </c>
      <c r="I18" s="31" t="s">
        <v>67</v>
      </c>
      <c r="J18" s="230">
        <v>8.74</v>
      </c>
      <c r="K18" s="229" t="s">
        <v>59</v>
      </c>
      <c r="L18" s="147" t="s">
        <v>584</v>
      </c>
      <c r="M18" s="170"/>
    </row>
    <row r="19" spans="1:13" ht="18.75" customHeight="1">
      <c r="A19" s="388"/>
      <c r="B19" s="389"/>
      <c r="C19" s="125">
        <f t="shared" si="2"/>
        <v>6320</v>
      </c>
      <c r="D19" s="124">
        <f t="shared" si="0"/>
        <v>9.9491839613776792E-3</v>
      </c>
      <c r="E19" s="124">
        <f t="shared" si="1"/>
        <v>9.6898633966011165E-3</v>
      </c>
      <c r="F19" s="131" t="s">
        <v>583</v>
      </c>
      <c r="G19" s="37">
        <v>1000</v>
      </c>
      <c r="H19" s="131" t="s">
        <v>156</v>
      </c>
      <c r="I19" s="31" t="s">
        <v>67</v>
      </c>
      <c r="J19" s="178">
        <v>6.32</v>
      </c>
      <c r="K19" s="229" t="s">
        <v>59</v>
      </c>
      <c r="L19" s="147" t="s">
        <v>581</v>
      </c>
      <c r="M19" s="170"/>
    </row>
    <row r="20" spans="1:13" ht="18.75" customHeight="1">
      <c r="A20" s="388"/>
      <c r="B20" s="389"/>
      <c r="C20" s="125">
        <f t="shared" si="2"/>
        <v>9480</v>
      </c>
      <c r="D20" s="124">
        <f t="shared" si="0"/>
        <v>1.4923775942066519E-2</v>
      </c>
      <c r="E20" s="124">
        <f t="shared" si="1"/>
        <v>1.4534795094901675E-2</v>
      </c>
      <c r="F20" s="131" t="s">
        <v>582</v>
      </c>
      <c r="G20" s="37">
        <v>1500</v>
      </c>
      <c r="H20" s="131" t="s">
        <v>156</v>
      </c>
      <c r="I20" s="31" t="s">
        <v>67</v>
      </c>
      <c r="J20" s="178">
        <v>6.32</v>
      </c>
      <c r="K20" s="229" t="s">
        <v>59</v>
      </c>
      <c r="L20" s="147" t="s">
        <v>581</v>
      </c>
      <c r="M20" s="170"/>
    </row>
    <row r="21" spans="1:13" ht="18.75" customHeight="1">
      <c r="A21" s="388"/>
      <c r="B21" s="389"/>
      <c r="C21" s="125">
        <f t="shared" si="2"/>
        <v>33920</v>
      </c>
      <c r="D21" s="124">
        <f t="shared" si="0"/>
        <v>5.3398151893976405E-2</v>
      </c>
      <c r="E21" s="124">
        <f t="shared" si="1"/>
        <v>5.200635544504903E-2</v>
      </c>
      <c r="F21" s="131" t="s">
        <v>580</v>
      </c>
      <c r="G21" s="37">
        <v>8000</v>
      </c>
      <c r="H21" s="131" t="s">
        <v>156</v>
      </c>
      <c r="I21" s="31" t="s">
        <v>67</v>
      </c>
      <c r="J21" s="192">
        <v>4.24</v>
      </c>
      <c r="K21" s="229" t="s">
        <v>59</v>
      </c>
      <c r="L21" s="147" t="s">
        <v>579</v>
      </c>
      <c r="M21" s="170" t="s">
        <v>578</v>
      </c>
    </row>
    <row r="22" spans="1:13" ht="18.75" customHeight="1">
      <c r="A22" s="388"/>
      <c r="B22" s="389"/>
      <c r="C22" s="125">
        <f t="shared" si="2"/>
        <v>1545</v>
      </c>
      <c r="D22" s="124">
        <f t="shared" si="0"/>
        <v>2.432197661444385E-3</v>
      </c>
      <c r="E22" s="124">
        <f t="shared" si="1"/>
        <v>2.3688036309728994E-3</v>
      </c>
      <c r="F22" s="136" t="s">
        <v>62</v>
      </c>
      <c r="G22" s="136">
        <v>100</v>
      </c>
      <c r="H22" s="111" t="s">
        <v>64</v>
      </c>
      <c r="I22" s="31" t="s">
        <v>67</v>
      </c>
      <c r="J22" s="31">
        <v>15.45</v>
      </c>
      <c r="K22" s="196" t="s">
        <v>59</v>
      </c>
      <c r="L22" s="30" t="s">
        <v>74</v>
      </c>
      <c r="M22" s="177"/>
    </row>
    <row r="23" spans="1:13" ht="18.75" customHeight="1">
      <c r="A23" s="388"/>
      <c r="B23" s="389"/>
      <c r="C23" s="125">
        <f t="shared" si="2"/>
        <v>324</v>
      </c>
      <c r="D23" s="124">
        <f t="shared" si="0"/>
        <v>5.1005310181746332E-4</v>
      </c>
      <c r="E23" s="124">
        <f t="shared" si="1"/>
        <v>4.9675881969917109E-4</v>
      </c>
      <c r="F23" s="136" t="s">
        <v>66</v>
      </c>
      <c r="G23" s="136">
        <v>60</v>
      </c>
      <c r="H23" s="111" t="s">
        <v>64</v>
      </c>
      <c r="I23" s="31" t="s">
        <v>67</v>
      </c>
      <c r="J23" s="31">
        <v>5.4</v>
      </c>
      <c r="K23" s="196" t="s">
        <v>59</v>
      </c>
      <c r="L23" s="30" t="s">
        <v>73</v>
      </c>
      <c r="M23" s="177"/>
    </row>
    <row r="24" spans="1:13" ht="18.75" customHeight="1">
      <c r="A24" s="388"/>
      <c r="B24" s="389"/>
      <c r="C24" s="125">
        <f t="shared" si="2"/>
        <v>345</v>
      </c>
      <c r="D24" s="124">
        <f t="shared" si="0"/>
        <v>5.4311209915748409E-4</v>
      </c>
      <c r="E24" s="124">
        <f t="shared" si="1"/>
        <v>5.2895615060559887E-4</v>
      </c>
      <c r="F24" s="39" t="s">
        <v>577</v>
      </c>
      <c r="G24" s="40">
        <v>150</v>
      </c>
      <c r="H24" s="112" t="s">
        <v>64</v>
      </c>
      <c r="I24" s="31" t="s">
        <v>67</v>
      </c>
      <c r="J24" s="22">
        <v>2.2999999999999998</v>
      </c>
      <c r="K24" s="196" t="s">
        <v>59</v>
      </c>
      <c r="L24" s="30" t="s">
        <v>63</v>
      </c>
      <c r="M24" s="177"/>
    </row>
    <row r="25" spans="1:13" s="146" customFormat="1" ht="18.75" customHeight="1">
      <c r="A25" s="60">
        <v>2</v>
      </c>
      <c r="B25" s="69" t="s">
        <v>5</v>
      </c>
      <c r="C25" s="93">
        <f>SUM(C26:C29)</f>
        <v>25650</v>
      </c>
      <c r="D25" s="42">
        <f t="shared" si="0"/>
        <v>4.0379203893882512E-2</v>
      </c>
      <c r="E25" s="42">
        <f t="shared" si="1"/>
        <v>3.9326739892851049E-2</v>
      </c>
      <c r="F25" s="94"/>
      <c r="G25" s="95"/>
      <c r="H25" s="95"/>
      <c r="I25" s="95"/>
      <c r="J25" s="95"/>
      <c r="K25" s="95"/>
      <c r="L25" s="95"/>
      <c r="M25" s="175"/>
    </row>
    <row r="26" spans="1:13" s="146" customFormat="1" ht="18.75" customHeight="1">
      <c r="A26" s="386" t="s">
        <v>104</v>
      </c>
      <c r="B26" s="387"/>
      <c r="C26" s="123">
        <f>+G26*J26</f>
        <v>5085</v>
      </c>
      <c r="D26" s="118">
        <f t="shared" si="0"/>
        <v>8.0050000701907438E-3</v>
      </c>
      <c r="E26" s="118">
        <f t="shared" si="1"/>
        <v>7.7963536980564362E-3</v>
      </c>
      <c r="F26" s="134" t="s">
        <v>576</v>
      </c>
      <c r="G26" s="100">
        <v>1500</v>
      </c>
      <c r="H26" s="22" t="s">
        <v>575</v>
      </c>
      <c r="I26" s="22" t="s">
        <v>568</v>
      </c>
      <c r="J26" s="134">
        <v>3.39</v>
      </c>
      <c r="K26" s="225" t="s">
        <v>574</v>
      </c>
      <c r="L26" s="138" t="s">
        <v>573</v>
      </c>
      <c r="M26" s="177"/>
    </row>
    <row r="27" spans="1:13" s="146" customFormat="1" ht="18.75" customHeight="1">
      <c r="A27" s="388"/>
      <c r="B27" s="389"/>
      <c r="C27" s="123">
        <f>+G27*J27</f>
        <v>15435</v>
      </c>
      <c r="D27" s="118">
        <f t="shared" si="0"/>
        <v>2.4298363044915266E-2</v>
      </c>
      <c r="E27" s="118">
        <f t="shared" si="1"/>
        <v>2.3665038216224402E-2</v>
      </c>
      <c r="F27" s="224" t="s">
        <v>572</v>
      </c>
      <c r="G27" s="227">
        <v>4500</v>
      </c>
      <c r="H27" s="22" t="s">
        <v>569</v>
      </c>
      <c r="I27" s="22" t="s">
        <v>568</v>
      </c>
      <c r="J27" s="224">
        <v>3.43</v>
      </c>
      <c r="K27" s="228" t="s">
        <v>250</v>
      </c>
      <c r="L27" s="138" t="s">
        <v>571</v>
      </c>
      <c r="M27" s="177"/>
    </row>
    <row r="28" spans="1:13" s="146" customFormat="1" ht="18.75" customHeight="1">
      <c r="A28" s="388"/>
      <c r="B28" s="389"/>
      <c r="C28" s="123">
        <f>+G28*J28</f>
        <v>5130</v>
      </c>
      <c r="D28" s="118">
        <f t="shared" si="0"/>
        <v>8.0758407787765024E-3</v>
      </c>
      <c r="E28" s="118">
        <f t="shared" si="1"/>
        <v>7.8653479785702092E-3</v>
      </c>
      <c r="F28" s="224" t="s">
        <v>570</v>
      </c>
      <c r="G28" s="227">
        <v>1500</v>
      </c>
      <c r="H28" s="226" t="s">
        <v>569</v>
      </c>
      <c r="I28" s="22" t="s">
        <v>568</v>
      </c>
      <c r="J28" s="224">
        <v>3.42</v>
      </c>
      <c r="K28" s="225" t="s">
        <v>203</v>
      </c>
      <c r="L28" s="138" t="s">
        <v>567</v>
      </c>
      <c r="M28" s="177"/>
    </row>
    <row r="29" spans="1:13" s="146" customFormat="1" ht="30" customHeight="1">
      <c r="A29" s="390"/>
      <c r="B29" s="391"/>
      <c r="C29" s="123">
        <f>+G29*J29</f>
        <v>0</v>
      </c>
      <c r="D29" s="118">
        <f t="shared" si="0"/>
        <v>0</v>
      </c>
      <c r="E29" s="118">
        <f t="shared" si="1"/>
        <v>0</v>
      </c>
      <c r="F29" s="224" t="s">
        <v>566</v>
      </c>
      <c r="G29" s="223"/>
      <c r="H29" s="221"/>
      <c r="I29" s="221"/>
      <c r="J29" s="222"/>
      <c r="K29" s="221"/>
      <c r="L29" s="138"/>
      <c r="M29" s="177" t="s">
        <v>565</v>
      </c>
    </row>
    <row r="30" spans="1:13" s="137" customFormat="1" ht="18.75" customHeight="1">
      <c r="A30" s="85">
        <v>3</v>
      </c>
      <c r="B30" s="70" t="s">
        <v>6</v>
      </c>
      <c r="C30" s="66">
        <f>SUM(C31:C37)</f>
        <v>19525.100000000002</v>
      </c>
      <c r="D30" s="43">
        <f t="shared" si="0"/>
        <v>3.0737153760173313E-2</v>
      </c>
      <c r="E30" s="43">
        <f t="shared" si="1"/>
        <v>2.9936005032432985E-2</v>
      </c>
      <c r="F30" s="25"/>
      <c r="G30" s="25"/>
      <c r="H30" s="44"/>
      <c r="I30" s="44"/>
      <c r="J30" s="25"/>
      <c r="K30" s="44"/>
      <c r="L30" s="44"/>
      <c r="M30" s="57"/>
    </row>
    <row r="31" spans="1:13" s="137" customFormat="1" ht="18.75" customHeight="1">
      <c r="A31" s="431" t="s">
        <v>104</v>
      </c>
      <c r="B31" s="432"/>
      <c r="C31" s="117">
        <f t="shared" ref="C31:C37" si="3">+G31*J31</f>
        <v>548.80000000000007</v>
      </c>
      <c r="D31" s="116">
        <f t="shared" si="0"/>
        <v>8.6394179715254288E-4</v>
      </c>
      <c r="E31" s="116">
        <f t="shared" si="1"/>
        <v>8.4142358102131222E-4</v>
      </c>
      <c r="F31" s="141" t="s">
        <v>178</v>
      </c>
      <c r="G31" s="33">
        <v>1600</v>
      </c>
      <c r="H31" s="156" t="s">
        <v>561</v>
      </c>
      <c r="I31" s="156" t="s">
        <v>553</v>
      </c>
      <c r="J31" s="181">
        <v>0.34300000000000003</v>
      </c>
      <c r="K31" s="196" t="s">
        <v>205</v>
      </c>
      <c r="L31" s="141" t="s">
        <v>564</v>
      </c>
      <c r="M31" s="58"/>
    </row>
    <row r="32" spans="1:13" s="137" customFormat="1" ht="18.75" customHeight="1">
      <c r="A32" s="433"/>
      <c r="B32" s="434"/>
      <c r="C32" s="117">
        <f t="shared" si="3"/>
        <v>72.599999999999994</v>
      </c>
      <c r="D32" s="116">
        <f t="shared" si="0"/>
        <v>1.142896765183575E-4</v>
      </c>
      <c r="E32" s="116">
        <f t="shared" si="1"/>
        <v>1.1131077256222168E-4</v>
      </c>
      <c r="F32" s="141" t="s">
        <v>169</v>
      </c>
      <c r="G32" s="33">
        <v>600</v>
      </c>
      <c r="H32" s="156" t="s">
        <v>561</v>
      </c>
      <c r="I32" s="156" t="s">
        <v>553</v>
      </c>
      <c r="J32" s="181">
        <v>0.121</v>
      </c>
      <c r="K32" s="196" t="s">
        <v>205</v>
      </c>
      <c r="L32" s="141" t="s">
        <v>563</v>
      </c>
      <c r="M32" s="58"/>
    </row>
    <row r="33" spans="1:13" s="137" customFormat="1" ht="18.75" customHeight="1">
      <c r="A33" s="433"/>
      <c r="B33" s="434"/>
      <c r="C33" s="117">
        <f t="shared" si="3"/>
        <v>9120</v>
      </c>
      <c r="D33" s="116">
        <f t="shared" si="0"/>
        <v>1.4357050273380448E-2</v>
      </c>
      <c r="E33" s="116">
        <f t="shared" si="1"/>
        <v>1.3982840850791484E-2</v>
      </c>
      <c r="F33" s="141" t="s">
        <v>172</v>
      </c>
      <c r="G33" s="33">
        <v>60000</v>
      </c>
      <c r="H33" s="156" t="s">
        <v>561</v>
      </c>
      <c r="I33" s="156" t="s">
        <v>553</v>
      </c>
      <c r="J33" s="181">
        <v>0.152</v>
      </c>
      <c r="K33" s="196" t="s">
        <v>205</v>
      </c>
      <c r="L33" s="141" t="s">
        <v>562</v>
      </c>
      <c r="M33" s="58"/>
    </row>
    <row r="34" spans="1:13" s="137" customFormat="1" ht="18.75" customHeight="1">
      <c r="A34" s="433"/>
      <c r="B34" s="434"/>
      <c r="C34" s="117">
        <f t="shared" si="3"/>
        <v>3210</v>
      </c>
      <c r="D34" s="116">
        <f t="shared" si="0"/>
        <v>5.0533038791174606E-3</v>
      </c>
      <c r="E34" s="116">
        <f t="shared" si="1"/>
        <v>4.9215920099825285E-3</v>
      </c>
      <c r="F34" s="141" t="s">
        <v>174</v>
      </c>
      <c r="G34" s="33">
        <v>15000</v>
      </c>
      <c r="H34" s="156" t="s">
        <v>561</v>
      </c>
      <c r="I34" s="156" t="s">
        <v>553</v>
      </c>
      <c r="J34" s="181">
        <v>0.214</v>
      </c>
      <c r="K34" s="196" t="s">
        <v>205</v>
      </c>
      <c r="L34" s="141" t="s">
        <v>560</v>
      </c>
      <c r="M34" s="58"/>
    </row>
    <row r="35" spans="1:13" s="137" customFormat="1" ht="18.75" customHeight="1">
      <c r="A35" s="433"/>
      <c r="B35" s="434"/>
      <c r="C35" s="117">
        <f t="shared" si="3"/>
        <v>3700</v>
      </c>
      <c r="D35" s="116">
        <f t="shared" si="0"/>
        <v>5.8246804837179447E-3</v>
      </c>
      <c r="E35" s="116">
        <f t="shared" si="1"/>
        <v>5.6728630644658435E-3</v>
      </c>
      <c r="F35" s="141" t="s">
        <v>180</v>
      </c>
      <c r="G35" s="33">
        <v>5000</v>
      </c>
      <c r="H35" s="156" t="s">
        <v>559</v>
      </c>
      <c r="I35" s="156" t="s">
        <v>553</v>
      </c>
      <c r="J35" s="181">
        <v>0.74</v>
      </c>
      <c r="K35" s="220" t="s">
        <v>374</v>
      </c>
      <c r="L35" s="141" t="s">
        <v>558</v>
      </c>
      <c r="M35" s="58"/>
    </row>
    <row r="36" spans="1:13" s="137" customFormat="1" ht="18.75" customHeight="1">
      <c r="A36" s="433"/>
      <c r="B36" s="434"/>
      <c r="C36" s="117">
        <f t="shared" si="3"/>
        <v>2832</v>
      </c>
      <c r="D36" s="116">
        <f t="shared" si="0"/>
        <v>4.4582419269970867E-3</v>
      </c>
      <c r="E36" s="116">
        <f t="shared" si="1"/>
        <v>4.3420400536668289E-3</v>
      </c>
      <c r="F36" s="141" t="s">
        <v>376</v>
      </c>
      <c r="G36" s="96">
        <v>80000</v>
      </c>
      <c r="H36" s="156" t="s">
        <v>557</v>
      </c>
      <c r="I36" s="156" t="s">
        <v>553</v>
      </c>
      <c r="J36" s="181">
        <v>3.5400000000000001E-2</v>
      </c>
      <c r="K36" s="220" t="s">
        <v>378</v>
      </c>
      <c r="L36" s="197" t="s">
        <v>556</v>
      </c>
      <c r="M36" s="58"/>
    </row>
    <row r="37" spans="1:13" s="137" customFormat="1" ht="18.75" customHeight="1">
      <c r="A37" s="435"/>
      <c r="B37" s="436"/>
      <c r="C37" s="117">
        <f t="shared" si="3"/>
        <v>41.699999999999996</v>
      </c>
      <c r="D37" s="116">
        <f t="shared" si="0"/>
        <v>6.5645723289469807E-5</v>
      </c>
      <c r="E37" s="116">
        <f t="shared" si="1"/>
        <v>6.393469994276369E-5</v>
      </c>
      <c r="F37" s="141" t="s">
        <v>555</v>
      </c>
      <c r="G37" s="97">
        <v>3000</v>
      </c>
      <c r="H37" s="156" t="s">
        <v>554</v>
      </c>
      <c r="I37" s="156" t="s">
        <v>553</v>
      </c>
      <c r="J37" s="181">
        <v>1.3899999999999999E-2</v>
      </c>
      <c r="K37" s="220" t="s">
        <v>382</v>
      </c>
      <c r="L37" s="198" t="s">
        <v>552</v>
      </c>
      <c r="M37" s="58"/>
    </row>
    <row r="38" spans="1:13" s="146" customFormat="1" ht="18.75" customHeight="1">
      <c r="A38" s="60">
        <v>4</v>
      </c>
      <c r="B38" s="175" t="s">
        <v>7</v>
      </c>
      <c r="C38" s="67">
        <f>SUM(C39:C43)</f>
        <v>63411.555998799995</v>
      </c>
      <c r="D38" s="42">
        <f t="shared" si="0"/>
        <v>9.9824879099566999E-2</v>
      </c>
      <c r="E38" s="42">
        <f t="shared" si="1"/>
        <v>9.7222992942135128E-2</v>
      </c>
      <c r="F38" s="174"/>
      <c r="G38" s="174"/>
      <c r="H38" s="41"/>
      <c r="I38" s="41"/>
      <c r="J38" s="41"/>
      <c r="K38" s="41"/>
      <c r="L38" s="41"/>
      <c r="M38" s="175"/>
    </row>
    <row r="39" spans="1:13" s="146" customFormat="1" ht="30" customHeight="1">
      <c r="A39" s="423" t="s">
        <v>103</v>
      </c>
      <c r="B39" s="424"/>
      <c r="C39" s="122">
        <f>G39-J39</f>
        <v>0</v>
      </c>
      <c r="D39" s="118">
        <f t="shared" si="0"/>
        <v>0</v>
      </c>
      <c r="E39" s="118">
        <f t="shared" si="1"/>
        <v>0</v>
      </c>
      <c r="F39" s="136" t="s">
        <v>551</v>
      </c>
      <c r="G39" s="98">
        <v>60000</v>
      </c>
      <c r="H39" s="31" t="s">
        <v>60</v>
      </c>
      <c r="I39" s="136" t="s">
        <v>550</v>
      </c>
      <c r="J39" s="98">
        <v>60000</v>
      </c>
      <c r="K39" s="31" t="s">
        <v>60</v>
      </c>
      <c r="L39" s="31" t="s">
        <v>125</v>
      </c>
      <c r="M39" s="177" t="s">
        <v>549</v>
      </c>
    </row>
    <row r="40" spans="1:13" s="146" customFormat="1" ht="60" customHeight="1">
      <c r="A40" s="425"/>
      <c r="B40" s="426"/>
      <c r="C40" s="117">
        <f>+G40*J40</f>
        <v>59599.999999999993</v>
      </c>
      <c r="D40" s="118">
        <f t="shared" ref="D40:D68" si="4">+C40/$C$100</f>
        <v>9.3824582926916075E-2</v>
      </c>
      <c r="E40" s="118">
        <f t="shared" ref="E40:E68" si="5">+C40/$C$103</f>
        <v>9.1379091524909251E-2</v>
      </c>
      <c r="F40" s="136" t="s">
        <v>548</v>
      </c>
      <c r="G40" s="34">
        <f>40*20000*500</f>
        <v>400000000</v>
      </c>
      <c r="H40" s="31" t="s">
        <v>262</v>
      </c>
      <c r="I40" s="202" t="s">
        <v>547</v>
      </c>
      <c r="J40" s="34">
        <v>1.4899999999999999E-4</v>
      </c>
      <c r="K40" s="31" t="s">
        <v>264</v>
      </c>
      <c r="L40" s="136" t="s">
        <v>268</v>
      </c>
      <c r="M40" s="420" t="s">
        <v>546</v>
      </c>
    </row>
    <row r="41" spans="1:13" s="146" customFormat="1" ht="60" customHeight="1">
      <c r="A41" s="425"/>
      <c r="B41" s="426"/>
      <c r="C41" s="117">
        <f>+G41*J41</f>
        <v>3724.9999999999995</v>
      </c>
      <c r="D41" s="118">
        <f t="shared" si="4"/>
        <v>5.8640364329322547E-3</v>
      </c>
      <c r="E41" s="118">
        <f t="shared" si="5"/>
        <v>5.7111932203068282E-3</v>
      </c>
      <c r="F41" s="136" t="s">
        <v>545</v>
      </c>
      <c r="G41" s="34">
        <f>10*5000*500</f>
        <v>25000000</v>
      </c>
      <c r="H41" s="31" t="s">
        <v>262</v>
      </c>
      <c r="I41" s="202" t="s">
        <v>544</v>
      </c>
      <c r="J41" s="34">
        <v>1.4899999999999999E-4</v>
      </c>
      <c r="K41" s="31" t="s">
        <v>264</v>
      </c>
      <c r="L41" s="136" t="s">
        <v>268</v>
      </c>
      <c r="M41" s="422"/>
    </row>
    <row r="42" spans="1:13" s="146" customFormat="1" ht="45" customHeight="1">
      <c r="A42" s="425"/>
      <c r="B42" s="426"/>
      <c r="C42" s="117">
        <f>+G42*J42</f>
        <v>18.388498800000001</v>
      </c>
      <c r="D42" s="118">
        <f t="shared" si="4"/>
        <v>2.8947872996008337E-5</v>
      </c>
      <c r="E42" s="118">
        <f t="shared" si="5"/>
        <v>2.8193360987430943E-5</v>
      </c>
      <c r="F42" s="136" t="s">
        <v>543</v>
      </c>
      <c r="G42" s="34">
        <f>G20*0.61*2111</f>
        <v>1931565</v>
      </c>
      <c r="H42" s="37" t="s">
        <v>392</v>
      </c>
      <c r="I42" s="202" t="s">
        <v>542</v>
      </c>
      <c r="J42" s="199">
        <v>9.5200000000000003E-6</v>
      </c>
      <c r="K42" s="31" t="s">
        <v>394</v>
      </c>
      <c r="L42" s="152" t="s">
        <v>395</v>
      </c>
      <c r="M42" s="177" t="s">
        <v>541</v>
      </c>
    </row>
    <row r="43" spans="1:13" s="146" customFormat="1" ht="45" customHeight="1">
      <c r="A43" s="427"/>
      <c r="B43" s="428"/>
      <c r="C43" s="117">
        <f>+G43*J43</f>
        <v>68.16749999999999</v>
      </c>
      <c r="D43" s="118">
        <f t="shared" si="4"/>
        <v>1.0731186672266025E-4</v>
      </c>
      <c r="E43" s="118">
        <f t="shared" si="5"/>
        <v>1.0451483593161495E-4</v>
      </c>
      <c r="F43" s="136" t="s">
        <v>540</v>
      </c>
      <c r="G43" s="34">
        <f>G20*0.61*500</f>
        <v>457500</v>
      </c>
      <c r="H43" s="31" t="s">
        <v>262</v>
      </c>
      <c r="I43" s="136" t="s">
        <v>539</v>
      </c>
      <c r="J43" s="34">
        <v>1.4899999999999999E-4</v>
      </c>
      <c r="K43" s="31" t="s">
        <v>264</v>
      </c>
      <c r="L43" s="136" t="s">
        <v>268</v>
      </c>
      <c r="M43" s="177" t="s">
        <v>270</v>
      </c>
    </row>
    <row r="44" spans="1:13" s="18" customFormat="1" ht="18.75" customHeight="1">
      <c r="A44" s="86">
        <v>5</v>
      </c>
      <c r="B44" s="71" t="s">
        <v>8</v>
      </c>
      <c r="C44" s="67">
        <f>SUM(C45:C55)</f>
        <v>100351.29574849999</v>
      </c>
      <c r="D44" s="42">
        <f t="shared" si="4"/>
        <v>0.1579768199627285</v>
      </c>
      <c r="E44" s="42">
        <f t="shared" si="5"/>
        <v>0.15385923219539294</v>
      </c>
      <c r="F44" s="26"/>
      <c r="G44" s="26"/>
      <c r="H44" s="46"/>
      <c r="I44" s="46"/>
      <c r="J44" s="46"/>
      <c r="K44" s="46"/>
      <c r="L44" s="46"/>
      <c r="M44" s="59"/>
    </row>
    <row r="45" spans="1:13" s="18" customFormat="1" ht="18.75" customHeight="1">
      <c r="A45" s="382" t="s">
        <v>413</v>
      </c>
      <c r="B45" s="383"/>
      <c r="C45" s="122">
        <f t="shared" ref="C45:C55" si="6">+G45*J45</f>
        <v>873.9</v>
      </c>
      <c r="D45" s="118">
        <f t="shared" si="4"/>
        <v>1.3757265607354356E-3</v>
      </c>
      <c r="E45" s="118">
        <f t="shared" si="5"/>
        <v>1.3398689275774865E-3</v>
      </c>
      <c r="F45" s="141" t="s">
        <v>501</v>
      </c>
      <c r="G45" s="45">
        <v>1000</v>
      </c>
      <c r="H45" s="47" t="s">
        <v>21</v>
      </c>
      <c r="I45" s="47" t="s">
        <v>83</v>
      </c>
      <c r="J45" s="47">
        <v>0.87390000000000001</v>
      </c>
      <c r="K45" s="47" t="s">
        <v>61</v>
      </c>
      <c r="L45" s="47" t="s">
        <v>538</v>
      </c>
      <c r="M45" s="407" t="s">
        <v>114</v>
      </c>
    </row>
    <row r="46" spans="1:13" s="18" customFormat="1" ht="18.75" customHeight="1">
      <c r="A46" s="382"/>
      <c r="B46" s="383"/>
      <c r="C46" s="122">
        <f t="shared" si="6"/>
        <v>707</v>
      </c>
      <c r="D46" s="118">
        <f t="shared" si="4"/>
        <v>1.1129862437806992E-3</v>
      </c>
      <c r="E46" s="118">
        <f t="shared" si="5"/>
        <v>1.0839768071830679E-3</v>
      </c>
      <c r="F46" s="141" t="s">
        <v>499</v>
      </c>
      <c r="G46" s="45">
        <v>10000</v>
      </c>
      <c r="H46" s="47" t="s">
        <v>21</v>
      </c>
      <c r="I46" s="47" t="s">
        <v>83</v>
      </c>
      <c r="J46" s="47">
        <v>7.0699999999999999E-2</v>
      </c>
      <c r="K46" s="47" t="s">
        <v>61</v>
      </c>
      <c r="L46" s="47" t="s">
        <v>537</v>
      </c>
      <c r="M46" s="408"/>
    </row>
    <row r="47" spans="1:13" s="18" customFormat="1" ht="18.75" customHeight="1">
      <c r="A47" s="382"/>
      <c r="B47" s="383"/>
      <c r="C47" s="122">
        <f t="shared" si="6"/>
        <v>233.5764125</v>
      </c>
      <c r="D47" s="118">
        <f t="shared" si="4"/>
        <v>3.6770485712043306E-4</v>
      </c>
      <c r="E47" s="118">
        <f t="shared" si="5"/>
        <v>3.5812081167613187E-4</v>
      </c>
      <c r="F47" s="141" t="s">
        <v>498</v>
      </c>
      <c r="G47" s="45">
        <v>500</v>
      </c>
      <c r="H47" s="47" t="s">
        <v>21</v>
      </c>
      <c r="I47" s="47" t="s">
        <v>83</v>
      </c>
      <c r="J47" s="214">
        <v>0.46715282499999999</v>
      </c>
      <c r="K47" s="47" t="s">
        <v>61</v>
      </c>
      <c r="L47" s="47" t="s">
        <v>536</v>
      </c>
      <c r="M47" s="408"/>
    </row>
    <row r="48" spans="1:13" s="18" customFormat="1" ht="18.75" customHeight="1">
      <c r="A48" s="382"/>
      <c r="B48" s="383"/>
      <c r="C48" s="122">
        <f t="shared" si="6"/>
        <v>584.950692</v>
      </c>
      <c r="D48" s="118">
        <f t="shared" si="4"/>
        <v>9.2085158908910994E-4</v>
      </c>
      <c r="E48" s="118">
        <f t="shared" si="5"/>
        <v>8.9685004734609073E-4</v>
      </c>
      <c r="F48" s="141" t="s">
        <v>497</v>
      </c>
      <c r="G48" s="45">
        <v>12000</v>
      </c>
      <c r="H48" s="47" t="s">
        <v>21</v>
      </c>
      <c r="I48" s="47" t="s">
        <v>83</v>
      </c>
      <c r="J48" s="214">
        <v>4.8745891E-2</v>
      </c>
      <c r="K48" s="47" t="s">
        <v>61</v>
      </c>
      <c r="L48" s="47" t="s">
        <v>535</v>
      </c>
      <c r="M48" s="408"/>
    </row>
    <row r="49" spans="1:13" s="18" customFormat="1" ht="18.75" customHeight="1">
      <c r="A49" s="382"/>
      <c r="B49" s="383"/>
      <c r="C49" s="122">
        <f t="shared" si="6"/>
        <v>291.01749999999998</v>
      </c>
      <c r="D49" s="118">
        <f t="shared" si="4"/>
        <v>4.5813079801902348E-4</v>
      </c>
      <c r="E49" s="118">
        <f t="shared" si="5"/>
        <v>4.4618984509815903E-4</v>
      </c>
      <c r="F49" s="215" t="s">
        <v>496</v>
      </c>
      <c r="G49" s="45">
        <v>5000</v>
      </c>
      <c r="H49" s="47" t="s">
        <v>21</v>
      </c>
      <c r="I49" s="47" t="s">
        <v>83</v>
      </c>
      <c r="J49" s="214">
        <v>5.8203499999999998E-2</v>
      </c>
      <c r="K49" s="47" t="s">
        <v>61</v>
      </c>
      <c r="L49" s="47" t="s">
        <v>534</v>
      </c>
      <c r="M49" s="408"/>
    </row>
    <row r="50" spans="1:13" s="18" customFormat="1" ht="18.75" customHeight="1">
      <c r="A50" s="382"/>
      <c r="B50" s="383"/>
      <c r="C50" s="122">
        <f t="shared" si="6"/>
        <v>407.01510400000001</v>
      </c>
      <c r="D50" s="118">
        <f t="shared" si="4"/>
        <v>6.407386304992513E-4</v>
      </c>
      <c r="E50" s="118">
        <f t="shared" si="5"/>
        <v>6.2403809463819565E-4</v>
      </c>
      <c r="F50" s="141" t="s">
        <v>495</v>
      </c>
      <c r="G50" s="45">
        <v>8000</v>
      </c>
      <c r="H50" s="47" t="s">
        <v>21</v>
      </c>
      <c r="I50" s="47" t="s">
        <v>83</v>
      </c>
      <c r="J50" s="214">
        <v>5.0876888000000002E-2</v>
      </c>
      <c r="K50" s="47" t="s">
        <v>61</v>
      </c>
      <c r="L50" s="47" t="s">
        <v>533</v>
      </c>
      <c r="M50" s="408"/>
    </row>
    <row r="51" spans="1:13" s="18" customFormat="1" ht="18.75" customHeight="1">
      <c r="A51" s="382"/>
      <c r="B51" s="383"/>
      <c r="C51" s="122">
        <f t="shared" si="6"/>
        <v>2933.9738400000001</v>
      </c>
      <c r="D51" s="118">
        <f t="shared" si="4"/>
        <v>4.6187730177262151E-3</v>
      </c>
      <c r="E51" s="118">
        <f t="shared" si="5"/>
        <v>4.4983869808229776E-3</v>
      </c>
      <c r="F51" s="141" t="s">
        <v>494</v>
      </c>
      <c r="G51" s="45">
        <v>60000</v>
      </c>
      <c r="H51" s="47" t="s">
        <v>21</v>
      </c>
      <c r="I51" s="47" t="s">
        <v>83</v>
      </c>
      <c r="J51" s="214">
        <v>4.8899564E-2</v>
      </c>
      <c r="K51" s="47" t="s">
        <v>61</v>
      </c>
      <c r="L51" s="47" t="s">
        <v>532</v>
      </c>
      <c r="M51" s="408"/>
    </row>
    <row r="52" spans="1:13" s="18" customFormat="1" ht="18.75" customHeight="1">
      <c r="A52" s="382"/>
      <c r="B52" s="383"/>
      <c r="C52" s="122">
        <f t="shared" si="6"/>
        <v>2877.4422</v>
      </c>
      <c r="D52" s="118">
        <f t="shared" si="4"/>
        <v>4.5297787636125481E-3</v>
      </c>
      <c r="E52" s="118">
        <f t="shared" si="5"/>
        <v>4.4117123179771185E-3</v>
      </c>
      <c r="F52" s="141" t="s">
        <v>493</v>
      </c>
      <c r="G52" s="45">
        <v>50000</v>
      </c>
      <c r="H52" s="47" t="s">
        <v>21</v>
      </c>
      <c r="I52" s="47" t="s">
        <v>83</v>
      </c>
      <c r="J52" s="214">
        <v>5.7548844000000002E-2</v>
      </c>
      <c r="K52" s="47" t="s">
        <v>61</v>
      </c>
      <c r="L52" s="47" t="s">
        <v>531</v>
      </c>
      <c r="M52" s="409"/>
    </row>
    <row r="53" spans="1:13" s="18" customFormat="1" ht="60" customHeight="1">
      <c r="A53" s="382"/>
      <c r="B53" s="383"/>
      <c r="C53" s="122">
        <f t="shared" si="6"/>
        <v>82291.5</v>
      </c>
      <c r="D53" s="118">
        <f t="shared" si="4"/>
        <v>0.12954640379077709</v>
      </c>
      <c r="E53" s="118">
        <f t="shared" si="5"/>
        <v>0.12616984077553808</v>
      </c>
      <c r="F53" s="141" t="s">
        <v>530</v>
      </c>
      <c r="G53" s="45">
        <v>45000</v>
      </c>
      <c r="H53" s="47" t="s">
        <v>21</v>
      </c>
      <c r="I53" s="47" t="s">
        <v>85</v>
      </c>
      <c r="J53" s="214">
        <v>1.8287</v>
      </c>
      <c r="K53" s="47" t="s">
        <v>235</v>
      </c>
      <c r="L53" s="47" t="s">
        <v>115</v>
      </c>
      <c r="M53" s="168" t="s">
        <v>529</v>
      </c>
    </row>
    <row r="54" spans="1:13" s="18" customFormat="1" ht="60" customHeight="1">
      <c r="A54" s="382"/>
      <c r="B54" s="383"/>
      <c r="C54" s="122">
        <f t="shared" si="6"/>
        <v>9143.5</v>
      </c>
      <c r="D54" s="118">
        <f t="shared" si="4"/>
        <v>1.43940448656419E-2</v>
      </c>
      <c r="E54" s="118">
        <f t="shared" si="5"/>
        <v>1.4018871197282011E-2</v>
      </c>
      <c r="F54" s="141" t="s">
        <v>528</v>
      </c>
      <c r="G54" s="45">
        <v>5000</v>
      </c>
      <c r="H54" s="47" t="s">
        <v>21</v>
      </c>
      <c r="I54" s="47" t="s">
        <v>85</v>
      </c>
      <c r="J54" s="214">
        <v>1.8287</v>
      </c>
      <c r="K54" s="47" t="s">
        <v>235</v>
      </c>
      <c r="L54" s="47" t="s">
        <v>115</v>
      </c>
      <c r="M54" s="168" t="s">
        <v>527</v>
      </c>
    </row>
    <row r="55" spans="1:13" s="18" customFormat="1" ht="18.75" customHeight="1">
      <c r="A55" s="382"/>
      <c r="B55" s="383"/>
      <c r="C55" s="122">
        <f t="shared" si="6"/>
        <v>7.42</v>
      </c>
      <c r="D55" s="118">
        <f t="shared" si="4"/>
        <v>1.1680845726807339E-5</v>
      </c>
      <c r="E55" s="118">
        <f t="shared" si="5"/>
        <v>1.1376390253604474E-5</v>
      </c>
      <c r="F55" s="153" t="s">
        <v>275</v>
      </c>
      <c r="G55" s="153">
        <v>50</v>
      </c>
      <c r="H55" s="45" t="s">
        <v>21</v>
      </c>
      <c r="I55" s="47" t="s">
        <v>85</v>
      </c>
      <c r="J55" s="47">
        <v>0.1484</v>
      </c>
      <c r="K55" s="47" t="s">
        <v>61</v>
      </c>
      <c r="L55" s="47" t="s">
        <v>115</v>
      </c>
      <c r="M55" s="176" t="s">
        <v>82</v>
      </c>
    </row>
    <row r="56" spans="1:13" s="146" customFormat="1" ht="18.75" customHeight="1">
      <c r="A56" s="60">
        <v>6</v>
      </c>
      <c r="B56" s="175" t="s">
        <v>9</v>
      </c>
      <c r="C56" s="67">
        <f>SUM(C57:C59)</f>
        <v>14.933500000000002</v>
      </c>
      <c r="D56" s="42">
        <f t="shared" si="4"/>
        <v>2.3508882703676201E-5</v>
      </c>
      <c r="E56" s="42">
        <f t="shared" si="5"/>
        <v>2.2896135290054237E-5</v>
      </c>
      <c r="F56" s="174"/>
      <c r="G56" s="95"/>
      <c r="H56" s="41"/>
      <c r="I56" s="41"/>
      <c r="J56" s="41"/>
      <c r="K56" s="41"/>
      <c r="L56" s="41"/>
      <c r="M56" s="175"/>
    </row>
    <row r="57" spans="1:13" s="146" customFormat="1" ht="18.75" customHeight="1">
      <c r="A57" s="386" t="s">
        <v>413</v>
      </c>
      <c r="B57" s="387"/>
      <c r="C57" s="121">
        <f>+G57*J57</f>
        <v>6.8499999999999991E-2</v>
      </c>
      <c r="D57" s="118">
        <f t="shared" si="4"/>
        <v>1.0783530084721059E-7</v>
      </c>
      <c r="E57" s="118">
        <f t="shared" si="5"/>
        <v>1.0502462700430005E-7</v>
      </c>
      <c r="F57" s="183" t="s">
        <v>191</v>
      </c>
      <c r="G57" s="100">
        <v>50</v>
      </c>
      <c r="H57" s="160" t="s">
        <v>185</v>
      </c>
      <c r="I57" s="159" t="s">
        <v>214</v>
      </c>
      <c r="J57" s="184">
        <v>1.3699999999999999E-3</v>
      </c>
      <c r="K57" s="161" t="s">
        <v>207</v>
      </c>
      <c r="L57" s="151" t="s">
        <v>186</v>
      </c>
      <c r="M57" s="177"/>
    </row>
    <row r="58" spans="1:13" s="146" customFormat="1" ht="18.75" customHeight="1">
      <c r="A58" s="388"/>
      <c r="B58" s="389"/>
      <c r="C58" s="121">
        <f>+G58*J58</f>
        <v>4.8150000000000004</v>
      </c>
      <c r="D58" s="118">
        <f t="shared" si="4"/>
        <v>7.5799558186761914E-6</v>
      </c>
      <c r="E58" s="118">
        <f t="shared" si="5"/>
        <v>7.3823880149737937E-6</v>
      </c>
      <c r="F58" s="39" t="s">
        <v>187</v>
      </c>
      <c r="G58" s="100">
        <v>1500</v>
      </c>
      <c r="H58" s="160" t="s">
        <v>185</v>
      </c>
      <c r="I58" s="159" t="s">
        <v>214</v>
      </c>
      <c r="J58" s="184">
        <v>3.2100000000000002E-3</v>
      </c>
      <c r="K58" s="161" t="s">
        <v>207</v>
      </c>
      <c r="L58" s="152" t="s">
        <v>188</v>
      </c>
      <c r="M58" s="177"/>
    </row>
    <row r="59" spans="1:13" s="146" customFormat="1" ht="18.75" customHeight="1">
      <c r="A59" s="390"/>
      <c r="B59" s="391"/>
      <c r="C59" s="121">
        <f>+G59*J59</f>
        <v>10.050000000000001</v>
      </c>
      <c r="D59" s="118">
        <f t="shared" si="4"/>
        <v>1.5821091584152798E-5</v>
      </c>
      <c r="E59" s="118">
        <f t="shared" si="5"/>
        <v>1.5408722648076144E-5</v>
      </c>
      <c r="F59" s="185" t="s">
        <v>189</v>
      </c>
      <c r="G59" s="100">
        <v>5000</v>
      </c>
      <c r="H59" s="160" t="s">
        <v>185</v>
      </c>
      <c r="I59" s="159" t="s">
        <v>214</v>
      </c>
      <c r="J59" s="184">
        <v>2.0100000000000001E-3</v>
      </c>
      <c r="K59" s="161" t="s">
        <v>207</v>
      </c>
      <c r="L59" s="152" t="s">
        <v>190</v>
      </c>
      <c r="M59" s="177"/>
    </row>
    <row r="60" spans="1:13" s="146" customFormat="1" ht="18.75" customHeight="1">
      <c r="A60" s="60">
        <v>7</v>
      </c>
      <c r="B60" s="175" t="s">
        <v>10</v>
      </c>
      <c r="C60" s="67">
        <f>SUM(C61:C63)</f>
        <v>8415.2582169512971</v>
      </c>
      <c r="D60" s="42">
        <f t="shared" si="4"/>
        <v>1.3247619000465755E-2</v>
      </c>
      <c r="E60" s="42">
        <f t="shared" si="5"/>
        <v>1.2902326355915055E-2</v>
      </c>
      <c r="F60" s="174"/>
      <c r="G60" s="95"/>
      <c r="H60" s="46"/>
      <c r="I60" s="41"/>
      <c r="J60" s="41"/>
      <c r="K60" s="41"/>
      <c r="L60" s="41"/>
      <c r="M60" s="175"/>
    </row>
    <row r="61" spans="1:13" s="146" customFormat="1" ht="18.75" customHeight="1">
      <c r="A61" s="386" t="s">
        <v>526</v>
      </c>
      <c r="B61" s="387"/>
      <c r="C61" s="122">
        <f>+G61*J61</f>
        <v>2.7399999999999998</v>
      </c>
      <c r="D61" s="118">
        <f t="shared" si="4"/>
        <v>4.3134120338884241E-6</v>
      </c>
      <c r="E61" s="118">
        <f t="shared" si="5"/>
        <v>4.2009850801720029E-6</v>
      </c>
      <c r="F61" s="150" t="s">
        <v>192</v>
      </c>
      <c r="G61" s="100">
        <v>2000</v>
      </c>
      <c r="H61" s="160" t="s">
        <v>185</v>
      </c>
      <c r="I61" s="159" t="s">
        <v>214</v>
      </c>
      <c r="J61" s="128">
        <v>1.3699999999999999E-3</v>
      </c>
      <c r="K61" s="161" t="s">
        <v>207</v>
      </c>
      <c r="L61" s="151" t="s">
        <v>193</v>
      </c>
      <c r="M61" s="177"/>
    </row>
    <row r="62" spans="1:13" s="146" customFormat="1" ht="18.75" customHeight="1">
      <c r="A62" s="388"/>
      <c r="B62" s="389"/>
      <c r="C62" s="122">
        <f>+G62*J62</f>
        <v>0.121</v>
      </c>
      <c r="D62" s="118">
        <f t="shared" si="4"/>
        <v>1.904827941972625E-7</v>
      </c>
      <c r="E62" s="118">
        <f t="shared" si="5"/>
        <v>1.8551795427036947E-7</v>
      </c>
      <c r="F62" s="150" t="s">
        <v>194</v>
      </c>
      <c r="G62" s="100">
        <v>50</v>
      </c>
      <c r="H62" s="160" t="s">
        <v>185</v>
      </c>
      <c r="I62" s="159" t="s">
        <v>214</v>
      </c>
      <c r="J62" s="128">
        <v>2.4199999999999998E-3</v>
      </c>
      <c r="K62" s="161" t="s">
        <v>203</v>
      </c>
      <c r="L62" s="152" t="s">
        <v>195</v>
      </c>
      <c r="M62" s="177"/>
    </row>
    <row r="63" spans="1:13" s="146" customFormat="1" ht="30" customHeight="1">
      <c r="A63" s="388"/>
      <c r="B63" s="389"/>
      <c r="C63" s="122">
        <f>+G63*J63</f>
        <v>8412.3972169512963</v>
      </c>
      <c r="D63" s="118">
        <f t="shared" si="4"/>
        <v>1.3243115105637667E-2</v>
      </c>
      <c r="E63" s="118">
        <f t="shared" si="5"/>
        <v>1.2897939852880612E-2</v>
      </c>
      <c r="F63" s="150" t="s">
        <v>196</v>
      </c>
      <c r="G63" s="100">
        <v>500</v>
      </c>
      <c r="H63" s="160" t="s">
        <v>185</v>
      </c>
      <c r="I63" s="159" t="s">
        <v>214</v>
      </c>
      <c r="J63" s="38">
        <v>16.824794433902593</v>
      </c>
      <c r="K63" s="161" t="s">
        <v>203</v>
      </c>
      <c r="L63" s="114" t="s">
        <v>197</v>
      </c>
      <c r="M63" s="177" t="s">
        <v>198</v>
      </c>
    </row>
    <row r="64" spans="1:13" s="146" customFormat="1" ht="30" customHeight="1">
      <c r="A64" s="390"/>
      <c r="B64" s="391"/>
      <c r="C64" s="122">
        <f>+G64*J64</f>
        <v>831.59999999999991</v>
      </c>
      <c r="D64" s="118">
        <f t="shared" si="4"/>
        <v>1.3091362946648223E-3</v>
      </c>
      <c r="E64" s="118">
        <f t="shared" si="5"/>
        <v>1.2750143038945392E-3</v>
      </c>
      <c r="F64" s="150" t="s">
        <v>525</v>
      </c>
      <c r="G64" s="100">
        <f>210000*20</f>
        <v>4200000</v>
      </c>
      <c r="H64" s="141" t="s">
        <v>524</v>
      </c>
      <c r="I64" s="219" t="s">
        <v>523</v>
      </c>
      <c r="J64" s="218">
        <v>1.9799999999999999E-4</v>
      </c>
      <c r="K64" s="161" t="s">
        <v>522</v>
      </c>
      <c r="L64" s="114" t="s">
        <v>521</v>
      </c>
      <c r="M64" s="177" t="s">
        <v>520</v>
      </c>
    </row>
    <row r="65" spans="1:13" s="146" customFormat="1" ht="18.75" customHeight="1">
      <c r="A65" s="60">
        <v>8</v>
      </c>
      <c r="B65" s="175" t="s">
        <v>11</v>
      </c>
      <c r="C65" s="93">
        <f>SUM(C66:C68)</f>
        <v>12.875</v>
      </c>
      <c r="D65" s="42">
        <f t="shared" si="4"/>
        <v>2.0268313845369875E-5</v>
      </c>
      <c r="E65" s="42">
        <f t="shared" si="5"/>
        <v>1.9740030258107496E-5</v>
      </c>
      <c r="F65" s="94"/>
      <c r="G65" s="95"/>
      <c r="H65" s="95"/>
      <c r="I65" s="95"/>
      <c r="J65" s="95"/>
      <c r="K65" s="95"/>
      <c r="L65" s="95"/>
      <c r="M65" s="175"/>
    </row>
    <row r="66" spans="1:13" s="146" customFormat="1" ht="45" customHeight="1">
      <c r="A66" s="386" t="s">
        <v>218</v>
      </c>
      <c r="B66" s="478"/>
      <c r="C66" s="217">
        <f>+G66*J66</f>
        <v>12.875</v>
      </c>
      <c r="D66" s="118">
        <f t="shared" si="4"/>
        <v>2.0268313845369875E-5</v>
      </c>
      <c r="E66" s="118">
        <f t="shared" si="5"/>
        <v>1.9740030258107496E-5</v>
      </c>
      <c r="F66" s="21" t="s">
        <v>107</v>
      </c>
      <c r="G66" s="100">
        <v>500</v>
      </c>
      <c r="H66" s="100" t="s">
        <v>519</v>
      </c>
      <c r="I66" s="22" t="s">
        <v>110</v>
      </c>
      <c r="J66" s="22">
        <f>0.103*3/12</f>
        <v>2.5749999999999999E-2</v>
      </c>
      <c r="K66" s="22" t="s">
        <v>518</v>
      </c>
      <c r="L66" s="21" t="s">
        <v>280</v>
      </c>
      <c r="M66" s="177" t="s">
        <v>109</v>
      </c>
    </row>
    <row r="67" spans="1:13" s="146" customFormat="1" ht="45" customHeight="1">
      <c r="A67" s="388"/>
      <c r="B67" s="479"/>
      <c r="C67" s="217">
        <f>+G67*J67</f>
        <v>0</v>
      </c>
      <c r="D67" s="118">
        <f t="shared" si="4"/>
        <v>0</v>
      </c>
      <c r="E67" s="118">
        <f t="shared" si="5"/>
        <v>0</v>
      </c>
      <c r="F67" s="21" t="s">
        <v>517</v>
      </c>
      <c r="G67" s="100"/>
      <c r="H67" s="100"/>
      <c r="I67" s="22"/>
      <c r="J67" s="22"/>
      <c r="K67" s="22"/>
      <c r="L67" s="21"/>
      <c r="M67" s="177" t="s">
        <v>516</v>
      </c>
    </row>
    <row r="68" spans="1:13" s="146" customFormat="1" ht="45" customHeight="1">
      <c r="A68" s="390"/>
      <c r="B68" s="480"/>
      <c r="C68" s="217">
        <f>+G68*J68</f>
        <v>0</v>
      </c>
      <c r="D68" s="118">
        <f t="shared" si="4"/>
        <v>0</v>
      </c>
      <c r="E68" s="118">
        <f t="shared" si="5"/>
        <v>0</v>
      </c>
      <c r="F68" s="21" t="s">
        <v>515</v>
      </c>
      <c r="G68" s="100"/>
      <c r="H68" s="100"/>
      <c r="I68" s="22"/>
      <c r="J68" s="22"/>
      <c r="K68" s="22"/>
      <c r="L68" s="21"/>
      <c r="M68" s="177" t="s">
        <v>514</v>
      </c>
    </row>
    <row r="69" spans="1:13" s="146" customFormat="1" ht="18.75" customHeight="1">
      <c r="A69" s="60">
        <v>9</v>
      </c>
      <c r="B69" s="175" t="s">
        <v>12</v>
      </c>
      <c r="C69" s="437" t="s">
        <v>513</v>
      </c>
      <c r="D69" s="438"/>
      <c r="E69" s="438"/>
      <c r="F69" s="438"/>
      <c r="G69" s="438"/>
      <c r="H69" s="438"/>
      <c r="I69" s="438"/>
      <c r="J69" s="438"/>
      <c r="K69" s="438"/>
      <c r="L69" s="438"/>
      <c r="M69" s="439"/>
    </row>
    <row r="70" spans="1:13" s="146" customFormat="1" ht="18.75" customHeight="1">
      <c r="A70" s="60">
        <v>10</v>
      </c>
      <c r="B70" s="69" t="s">
        <v>13</v>
      </c>
      <c r="C70" s="93">
        <f>SUM(C71)</f>
        <v>10200</v>
      </c>
      <c r="D70" s="42">
        <f t="shared" ref="D70:D84" si="7">+C70/$C$100</f>
        <v>1.605722727943866E-2</v>
      </c>
      <c r="E70" s="42">
        <f t="shared" ref="E70:E84" si="8">+C70/$C$103</f>
        <v>1.5638703583122054E-2</v>
      </c>
      <c r="F70" s="94"/>
      <c r="G70" s="95"/>
      <c r="H70" s="95"/>
      <c r="I70" s="95"/>
      <c r="J70" s="95"/>
      <c r="K70" s="95"/>
      <c r="L70" s="95"/>
      <c r="M70" s="175"/>
    </row>
    <row r="71" spans="1:13" s="146" customFormat="1" ht="45" customHeight="1">
      <c r="A71" s="402" t="s">
        <v>512</v>
      </c>
      <c r="B71" s="403"/>
      <c r="C71" s="123">
        <f>+G71*J71</f>
        <v>10200</v>
      </c>
      <c r="D71" s="118">
        <f t="shared" si="7"/>
        <v>1.605722727943866E-2</v>
      </c>
      <c r="E71" s="118">
        <f t="shared" si="8"/>
        <v>1.5638703583122054E-2</v>
      </c>
      <c r="F71" s="21" t="s">
        <v>511</v>
      </c>
      <c r="G71" s="100">
        <v>30000</v>
      </c>
      <c r="H71" s="100" t="s">
        <v>221</v>
      </c>
      <c r="I71" s="22" t="s">
        <v>224</v>
      </c>
      <c r="J71" s="22">
        <v>0.34</v>
      </c>
      <c r="K71" s="22" t="s">
        <v>225</v>
      </c>
      <c r="L71" s="21" t="s">
        <v>510</v>
      </c>
      <c r="M71" s="177" t="s">
        <v>509</v>
      </c>
    </row>
    <row r="72" spans="1:13" s="13" customFormat="1" ht="18.75" customHeight="1">
      <c r="A72" s="85">
        <v>11</v>
      </c>
      <c r="B72" s="70" t="s">
        <v>14</v>
      </c>
      <c r="C72" s="93">
        <f>SUM(C73:C73)</f>
        <v>147000</v>
      </c>
      <c r="D72" s="42">
        <f t="shared" si="7"/>
        <v>0.23141298138014538</v>
      </c>
      <c r="E72" s="42">
        <f t="shared" si="8"/>
        <v>0.22538131634499431</v>
      </c>
      <c r="F72" s="94"/>
      <c r="G72" s="95"/>
      <c r="H72" s="95"/>
      <c r="I72" s="95"/>
      <c r="J72" s="95"/>
      <c r="K72" s="95"/>
      <c r="L72" s="95"/>
      <c r="M72" s="175"/>
    </row>
    <row r="73" spans="1:13" s="13" customFormat="1" ht="45" customHeight="1">
      <c r="A73" s="451" t="s">
        <v>508</v>
      </c>
      <c r="B73" s="474"/>
      <c r="C73" s="122">
        <f>+G73*J73</f>
        <v>147000</v>
      </c>
      <c r="D73" s="118">
        <f t="shared" si="7"/>
        <v>0.23141298138014538</v>
      </c>
      <c r="E73" s="118">
        <f t="shared" si="8"/>
        <v>0.22538131634499431</v>
      </c>
      <c r="F73" s="150" t="s">
        <v>507</v>
      </c>
      <c r="G73" s="100">
        <v>50000</v>
      </c>
      <c r="H73" s="160" t="s">
        <v>506</v>
      </c>
      <c r="I73" s="160" t="s">
        <v>487</v>
      </c>
      <c r="J73" s="216">
        <f>0.098*30</f>
        <v>2.94</v>
      </c>
      <c r="K73" s="212" t="s">
        <v>505</v>
      </c>
      <c r="L73" s="211" t="s">
        <v>504</v>
      </c>
      <c r="M73" s="177" t="s">
        <v>503</v>
      </c>
    </row>
    <row r="74" spans="1:13" s="146" customFormat="1" ht="18.75" customHeight="1">
      <c r="A74" s="60">
        <v>12</v>
      </c>
      <c r="B74" s="69" t="s">
        <v>15</v>
      </c>
      <c r="C74" s="67">
        <f>SUM(C75:C82)</f>
        <v>54730.2947006826</v>
      </c>
      <c r="D74" s="42">
        <f t="shared" si="7"/>
        <v>8.6158507948972327E-2</v>
      </c>
      <c r="E74" s="48">
        <f t="shared" si="8"/>
        <v>8.3912829004008913E-2</v>
      </c>
      <c r="F74" s="25"/>
      <c r="G74" s="25"/>
      <c r="H74" s="27"/>
      <c r="I74" s="25"/>
      <c r="J74" s="25"/>
      <c r="K74" s="25"/>
      <c r="L74" s="25"/>
      <c r="M74" s="61"/>
    </row>
    <row r="75" spans="1:13" s="146" customFormat="1" ht="37.5" customHeight="1">
      <c r="A75" s="386" t="s">
        <v>502</v>
      </c>
      <c r="B75" s="440"/>
      <c r="C75" s="123">
        <f t="shared" ref="C75:C82" si="9">+G75*J75</f>
        <v>5368.6689419795221</v>
      </c>
      <c r="D75" s="118">
        <f t="shared" si="7"/>
        <v>8.4515624891596721E-3</v>
      </c>
      <c r="E75" s="118">
        <f t="shared" si="8"/>
        <v>8.231276688189338E-3</v>
      </c>
      <c r="F75" s="141" t="s">
        <v>501</v>
      </c>
      <c r="G75" s="186">
        <f t="shared" ref="G75:G82" si="10">900000*G45/SUM($G$45:$G$52)</f>
        <v>6143.3447098976112</v>
      </c>
      <c r="H75" s="186" t="s">
        <v>492</v>
      </c>
      <c r="I75" s="475" t="s">
        <v>500</v>
      </c>
      <c r="J75" s="47">
        <v>0.87390000000000001</v>
      </c>
      <c r="K75" s="47" t="s">
        <v>61</v>
      </c>
      <c r="L75" s="47" t="s">
        <v>115</v>
      </c>
      <c r="M75" s="213"/>
    </row>
    <row r="76" spans="1:13" s="146" customFormat="1" ht="37.5" customHeight="1">
      <c r="A76" s="388"/>
      <c r="B76" s="481"/>
      <c r="C76" s="123">
        <f t="shared" si="9"/>
        <v>4343.3447098976112</v>
      </c>
      <c r="D76" s="118">
        <f t="shared" si="7"/>
        <v>6.837458152918972E-3</v>
      </c>
      <c r="E76" s="118">
        <f t="shared" si="8"/>
        <v>6.6592431840598034E-3</v>
      </c>
      <c r="F76" s="141" t="s">
        <v>499</v>
      </c>
      <c r="G76" s="186">
        <f t="shared" si="10"/>
        <v>61433.44709897611</v>
      </c>
      <c r="H76" s="186" t="s">
        <v>492</v>
      </c>
      <c r="I76" s="476"/>
      <c r="J76" s="47">
        <v>7.0699999999999999E-2</v>
      </c>
      <c r="K76" s="47" t="s">
        <v>61</v>
      </c>
      <c r="L76" s="47" t="s">
        <v>115</v>
      </c>
      <c r="M76" s="213"/>
    </row>
    <row r="77" spans="1:13" s="146" customFormat="1" ht="37.5" customHeight="1">
      <c r="A77" s="388"/>
      <c r="B77" s="481"/>
      <c r="C77" s="123">
        <f t="shared" si="9"/>
        <v>1434.9404180887373</v>
      </c>
      <c r="D77" s="118">
        <f t="shared" si="7"/>
        <v>2.2589376887944693E-3</v>
      </c>
      <c r="E77" s="118">
        <f t="shared" si="8"/>
        <v>2.2000595939148035E-3</v>
      </c>
      <c r="F77" s="141" t="s">
        <v>498</v>
      </c>
      <c r="G77" s="186">
        <f t="shared" si="10"/>
        <v>3071.6723549488056</v>
      </c>
      <c r="H77" s="186" t="s">
        <v>492</v>
      </c>
      <c r="I77" s="476"/>
      <c r="J77" s="214">
        <v>0.46715282499999999</v>
      </c>
      <c r="K77" s="47" t="s">
        <v>61</v>
      </c>
      <c r="L77" s="47" t="s">
        <v>115</v>
      </c>
      <c r="M77" s="213"/>
    </row>
    <row r="78" spans="1:13" s="146" customFormat="1" ht="37.5" customHeight="1">
      <c r="A78" s="388"/>
      <c r="B78" s="481"/>
      <c r="C78" s="123">
        <f t="shared" si="9"/>
        <v>3593.5537392491469</v>
      </c>
      <c r="D78" s="118">
        <f t="shared" si="7"/>
        <v>5.6571087384313917E-3</v>
      </c>
      <c r="E78" s="118">
        <f t="shared" si="8"/>
        <v>5.5096589939350286E-3</v>
      </c>
      <c r="F78" s="141" t="s">
        <v>497</v>
      </c>
      <c r="G78" s="186">
        <f t="shared" si="10"/>
        <v>73720.136518771338</v>
      </c>
      <c r="H78" s="186" t="s">
        <v>492</v>
      </c>
      <c r="I78" s="476"/>
      <c r="J78" s="214">
        <v>4.8745891E-2</v>
      </c>
      <c r="K78" s="47" t="s">
        <v>61</v>
      </c>
      <c r="L78" s="47" t="s">
        <v>115</v>
      </c>
      <c r="M78" s="213"/>
    </row>
    <row r="79" spans="1:13" s="146" customFormat="1" ht="37.5" customHeight="1">
      <c r="A79" s="388"/>
      <c r="B79" s="481"/>
      <c r="C79" s="123">
        <f t="shared" si="9"/>
        <v>1787.820819112628</v>
      </c>
      <c r="D79" s="118">
        <f t="shared" si="7"/>
        <v>2.8144554144513391E-3</v>
      </c>
      <c r="E79" s="118">
        <f t="shared" si="8"/>
        <v>2.7410980244938102E-3</v>
      </c>
      <c r="F79" s="215" t="s">
        <v>496</v>
      </c>
      <c r="G79" s="186">
        <f t="shared" si="10"/>
        <v>30716.723549488055</v>
      </c>
      <c r="H79" s="186" t="s">
        <v>492</v>
      </c>
      <c r="I79" s="476"/>
      <c r="J79" s="214">
        <v>5.8203499999999998E-2</v>
      </c>
      <c r="K79" s="47" t="s">
        <v>61</v>
      </c>
      <c r="L79" s="47" t="s">
        <v>115</v>
      </c>
      <c r="M79" s="213"/>
    </row>
    <row r="80" spans="1:13" s="146" customFormat="1" ht="37.5" customHeight="1">
      <c r="A80" s="388"/>
      <c r="B80" s="481"/>
      <c r="C80" s="123">
        <f t="shared" si="9"/>
        <v>2500.434086006826</v>
      </c>
      <c r="D80" s="118">
        <f t="shared" si="7"/>
        <v>3.9362782761046154E-3</v>
      </c>
      <c r="E80" s="118">
        <f t="shared" si="8"/>
        <v>3.8336811274701441E-3</v>
      </c>
      <c r="F80" s="141" t="s">
        <v>495</v>
      </c>
      <c r="G80" s="186">
        <f t="shared" si="10"/>
        <v>49146.75767918089</v>
      </c>
      <c r="H80" s="186" t="s">
        <v>492</v>
      </c>
      <c r="I80" s="476"/>
      <c r="J80" s="214">
        <v>5.0876888000000002E-2</v>
      </c>
      <c r="K80" s="47" t="s">
        <v>61</v>
      </c>
      <c r="L80" s="47" t="s">
        <v>115</v>
      </c>
      <c r="M80" s="213"/>
    </row>
    <row r="81" spans="1:13" s="146" customFormat="1" ht="37.5" customHeight="1">
      <c r="A81" s="388"/>
      <c r="B81" s="481"/>
      <c r="C81" s="123">
        <f t="shared" si="9"/>
        <v>18024.412668941979</v>
      </c>
      <c r="D81" s="118">
        <f t="shared" si="7"/>
        <v>2.8374714784666168E-2</v>
      </c>
      <c r="E81" s="118">
        <f t="shared" si="8"/>
        <v>2.7635141861711125E-2</v>
      </c>
      <c r="F81" s="141" t="s">
        <v>494</v>
      </c>
      <c r="G81" s="186">
        <f t="shared" si="10"/>
        <v>368600.68259385665</v>
      </c>
      <c r="H81" s="186" t="s">
        <v>492</v>
      </c>
      <c r="I81" s="476"/>
      <c r="J81" s="214">
        <v>4.8899564E-2</v>
      </c>
      <c r="K81" s="47" t="s">
        <v>61</v>
      </c>
      <c r="L81" s="47" t="s">
        <v>115</v>
      </c>
      <c r="M81" s="213"/>
    </row>
    <row r="82" spans="1:13" s="146" customFormat="1" ht="37.5" customHeight="1">
      <c r="A82" s="388"/>
      <c r="B82" s="481"/>
      <c r="C82" s="123">
        <f t="shared" si="9"/>
        <v>17677.119317406145</v>
      </c>
      <c r="D82" s="118">
        <f t="shared" si="7"/>
        <v>2.7827992404445688E-2</v>
      </c>
      <c r="E82" s="118">
        <f t="shared" si="8"/>
        <v>2.7102669530234859E-2</v>
      </c>
      <c r="F82" s="141" t="s">
        <v>493</v>
      </c>
      <c r="G82" s="186">
        <f t="shared" si="10"/>
        <v>307167.23549488053</v>
      </c>
      <c r="H82" s="186" t="s">
        <v>492</v>
      </c>
      <c r="I82" s="477"/>
      <c r="J82" s="214">
        <v>5.7548844000000002E-2</v>
      </c>
      <c r="K82" s="47" t="s">
        <v>61</v>
      </c>
      <c r="L82" s="47" t="s">
        <v>115</v>
      </c>
      <c r="M82" s="213"/>
    </row>
    <row r="83" spans="1:13" s="13" customFormat="1" ht="18.75" customHeight="1">
      <c r="A83" s="85">
        <v>13</v>
      </c>
      <c r="B83" s="87" t="s">
        <v>491</v>
      </c>
      <c r="C83" s="67">
        <f>SUM(C84:C84)</f>
        <v>7840</v>
      </c>
      <c r="D83" s="42">
        <f t="shared" si="7"/>
        <v>1.2342025673607754E-2</v>
      </c>
      <c r="E83" s="48">
        <f t="shared" si="8"/>
        <v>1.2020336871733031E-2</v>
      </c>
      <c r="F83" s="25"/>
      <c r="G83" s="25"/>
      <c r="H83" s="27"/>
      <c r="I83" s="25"/>
      <c r="J83" s="25"/>
      <c r="K83" s="25"/>
      <c r="L83" s="25"/>
      <c r="M83" s="61"/>
    </row>
    <row r="84" spans="1:13" s="13" customFormat="1" ht="45" customHeight="1">
      <c r="A84" s="451" t="s">
        <v>490</v>
      </c>
      <c r="B84" s="474"/>
      <c r="C84" s="122">
        <f>+G84*J84</f>
        <v>7840</v>
      </c>
      <c r="D84" s="118">
        <f t="shared" si="7"/>
        <v>1.2342025673607754E-2</v>
      </c>
      <c r="E84" s="118">
        <f t="shared" si="8"/>
        <v>1.2020336871733031E-2</v>
      </c>
      <c r="F84" s="150" t="s">
        <v>489</v>
      </c>
      <c r="G84" s="100">
        <v>80000</v>
      </c>
      <c r="H84" s="160" t="s">
        <v>488</v>
      </c>
      <c r="I84" s="160" t="s">
        <v>487</v>
      </c>
      <c r="J84" s="128">
        <f>0.098</f>
        <v>9.8000000000000004E-2</v>
      </c>
      <c r="K84" s="212" t="s">
        <v>486</v>
      </c>
      <c r="L84" s="211" t="s">
        <v>485</v>
      </c>
      <c r="M84" s="177"/>
    </row>
    <row r="85" spans="1:13" s="146" customFormat="1" ht="18.75" customHeight="1">
      <c r="A85" s="60">
        <v>14</v>
      </c>
      <c r="B85" s="69" t="s">
        <v>479</v>
      </c>
      <c r="C85" s="379" t="s">
        <v>31</v>
      </c>
      <c r="D85" s="380"/>
      <c r="E85" s="380"/>
      <c r="F85" s="380"/>
      <c r="G85" s="380"/>
      <c r="H85" s="380"/>
      <c r="I85" s="380"/>
      <c r="J85" s="380"/>
      <c r="K85" s="380"/>
      <c r="L85" s="380"/>
      <c r="M85" s="381"/>
    </row>
    <row r="86" spans="1:13" s="146" customFormat="1" ht="30" customHeight="1">
      <c r="A86" s="60">
        <v>15</v>
      </c>
      <c r="B86" s="69" t="s">
        <v>1</v>
      </c>
      <c r="C86" s="93">
        <f>SUM(C87:C98)</f>
        <v>4549.6637760875337</v>
      </c>
      <c r="D86" s="42">
        <f t="shared" ref="D86:D98" si="11">+C86/$C$100</f>
        <v>7.1622534605555533E-3</v>
      </c>
      <c r="E86" s="42">
        <f t="shared" ref="E86:E98" si="12">+C86/$C$103</f>
        <v>6.9755728624608555E-3</v>
      </c>
      <c r="F86" s="94" t="s">
        <v>86</v>
      </c>
      <c r="G86" s="102" t="s">
        <v>102</v>
      </c>
      <c r="H86" s="103" t="s">
        <v>126</v>
      </c>
      <c r="I86" s="95" t="s">
        <v>101</v>
      </c>
      <c r="J86" s="94" t="s">
        <v>89</v>
      </c>
      <c r="K86" s="94" t="s">
        <v>97</v>
      </c>
      <c r="L86" s="95" t="s">
        <v>117</v>
      </c>
      <c r="M86" s="175"/>
    </row>
    <row r="87" spans="1:13" s="146" customFormat="1" ht="18.75" customHeight="1">
      <c r="A87" s="384" t="s">
        <v>105</v>
      </c>
      <c r="B87" s="385"/>
      <c r="C87" s="123">
        <f t="shared" ref="C87:C98" si="13">+J87*K87</f>
        <v>1076.6919222103725</v>
      </c>
      <c r="D87" s="118">
        <f t="shared" si="11"/>
        <v>1.6949693043987882E-3</v>
      </c>
      <c r="E87" s="118">
        <f t="shared" si="12"/>
        <v>1.6507907668421495E-3</v>
      </c>
      <c r="F87" s="21" t="s">
        <v>297</v>
      </c>
      <c r="G87" s="100">
        <v>111452494</v>
      </c>
      <c r="H87" s="100">
        <v>1200000</v>
      </c>
      <c r="I87" s="22" t="s">
        <v>88</v>
      </c>
      <c r="J87" s="101">
        <f t="shared" ref="J87:J98" si="14">H87/G87</f>
        <v>1.0766919222103724E-2</v>
      </c>
      <c r="K87" s="100">
        <v>100000</v>
      </c>
      <c r="L87" s="22" t="s">
        <v>90</v>
      </c>
      <c r="M87" s="177"/>
    </row>
    <row r="88" spans="1:13" s="146" customFormat="1" ht="18.75" customHeight="1">
      <c r="A88" s="384"/>
      <c r="B88" s="385"/>
      <c r="C88" s="123">
        <f t="shared" si="13"/>
        <v>77.660733058725455</v>
      </c>
      <c r="D88" s="118">
        <f t="shared" si="11"/>
        <v>1.2225647464821275E-4</v>
      </c>
      <c r="E88" s="118">
        <f t="shared" si="12"/>
        <v>1.1906992003464463E-4</v>
      </c>
      <c r="F88" s="21" t="s">
        <v>298</v>
      </c>
      <c r="G88" s="100">
        <v>1416376020</v>
      </c>
      <c r="H88" s="100">
        <v>687480</v>
      </c>
      <c r="I88" s="22" t="s">
        <v>88</v>
      </c>
      <c r="J88" s="101">
        <f t="shared" si="14"/>
        <v>4.8537958161703413E-4</v>
      </c>
      <c r="K88" s="100">
        <v>160000</v>
      </c>
      <c r="L88" s="22" t="s">
        <v>91</v>
      </c>
      <c r="M88" s="177"/>
    </row>
    <row r="89" spans="1:13" s="146" customFormat="1" ht="18.75" customHeight="1">
      <c r="A89" s="384"/>
      <c r="B89" s="385"/>
      <c r="C89" s="123">
        <f t="shared" si="13"/>
        <v>19.042509489546724</v>
      </c>
      <c r="D89" s="118">
        <f t="shared" si="11"/>
        <v>2.9977441455345018E-5</v>
      </c>
      <c r="E89" s="118">
        <f t="shared" si="12"/>
        <v>2.9196094253510791E-5</v>
      </c>
      <c r="F89" s="21" t="s">
        <v>299</v>
      </c>
      <c r="G89" s="100">
        <v>415352294</v>
      </c>
      <c r="H89" s="100">
        <v>158187</v>
      </c>
      <c r="I89" s="22" t="s">
        <v>88</v>
      </c>
      <c r="J89" s="101">
        <f t="shared" si="14"/>
        <v>3.8085018979093445E-4</v>
      </c>
      <c r="K89" s="100">
        <v>50000</v>
      </c>
      <c r="L89" s="22" t="s">
        <v>92</v>
      </c>
      <c r="M89" s="177"/>
    </row>
    <row r="90" spans="1:13" s="146" customFormat="1" ht="18.75" customHeight="1">
      <c r="A90" s="384"/>
      <c r="B90" s="385"/>
      <c r="C90" s="123">
        <f t="shared" si="13"/>
        <v>43.625767034497109</v>
      </c>
      <c r="D90" s="118">
        <f t="shared" si="11"/>
        <v>6.867733887380027E-5</v>
      </c>
      <c r="E90" s="118">
        <f t="shared" si="12"/>
        <v>6.688729796459195E-5</v>
      </c>
      <c r="F90" s="21" t="s">
        <v>300</v>
      </c>
      <c r="G90" s="100">
        <v>1237800586</v>
      </c>
      <c r="H90" s="100">
        <v>900000</v>
      </c>
      <c r="I90" s="22" t="s">
        <v>88</v>
      </c>
      <c r="J90" s="101">
        <f t="shared" si="14"/>
        <v>7.2709611724161842E-4</v>
      </c>
      <c r="K90" s="100">
        <v>60000</v>
      </c>
      <c r="L90" s="22" t="s">
        <v>93</v>
      </c>
      <c r="M90" s="177"/>
    </row>
    <row r="91" spans="1:13" s="146" customFormat="1" ht="18.75" customHeight="1">
      <c r="A91" s="384"/>
      <c r="B91" s="385"/>
      <c r="C91" s="123">
        <f t="shared" si="13"/>
        <v>107.43490759668525</v>
      </c>
      <c r="D91" s="118">
        <f t="shared" si="11"/>
        <v>1.6912811068877116E-4</v>
      </c>
      <c r="E91" s="118">
        <f t="shared" si="12"/>
        <v>1.647198700377126E-4</v>
      </c>
      <c r="F91" s="21" t="s">
        <v>301</v>
      </c>
      <c r="G91" s="100">
        <v>1737940900</v>
      </c>
      <c r="H91" s="100">
        <v>2333944</v>
      </c>
      <c r="I91" s="22" t="s">
        <v>88</v>
      </c>
      <c r="J91" s="101">
        <f t="shared" si="14"/>
        <v>1.3429363449585657E-3</v>
      </c>
      <c r="K91" s="100">
        <v>80000</v>
      </c>
      <c r="L91" s="22" t="s">
        <v>94</v>
      </c>
      <c r="M91" s="177"/>
    </row>
    <row r="92" spans="1:13" s="146" customFormat="1" ht="18.75" customHeight="1">
      <c r="A92" s="384"/>
      <c r="B92" s="385"/>
      <c r="C92" s="123">
        <f t="shared" si="13"/>
        <v>277.39352083240539</v>
      </c>
      <c r="D92" s="118">
        <f t="shared" si="11"/>
        <v>4.3668341273035645E-4</v>
      </c>
      <c r="E92" s="118">
        <f t="shared" si="12"/>
        <v>4.2530147531142943E-4</v>
      </c>
      <c r="F92" s="21" t="s">
        <v>302</v>
      </c>
      <c r="G92" s="100">
        <v>551521094</v>
      </c>
      <c r="H92" s="100">
        <v>1509029</v>
      </c>
      <c r="I92" s="22" t="s">
        <v>88</v>
      </c>
      <c r="J92" s="101">
        <f t="shared" si="14"/>
        <v>2.7361220022529185E-3</v>
      </c>
      <c r="K92" s="100">
        <v>101382</v>
      </c>
      <c r="L92" s="22" t="s">
        <v>95</v>
      </c>
      <c r="M92" s="177"/>
    </row>
    <row r="93" spans="1:13" s="146" customFormat="1" ht="18.75" customHeight="1">
      <c r="A93" s="384"/>
      <c r="B93" s="385"/>
      <c r="C93" s="123">
        <f t="shared" si="13"/>
        <v>512.89707709331537</v>
      </c>
      <c r="D93" s="118">
        <f t="shared" si="11"/>
        <v>8.0742205273011142E-4</v>
      </c>
      <c r="E93" s="118">
        <f t="shared" si="12"/>
        <v>7.8637699581490784E-4</v>
      </c>
      <c r="F93" s="21" t="s">
        <v>303</v>
      </c>
      <c r="G93" s="100">
        <v>700480693</v>
      </c>
      <c r="H93" s="100">
        <v>1381825</v>
      </c>
      <c r="I93" s="22" t="s">
        <v>88</v>
      </c>
      <c r="J93" s="101">
        <f t="shared" si="14"/>
        <v>1.9726810657435209E-3</v>
      </c>
      <c r="K93" s="100">
        <v>260000</v>
      </c>
      <c r="L93" s="22" t="s">
        <v>96</v>
      </c>
      <c r="M93" s="177"/>
    </row>
    <row r="94" spans="1:13" s="146" customFormat="1" ht="18.75" customHeight="1">
      <c r="A94" s="384"/>
      <c r="B94" s="385"/>
      <c r="C94" s="123">
        <f t="shared" si="13"/>
        <v>0</v>
      </c>
      <c r="D94" s="118">
        <f t="shared" si="11"/>
        <v>0</v>
      </c>
      <c r="E94" s="118">
        <f t="shared" si="12"/>
        <v>0</v>
      </c>
      <c r="F94" s="21" t="s">
        <v>304</v>
      </c>
      <c r="G94" s="100">
        <v>28149877</v>
      </c>
      <c r="H94" s="100">
        <v>971000</v>
      </c>
      <c r="I94" s="22" t="s">
        <v>88</v>
      </c>
      <c r="J94" s="101">
        <f t="shared" si="14"/>
        <v>3.449393402322859E-2</v>
      </c>
      <c r="K94" s="100">
        <v>0</v>
      </c>
      <c r="L94" s="22" t="s">
        <v>98</v>
      </c>
      <c r="M94" s="177"/>
    </row>
    <row r="95" spans="1:13" s="146" customFormat="1" ht="18.75" customHeight="1">
      <c r="A95" s="384"/>
      <c r="B95" s="385"/>
      <c r="C95" s="123">
        <f t="shared" si="13"/>
        <v>1771.2732742793926</v>
      </c>
      <c r="D95" s="118">
        <f t="shared" si="11"/>
        <v>2.7884056410882054E-3</v>
      </c>
      <c r="E95" s="118">
        <f t="shared" si="12"/>
        <v>2.7157272256040656E-3</v>
      </c>
      <c r="F95" s="21" t="s">
        <v>305</v>
      </c>
      <c r="G95" s="100">
        <v>271056029</v>
      </c>
      <c r="H95" s="100">
        <v>1600381</v>
      </c>
      <c r="I95" s="22" t="s">
        <v>88</v>
      </c>
      <c r="J95" s="101">
        <f t="shared" si="14"/>
        <v>5.9042442475979754E-3</v>
      </c>
      <c r="K95" s="100">
        <v>300000</v>
      </c>
      <c r="L95" s="22" t="s">
        <v>99</v>
      </c>
      <c r="M95" s="177"/>
    </row>
    <row r="96" spans="1:13" s="146" customFormat="1" ht="18.75" customHeight="1">
      <c r="A96" s="384"/>
      <c r="B96" s="385"/>
      <c r="C96" s="123">
        <f t="shared" si="13"/>
        <v>503.4498897353115</v>
      </c>
      <c r="D96" s="118">
        <f t="shared" si="11"/>
        <v>7.9254993169492437E-4</v>
      </c>
      <c r="E96" s="118">
        <f t="shared" si="12"/>
        <v>7.7189250926725677E-4</v>
      </c>
      <c r="F96" s="21" t="s">
        <v>306</v>
      </c>
      <c r="G96" s="100">
        <v>1075540607</v>
      </c>
      <c r="H96" s="100">
        <v>1289240</v>
      </c>
      <c r="I96" s="22" t="s">
        <v>88</v>
      </c>
      <c r="J96" s="101">
        <f t="shared" si="14"/>
        <v>1.1986902136555035E-3</v>
      </c>
      <c r="K96" s="100">
        <v>420000</v>
      </c>
      <c r="L96" s="22" t="s">
        <v>116</v>
      </c>
      <c r="M96" s="177"/>
    </row>
    <row r="97" spans="1:13" s="146" customFormat="1" ht="18.75" customHeight="1">
      <c r="A97" s="384"/>
      <c r="B97" s="385"/>
      <c r="C97" s="123">
        <f t="shared" si="13"/>
        <v>0</v>
      </c>
      <c r="D97" s="118">
        <f t="shared" si="11"/>
        <v>0</v>
      </c>
      <c r="E97" s="118">
        <f t="shared" si="12"/>
        <v>0</v>
      </c>
      <c r="F97" s="21" t="s">
        <v>307</v>
      </c>
      <c r="G97" s="100">
        <v>490727495</v>
      </c>
      <c r="H97" s="100">
        <v>1822688</v>
      </c>
      <c r="I97" s="22" t="s">
        <v>88</v>
      </c>
      <c r="J97" s="101">
        <f t="shared" si="14"/>
        <v>3.7142569319454986E-3</v>
      </c>
      <c r="K97" s="100">
        <v>0</v>
      </c>
      <c r="L97" s="22" t="s">
        <v>98</v>
      </c>
      <c r="M97" s="177"/>
    </row>
    <row r="98" spans="1:13" s="146" customFormat="1" ht="18.75" customHeight="1">
      <c r="A98" s="384"/>
      <c r="B98" s="385"/>
      <c r="C98" s="123">
        <f t="shared" si="13"/>
        <v>160.19417475728153</v>
      </c>
      <c r="D98" s="118">
        <f t="shared" si="11"/>
        <v>2.5218375224703773E-4</v>
      </c>
      <c r="E98" s="118">
        <f t="shared" si="12"/>
        <v>2.4561070733058619E-4</v>
      </c>
      <c r="F98" s="21" t="s">
        <v>308</v>
      </c>
      <c r="G98" s="100">
        <v>206000000</v>
      </c>
      <c r="H98" s="100">
        <v>66000</v>
      </c>
      <c r="I98" s="22" t="s">
        <v>88</v>
      </c>
      <c r="J98" s="101">
        <f t="shared" si="14"/>
        <v>3.2038834951456308E-4</v>
      </c>
      <c r="K98" s="100">
        <v>500000</v>
      </c>
      <c r="L98" s="22" t="s">
        <v>100</v>
      </c>
      <c r="M98" s="177"/>
    </row>
    <row r="99" spans="1:13" s="137" customFormat="1" ht="18.75" customHeight="1" thickBot="1">
      <c r="A99" s="85">
        <v>16</v>
      </c>
      <c r="B99" s="88" t="s">
        <v>0</v>
      </c>
      <c r="C99" s="377" t="s">
        <v>46</v>
      </c>
      <c r="D99" s="377"/>
      <c r="E99" s="377"/>
      <c r="F99" s="377"/>
      <c r="G99" s="377"/>
      <c r="H99" s="377"/>
      <c r="I99" s="377"/>
      <c r="J99" s="377"/>
      <c r="K99" s="377"/>
      <c r="L99" s="378"/>
      <c r="M99" s="64"/>
    </row>
    <row r="100" spans="1:13" ht="18.75" customHeight="1" thickBot="1">
      <c r="A100" s="400" t="s">
        <v>17</v>
      </c>
      <c r="B100" s="401"/>
      <c r="C100" s="119">
        <f>SUM(C86,C83,C74,C72,C69,C65,C60,C56,C44,C38,C30,C25,C8)</f>
        <v>635227.97694102139</v>
      </c>
      <c r="D100" s="129">
        <f>+C100/$C$100</f>
        <v>1</v>
      </c>
      <c r="E100" s="129">
        <f>+C100/$C$103</f>
        <v>0.97393549402812996</v>
      </c>
      <c r="F100" s="72"/>
      <c r="G100" s="72"/>
      <c r="H100" s="73"/>
      <c r="I100" s="73"/>
      <c r="J100" s="73"/>
      <c r="K100" s="73"/>
      <c r="L100" s="73"/>
      <c r="M100" s="74"/>
    </row>
    <row r="101" spans="1:13" ht="18.75" customHeight="1" thickTop="1">
      <c r="A101" s="392" t="s">
        <v>25</v>
      </c>
      <c r="B101" s="393"/>
      <c r="C101" s="83">
        <v>5000</v>
      </c>
      <c r="D101" s="49"/>
      <c r="E101" s="124">
        <f>+C101/$C$103</f>
        <v>7.6660311681970858E-3</v>
      </c>
      <c r="F101" s="10"/>
      <c r="G101" s="10"/>
      <c r="H101" s="79"/>
      <c r="I101" s="79"/>
      <c r="J101" s="79"/>
      <c r="K101" s="79"/>
      <c r="L101" s="79"/>
      <c r="M101" s="62"/>
    </row>
    <row r="102" spans="1:13" ht="18.75" customHeight="1" thickBot="1">
      <c r="A102" s="394" t="s">
        <v>26</v>
      </c>
      <c r="B102" s="395"/>
      <c r="C102" s="84">
        <v>12000</v>
      </c>
      <c r="D102" s="50"/>
      <c r="E102" s="165">
        <f>+C102/$C$103</f>
        <v>1.8398474803673005E-2</v>
      </c>
      <c r="F102" s="11"/>
      <c r="G102" s="11"/>
      <c r="H102" s="173"/>
      <c r="I102" s="173"/>
      <c r="J102" s="173"/>
      <c r="K102" s="173"/>
      <c r="L102" s="173"/>
      <c r="M102" s="63"/>
    </row>
    <row r="103" spans="1:13" ht="18.75" customHeight="1" thickTop="1" thickBot="1">
      <c r="A103" s="396" t="s">
        <v>18</v>
      </c>
      <c r="B103" s="397"/>
      <c r="C103" s="163">
        <f>SUM(C100:C102)</f>
        <v>652227.97694102139</v>
      </c>
      <c r="D103" s="166"/>
      <c r="E103" s="164">
        <f>+C103/$C$103</f>
        <v>1</v>
      </c>
      <c r="F103" s="75"/>
      <c r="G103" s="75"/>
      <c r="H103" s="76"/>
      <c r="I103" s="76"/>
      <c r="J103" s="76"/>
      <c r="K103" s="76"/>
      <c r="L103" s="76"/>
      <c r="M103" s="77"/>
    </row>
    <row r="105" spans="1:13" ht="14.25" thickBot="1">
      <c r="E105" s="373" t="s">
        <v>23</v>
      </c>
      <c r="F105" s="374"/>
      <c r="G105" s="172" t="s">
        <v>309</v>
      </c>
      <c r="H105" s="172" t="s">
        <v>27</v>
      </c>
    </row>
    <row r="106" spans="1:13" ht="14.25" thickTop="1">
      <c r="E106" s="52" t="s">
        <v>310</v>
      </c>
      <c r="F106" s="53"/>
      <c r="G106" s="7">
        <f>C101</f>
        <v>5000</v>
      </c>
      <c r="H106" s="9">
        <f t="shared" ref="H106:H122" si="15">G106/$G$123</f>
        <v>7.5479903839344789E-3</v>
      </c>
    </row>
    <row r="107" spans="1:13">
      <c r="E107" s="54" t="s">
        <v>311</v>
      </c>
      <c r="F107" s="55"/>
      <c r="G107" s="7">
        <f>C102</f>
        <v>12000</v>
      </c>
      <c r="H107" s="9">
        <f t="shared" si="15"/>
        <v>1.8115176921442749E-2</v>
      </c>
    </row>
    <row r="108" spans="1:13">
      <c r="E108" s="5" t="s">
        <v>484</v>
      </c>
      <c r="F108" s="5" t="s">
        <v>4</v>
      </c>
      <c r="G108" s="8">
        <f>C8</f>
        <v>203727</v>
      </c>
      <c r="H108" s="9">
        <f t="shared" si="15"/>
        <v>0.3075458873895639</v>
      </c>
    </row>
    <row r="109" spans="1:13">
      <c r="E109" s="16" t="s">
        <v>483</v>
      </c>
      <c r="F109" s="16" t="s">
        <v>5</v>
      </c>
      <c r="G109" s="8">
        <f>C25</f>
        <v>25650</v>
      </c>
      <c r="H109" s="9">
        <f t="shared" si="15"/>
        <v>3.8721190669583877E-2</v>
      </c>
    </row>
    <row r="110" spans="1:13">
      <c r="E110" s="5" t="s">
        <v>482</v>
      </c>
      <c r="F110" s="16" t="s">
        <v>6</v>
      </c>
      <c r="G110" s="8">
        <f>C30</f>
        <v>19525.100000000002</v>
      </c>
      <c r="H110" s="9">
        <f t="shared" si="15"/>
        <v>2.9475053409071823E-2</v>
      </c>
    </row>
    <row r="111" spans="1:13">
      <c r="E111" s="16" t="s">
        <v>481</v>
      </c>
      <c r="F111" s="16" t="s">
        <v>7</v>
      </c>
      <c r="G111" s="8">
        <f>C38</f>
        <v>63411.555998799995</v>
      </c>
      <c r="H111" s="9">
        <f t="shared" si="15"/>
        <v>9.5725962981853013E-2</v>
      </c>
    </row>
    <row r="112" spans="1:13">
      <c r="E112" s="5" t="s">
        <v>480</v>
      </c>
      <c r="F112" s="154" t="s">
        <v>8</v>
      </c>
      <c r="G112" s="8">
        <f>C44</f>
        <v>100351.29574849999</v>
      </c>
      <c r="H112" s="9">
        <f t="shared" si="15"/>
        <v>0.15149012306500859</v>
      </c>
    </row>
    <row r="113" spans="5:9">
      <c r="E113" s="5" t="s">
        <v>133</v>
      </c>
      <c r="F113" s="16" t="s">
        <v>9</v>
      </c>
      <c r="G113" s="8">
        <f>C56</f>
        <v>14.933500000000002</v>
      </c>
      <c r="H113" s="9">
        <f t="shared" si="15"/>
        <v>2.2543582879697112E-5</v>
      </c>
    </row>
    <row r="114" spans="5:9">
      <c r="E114" s="16" t="s">
        <v>134</v>
      </c>
      <c r="F114" s="16" t="s">
        <v>10</v>
      </c>
      <c r="G114" s="8">
        <f>C60</f>
        <v>8415.2582169512971</v>
      </c>
      <c r="H114" s="9">
        <f t="shared" si="15"/>
        <v>1.2703657619974799E-2</v>
      </c>
    </row>
    <row r="115" spans="5:9">
      <c r="E115" s="5" t="s">
        <v>135</v>
      </c>
      <c r="F115" s="16" t="s">
        <v>11</v>
      </c>
      <c r="G115" s="8">
        <f>C65</f>
        <v>12.875</v>
      </c>
      <c r="H115" s="9">
        <f t="shared" si="15"/>
        <v>1.9436075238631282E-5</v>
      </c>
    </row>
    <row r="116" spans="5:9">
      <c r="E116" s="16" t="s">
        <v>136</v>
      </c>
      <c r="F116" s="16" t="s">
        <v>12</v>
      </c>
      <c r="G116" s="8">
        <v>0</v>
      </c>
      <c r="H116" s="9">
        <f t="shared" si="15"/>
        <v>0</v>
      </c>
    </row>
    <row r="117" spans="5:9">
      <c r="E117" s="5" t="s">
        <v>137</v>
      </c>
      <c r="F117" s="16" t="s">
        <v>13</v>
      </c>
      <c r="G117" s="28">
        <f>C70</f>
        <v>10200</v>
      </c>
      <c r="H117" s="9">
        <f t="shared" si="15"/>
        <v>1.5397900383226337E-2</v>
      </c>
    </row>
    <row r="118" spans="5:9">
      <c r="E118" s="5" t="s">
        <v>138</v>
      </c>
      <c r="F118" s="12" t="s">
        <v>14</v>
      </c>
      <c r="G118" s="8">
        <f>C72</f>
        <v>147000</v>
      </c>
      <c r="H118" s="9">
        <f t="shared" si="15"/>
        <v>0.22191091728767368</v>
      </c>
    </row>
    <row r="119" spans="5:9">
      <c r="E119" s="16" t="s">
        <v>139</v>
      </c>
      <c r="F119" s="16" t="s">
        <v>15</v>
      </c>
      <c r="G119" s="8">
        <f>C74</f>
        <v>54730.2947006826</v>
      </c>
      <c r="H119" s="9">
        <f t="shared" si="15"/>
        <v>8.262074762213048E-2</v>
      </c>
    </row>
    <row r="120" spans="5:9">
      <c r="E120" s="5" t="s">
        <v>140</v>
      </c>
      <c r="F120" s="19" t="s">
        <v>2</v>
      </c>
      <c r="G120" s="8">
        <f>C83</f>
        <v>7840</v>
      </c>
      <c r="H120" s="9">
        <f t="shared" si="15"/>
        <v>1.1835248922009262E-2</v>
      </c>
    </row>
    <row r="121" spans="5:9">
      <c r="E121" s="16" t="s">
        <v>141</v>
      </c>
      <c r="F121" s="16" t="s">
        <v>479</v>
      </c>
      <c r="G121" s="28">
        <v>0</v>
      </c>
      <c r="H121" s="9">
        <f t="shared" si="15"/>
        <v>0</v>
      </c>
    </row>
    <row r="122" spans="5:9" ht="14.25" thickBot="1">
      <c r="E122" s="5" t="s">
        <v>142</v>
      </c>
      <c r="F122" s="80" t="s">
        <v>1</v>
      </c>
      <c r="G122" s="6">
        <f>C86</f>
        <v>4549.6637760875337</v>
      </c>
      <c r="H122" s="81">
        <f t="shared" si="15"/>
        <v>6.8681636864087467E-3</v>
      </c>
    </row>
    <row r="123" spans="5:9" ht="14.25" thickTop="1">
      <c r="E123" s="375" t="s">
        <v>18</v>
      </c>
      <c r="F123" s="376"/>
      <c r="G123" s="7">
        <f>SUM(G106:G122)</f>
        <v>662427.97694102139</v>
      </c>
      <c r="H123" s="9">
        <f>G123/G123</f>
        <v>1</v>
      </c>
      <c r="I123" s="51"/>
    </row>
  </sheetData>
  <mergeCells count="32">
    <mergeCell ref="E105:F105"/>
    <mergeCell ref="E123:F123"/>
    <mergeCell ref="C99:L99"/>
    <mergeCell ref="C85:M85"/>
    <mergeCell ref="A102:B102"/>
    <mergeCell ref="A103:B103"/>
    <mergeCell ref="A101:B101"/>
    <mergeCell ref="A87:B98"/>
    <mergeCell ref="A100:B100"/>
    <mergeCell ref="A84:B84"/>
    <mergeCell ref="A9:B24"/>
    <mergeCell ref="A31:B37"/>
    <mergeCell ref="A39:B43"/>
    <mergeCell ref="A26:B29"/>
    <mergeCell ref="A45:B55"/>
    <mergeCell ref="M6:M7"/>
    <mergeCell ref="A6:B7"/>
    <mergeCell ref="C6:C7"/>
    <mergeCell ref="D6:E6"/>
    <mergeCell ref="F6:F7"/>
    <mergeCell ref="J6:L6"/>
    <mergeCell ref="G6:I6"/>
    <mergeCell ref="M40:M41"/>
    <mergeCell ref="M45:M52"/>
    <mergeCell ref="A73:B73"/>
    <mergeCell ref="I75:I82"/>
    <mergeCell ref="A61:B64"/>
    <mergeCell ref="A66:B68"/>
    <mergeCell ref="C69:M69"/>
    <mergeCell ref="A57:B59"/>
    <mergeCell ref="A71:B71"/>
    <mergeCell ref="A75:B82"/>
  </mergeCells>
  <phoneticPr fontId="3"/>
  <pageMargins left="0.70866141732283472" right="0.70866141732283472" top="0.74803149606299213" bottom="0.74803149606299213" header="0.31496062992125984" footer="0.31496062992125984"/>
  <pageSetup paperSize="8" scale="53" fitToHeight="2" orientation="landscape" r:id="rId1"/>
  <rowBreaks count="1" manualBreakCount="1">
    <brk id="64" max="1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1"/>
  <sheetViews>
    <sheetView tabSelected="1" view="pageBreakPreview" zoomScale="80" zoomScaleNormal="85" zoomScaleSheetLayoutView="80" workbookViewId="0">
      <pane ySplit="7" topLeftCell="A20" activePane="bottomLeft" state="frozen"/>
      <selection pane="bottomLeft" activeCell="F27" sqref="F27"/>
    </sheetView>
  </sheetViews>
  <sheetFormatPr defaultRowHeight="13.5"/>
  <cols>
    <col min="1" max="1" width="3.5" style="130" bestFit="1" customWidth="1"/>
    <col min="2" max="2" width="29.875" style="130" customWidth="1"/>
    <col min="3" max="3" width="10.875" style="3" customWidth="1"/>
    <col min="4" max="4" width="7.875" style="4" bestFit="1" customWidth="1"/>
    <col min="5" max="5" width="9.875" style="4" bestFit="1" customWidth="1"/>
    <col min="6" max="6" width="24.75" style="1" customWidth="1"/>
    <col min="7" max="7" width="13.125" style="1" customWidth="1"/>
    <col min="8" max="8" width="13.125" style="130" customWidth="1"/>
    <col min="9" max="9" width="40" style="130" customWidth="1"/>
    <col min="10" max="11" width="13.125" style="130" customWidth="1"/>
    <col min="12" max="12" width="40" style="130" customWidth="1"/>
    <col min="13" max="13" width="65.75" style="1" customWidth="1"/>
    <col min="14" max="16384" width="9" style="130"/>
  </cols>
  <sheetData>
    <row r="2" spans="1:13">
      <c r="B2" s="130" t="s">
        <v>877</v>
      </c>
    </row>
    <row r="3" spans="1:13">
      <c r="B3" s="130" t="s">
        <v>876</v>
      </c>
    </row>
    <row r="5" spans="1:13" ht="14.25" thickBot="1"/>
    <row r="6" spans="1:13" ht="14.25" thickBot="1">
      <c r="A6" s="412" t="s">
        <v>48</v>
      </c>
      <c r="B6" s="412"/>
      <c r="C6" s="413" t="s">
        <v>49</v>
      </c>
      <c r="D6" s="415" t="s">
        <v>121</v>
      </c>
      <c r="E6" s="415"/>
      <c r="F6" s="416" t="s">
        <v>16</v>
      </c>
      <c r="G6" s="417" t="s">
        <v>50</v>
      </c>
      <c r="H6" s="418"/>
      <c r="I6" s="419"/>
      <c r="J6" s="412" t="s">
        <v>51</v>
      </c>
      <c r="K6" s="412"/>
      <c r="L6" s="412"/>
      <c r="M6" s="410" t="s">
        <v>43</v>
      </c>
    </row>
    <row r="7" spans="1:13" s="2" customFormat="1" ht="14.25" thickBot="1">
      <c r="A7" s="412"/>
      <c r="B7" s="412"/>
      <c r="C7" s="414"/>
      <c r="D7" s="90" t="s">
        <v>52</v>
      </c>
      <c r="E7" s="90" t="s">
        <v>53</v>
      </c>
      <c r="F7" s="416"/>
      <c r="G7" s="91" t="s">
        <v>54</v>
      </c>
      <c r="H7" s="92" t="s">
        <v>55</v>
      </c>
      <c r="I7" s="92" t="s">
        <v>56</v>
      </c>
      <c r="J7" s="92" t="s">
        <v>57</v>
      </c>
      <c r="K7" s="92" t="s">
        <v>55</v>
      </c>
      <c r="L7" s="169" t="s">
        <v>56</v>
      </c>
      <c r="M7" s="411"/>
    </row>
    <row r="8" spans="1:13" ht="18.75" customHeight="1">
      <c r="A8" s="89">
        <v>1</v>
      </c>
      <c r="B8" s="68" t="s">
        <v>4</v>
      </c>
      <c r="C8" s="65">
        <f>SUM(C9:C18)</f>
        <v>37683</v>
      </c>
      <c r="D8" s="36">
        <f t="shared" ref="D8:D42" si="0">+C8/$C$68</f>
        <v>0.25767543110024738</v>
      </c>
      <c r="E8" s="36">
        <f t="shared" ref="E8:E42" si="1">+C8/$C$71</f>
        <v>0.19008574449676158</v>
      </c>
      <c r="F8" s="24"/>
      <c r="G8" s="24"/>
      <c r="H8" s="35"/>
      <c r="I8" s="35"/>
      <c r="J8" s="35"/>
      <c r="K8" s="35"/>
      <c r="L8" s="35"/>
      <c r="M8" s="56"/>
    </row>
    <row r="9" spans="1:13" s="146" customFormat="1" ht="30" customHeight="1">
      <c r="A9" s="388"/>
      <c r="B9" s="389"/>
      <c r="C9" s="125">
        <f t="shared" ref="C9:C18" si="2">+G9*J9</f>
        <v>268.10000000000002</v>
      </c>
      <c r="D9" s="124">
        <f t="shared" si="0"/>
        <v>1.8332612339244838E-3</v>
      </c>
      <c r="E9" s="124">
        <f t="shared" si="1"/>
        <v>1.35238670221537E-3</v>
      </c>
      <c r="F9" s="131" t="s">
        <v>875</v>
      </c>
      <c r="G9" s="132">
        <v>70</v>
      </c>
      <c r="H9" s="158" t="s">
        <v>863</v>
      </c>
      <c r="I9" s="31" t="s">
        <v>67</v>
      </c>
      <c r="J9" s="127">
        <v>3.83</v>
      </c>
      <c r="K9" s="274" t="s">
        <v>59</v>
      </c>
      <c r="L9" s="140" t="s">
        <v>874</v>
      </c>
      <c r="M9" s="177"/>
    </row>
    <row r="10" spans="1:13" s="146" customFormat="1" ht="30" customHeight="1">
      <c r="A10" s="388"/>
      <c r="B10" s="389"/>
      <c r="C10" s="125">
        <f t="shared" si="2"/>
        <v>484</v>
      </c>
      <c r="D10" s="124">
        <f t="shared" si="0"/>
        <v>3.3095801462866472E-3</v>
      </c>
      <c r="E10" s="124">
        <f t="shared" si="1"/>
        <v>2.4414590222761618E-3</v>
      </c>
      <c r="F10" s="131" t="s">
        <v>873</v>
      </c>
      <c r="G10" s="132">
        <v>100</v>
      </c>
      <c r="H10" s="158" t="s">
        <v>863</v>
      </c>
      <c r="I10" s="31" t="s">
        <v>67</v>
      </c>
      <c r="J10" s="127">
        <v>4.84</v>
      </c>
      <c r="K10" s="274" t="s">
        <v>59</v>
      </c>
      <c r="L10" s="140" t="s">
        <v>872</v>
      </c>
      <c r="M10" s="177"/>
    </row>
    <row r="11" spans="1:13" s="146" customFormat="1" ht="30" customHeight="1">
      <c r="A11" s="388"/>
      <c r="B11" s="389"/>
      <c r="C11" s="125">
        <f t="shared" si="2"/>
        <v>293.39999999999998</v>
      </c>
      <c r="D11" s="124">
        <f t="shared" si="0"/>
        <v>2.0062620142985584E-3</v>
      </c>
      <c r="E11" s="124">
        <f t="shared" si="1"/>
        <v>1.480008423834351E-3</v>
      </c>
      <c r="F11" s="131" t="s">
        <v>871</v>
      </c>
      <c r="G11" s="132">
        <v>90</v>
      </c>
      <c r="H11" s="158" t="s">
        <v>863</v>
      </c>
      <c r="I11" s="31" t="s">
        <v>67</v>
      </c>
      <c r="J11" s="127">
        <v>3.26</v>
      </c>
      <c r="K11" s="274" t="s">
        <v>59</v>
      </c>
      <c r="L11" s="140" t="s">
        <v>870</v>
      </c>
      <c r="M11" s="177"/>
    </row>
    <row r="12" spans="1:13" s="146" customFormat="1" ht="30" customHeight="1">
      <c r="A12" s="388"/>
      <c r="B12" s="389"/>
      <c r="C12" s="125">
        <f t="shared" si="2"/>
        <v>17500</v>
      </c>
      <c r="D12" s="124">
        <f t="shared" si="0"/>
        <v>0.11966457140499241</v>
      </c>
      <c r="E12" s="124">
        <f t="shared" si="1"/>
        <v>8.8275894400481059E-2</v>
      </c>
      <c r="F12" s="131" t="s">
        <v>869</v>
      </c>
      <c r="G12" s="132">
        <v>5000</v>
      </c>
      <c r="H12" s="158" t="s">
        <v>863</v>
      </c>
      <c r="I12" s="31" t="s">
        <v>67</v>
      </c>
      <c r="J12" s="275">
        <v>3.5</v>
      </c>
      <c r="K12" s="274" t="s">
        <v>59</v>
      </c>
      <c r="L12" s="140" t="s">
        <v>868</v>
      </c>
      <c r="M12" s="177"/>
    </row>
    <row r="13" spans="1:13" s="146" customFormat="1" ht="30" customHeight="1">
      <c r="A13" s="388"/>
      <c r="B13" s="389"/>
      <c r="C13" s="125">
        <f t="shared" si="2"/>
        <v>3876</v>
      </c>
      <c r="D13" s="124">
        <f t="shared" si="0"/>
        <v>2.6503993072328605E-2</v>
      </c>
      <c r="E13" s="124">
        <f t="shared" si="1"/>
        <v>1.9551849525500833E-2</v>
      </c>
      <c r="F13" s="131" t="s">
        <v>867</v>
      </c>
      <c r="G13" s="132">
        <v>1200</v>
      </c>
      <c r="H13" s="158" t="s">
        <v>863</v>
      </c>
      <c r="I13" s="31" t="s">
        <v>67</v>
      </c>
      <c r="J13" s="127">
        <v>3.23</v>
      </c>
      <c r="K13" s="274" t="s">
        <v>59</v>
      </c>
      <c r="L13" s="140" t="s">
        <v>866</v>
      </c>
      <c r="M13" s="177"/>
    </row>
    <row r="14" spans="1:13" s="146" customFormat="1" ht="30" customHeight="1">
      <c r="A14" s="388"/>
      <c r="B14" s="389"/>
      <c r="C14" s="125">
        <f t="shared" si="2"/>
        <v>1587</v>
      </c>
      <c r="D14" s="124">
        <f t="shared" si="0"/>
        <v>1.0851867132555598E-2</v>
      </c>
      <c r="E14" s="124">
        <f t="shared" si="1"/>
        <v>8.0053625379179101E-3</v>
      </c>
      <c r="F14" s="131" t="s">
        <v>865</v>
      </c>
      <c r="G14" s="132">
        <v>300</v>
      </c>
      <c r="H14" s="158" t="s">
        <v>863</v>
      </c>
      <c r="I14" s="31" t="s">
        <v>67</v>
      </c>
      <c r="J14" s="127">
        <v>5.29</v>
      </c>
      <c r="K14" s="274" t="s">
        <v>59</v>
      </c>
      <c r="L14" s="140" t="s">
        <v>864</v>
      </c>
      <c r="M14" s="177"/>
    </row>
    <row r="15" spans="1:13" ht="18.75" customHeight="1">
      <c r="A15" s="388"/>
      <c r="B15" s="389"/>
      <c r="C15" s="125">
        <f t="shared" si="2"/>
        <v>5050</v>
      </c>
      <c r="D15" s="124">
        <f t="shared" si="0"/>
        <v>3.4531776319726384E-2</v>
      </c>
      <c r="E15" s="124">
        <f t="shared" si="1"/>
        <v>2.547390095556739E-2</v>
      </c>
      <c r="F15" s="131" t="s">
        <v>836</v>
      </c>
      <c r="G15" s="132">
        <v>5000</v>
      </c>
      <c r="H15" s="158" t="s">
        <v>863</v>
      </c>
      <c r="I15" s="31" t="s">
        <v>67</v>
      </c>
      <c r="J15" s="127">
        <v>1.01</v>
      </c>
      <c r="K15" s="274" t="s">
        <v>59</v>
      </c>
      <c r="L15" s="140" t="s">
        <v>860</v>
      </c>
      <c r="M15" s="177"/>
    </row>
    <row r="16" spans="1:13" ht="18.75" customHeight="1">
      <c r="A16" s="388"/>
      <c r="B16" s="389"/>
      <c r="C16" s="125">
        <f t="shared" si="2"/>
        <v>8080</v>
      </c>
      <c r="D16" s="124">
        <f t="shared" si="0"/>
        <v>5.5250842111562212E-2</v>
      </c>
      <c r="E16" s="124">
        <f t="shared" si="1"/>
        <v>4.0758241528907828E-2</v>
      </c>
      <c r="F16" s="131" t="s">
        <v>862</v>
      </c>
      <c r="G16" s="132">
        <v>8000</v>
      </c>
      <c r="H16" s="158" t="s">
        <v>861</v>
      </c>
      <c r="I16" s="31" t="s">
        <v>67</v>
      </c>
      <c r="J16" s="127">
        <v>1.01</v>
      </c>
      <c r="K16" s="274" t="s">
        <v>59</v>
      </c>
      <c r="L16" s="140" t="s">
        <v>860</v>
      </c>
      <c r="M16" s="177"/>
    </row>
    <row r="17" spans="1:13" ht="18.75" customHeight="1">
      <c r="A17" s="388"/>
      <c r="B17" s="389"/>
      <c r="C17" s="125">
        <f t="shared" si="2"/>
        <v>463.5</v>
      </c>
      <c r="D17" s="124">
        <f t="shared" si="0"/>
        <v>3.1694016483550845E-3</v>
      </c>
      <c r="E17" s="124">
        <f t="shared" si="1"/>
        <v>2.3380501174070267E-3</v>
      </c>
      <c r="F17" s="136" t="s">
        <v>62</v>
      </c>
      <c r="G17" s="136">
        <v>30</v>
      </c>
      <c r="H17" s="111" t="s">
        <v>64</v>
      </c>
      <c r="I17" s="31" t="s">
        <v>67</v>
      </c>
      <c r="J17" s="47">
        <v>15.45</v>
      </c>
      <c r="K17" s="157" t="s">
        <v>59</v>
      </c>
      <c r="L17" s="273" t="s">
        <v>74</v>
      </c>
      <c r="M17" s="177"/>
    </row>
    <row r="18" spans="1:13" ht="18.75" customHeight="1">
      <c r="A18" s="388"/>
      <c r="B18" s="389"/>
      <c r="C18" s="125">
        <f t="shared" si="2"/>
        <v>81</v>
      </c>
      <c r="D18" s="124">
        <f t="shared" si="0"/>
        <v>5.5387601621739344E-4</v>
      </c>
      <c r="E18" s="124">
        <f t="shared" si="1"/>
        <v>4.0859128265365518E-4</v>
      </c>
      <c r="F18" s="136" t="s">
        <v>66</v>
      </c>
      <c r="G18" s="136">
        <v>15</v>
      </c>
      <c r="H18" s="111" t="s">
        <v>64</v>
      </c>
      <c r="I18" s="31" t="s">
        <v>67</v>
      </c>
      <c r="J18" s="47">
        <v>5.4</v>
      </c>
      <c r="K18" s="157" t="s">
        <v>59</v>
      </c>
      <c r="L18" s="273" t="s">
        <v>73</v>
      </c>
      <c r="M18" s="177"/>
    </row>
    <row r="19" spans="1:13" s="146" customFormat="1" ht="18.75" customHeight="1">
      <c r="A19" s="60">
        <v>2</v>
      </c>
      <c r="B19" s="69" t="s">
        <v>5</v>
      </c>
      <c r="C19" s="93">
        <f>SUM(C20:C20)</f>
        <v>11399.999999999998</v>
      </c>
      <c r="D19" s="42">
        <f t="shared" si="0"/>
        <v>7.7952920800966469E-2</v>
      </c>
      <c r="E19" s="42">
        <f t="shared" si="1"/>
        <v>5.7505439780884793E-2</v>
      </c>
      <c r="F19" s="94"/>
      <c r="G19" s="95"/>
      <c r="H19" s="95"/>
      <c r="I19" s="95"/>
      <c r="J19" s="95"/>
      <c r="K19" s="95"/>
      <c r="L19" s="95"/>
      <c r="M19" s="175"/>
    </row>
    <row r="20" spans="1:13" s="146" customFormat="1" ht="45" customHeight="1">
      <c r="A20" s="386" t="s">
        <v>104</v>
      </c>
      <c r="B20" s="387"/>
      <c r="C20" s="123">
        <f>+G20*J20</f>
        <v>11399.999999999998</v>
      </c>
      <c r="D20" s="118">
        <f t="shared" si="0"/>
        <v>7.7952920800966469E-2</v>
      </c>
      <c r="E20" s="118">
        <f t="shared" si="1"/>
        <v>5.7505439780884793E-2</v>
      </c>
      <c r="F20" s="134" t="s">
        <v>859</v>
      </c>
      <c r="G20" s="186">
        <v>5000</v>
      </c>
      <c r="H20" s="272" t="s">
        <v>156</v>
      </c>
      <c r="I20" s="272" t="s">
        <v>858</v>
      </c>
      <c r="J20" s="134">
        <v>2.2799999999999998</v>
      </c>
      <c r="K20" s="271" t="s">
        <v>857</v>
      </c>
      <c r="L20" s="138" t="s">
        <v>856</v>
      </c>
      <c r="M20" s="176"/>
    </row>
    <row r="21" spans="1:13" s="137" customFormat="1" ht="18.75" customHeight="1">
      <c r="A21" s="85">
        <v>3</v>
      </c>
      <c r="B21" s="70" t="s">
        <v>6</v>
      </c>
      <c r="C21" s="66">
        <f>SUM(C22:C24)</f>
        <v>7905</v>
      </c>
      <c r="D21" s="43">
        <f t="shared" si="0"/>
        <v>5.4054196397512286E-2</v>
      </c>
      <c r="E21" s="43">
        <f t="shared" si="1"/>
        <v>3.9875482584903019E-2</v>
      </c>
      <c r="F21" s="25"/>
      <c r="G21" s="25"/>
      <c r="H21" s="44"/>
      <c r="I21" s="44"/>
      <c r="J21" s="25"/>
      <c r="K21" s="44"/>
      <c r="L21" s="44"/>
      <c r="M21" s="57"/>
    </row>
    <row r="22" spans="1:13" s="137" customFormat="1" ht="18.75" customHeight="1">
      <c r="A22" s="431" t="s">
        <v>104</v>
      </c>
      <c r="B22" s="432"/>
      <c r="C22" s="117">
        <f>+G22*J22</f>
        <v>7080</v>
      </c>
      <c r="D22" s="116">
        <f t="shared" si="0"/>
        <v>4.8412866602705502E-2</v>
      </c>
      <c r="E22" s="116">
        <f t="shared" si="1"/>
        <v>3.5713904706023196E-2</v>
      </c>
      <c r="F22" s="32" t="s">
        <v>29</v>
      </c>
      <c r="G22" s="96">
        <v>200000</v>
      </c>
      <c r="H22" s="33" t="s">
        <v>855</v>
      </c>
      <c r="I22" s="33" t="s">
        <v>75</v>
      </c>
      <c r="J22" s="33">
        <v>3.5400000000000001E-2</v>
      </c>
      <c r="K22" s="33" t="s">
        <v>854</v>
      </c>
      <c r="L22" s="22" t="s">
        <v>44</v>
      </c>
      <c r="M22" s="58"/>
    </row>
    <row r="23" spans="1:13" s="137" customFormat="1" ht="18.75" customHeight="1">
      <c r="A23" s="433"/>
      <c r="B23" s="434"/>
      <c r="C23" s="117">
        <f>+G23*J23</f>
        <v>686</v>
      </c>
      <c r="D23" s="116">
        <f t="shared" si="0"/>
        <v>4.6908511990757023E-3</v>
      </c>
      <c r="E23" s="116">
        <f t="shared" si="1"/>
        <v>3.4604150604988573E-3</v>
      </c>
      <c r="F23" s="141" t="s">
        <v>178</v>
      </c>
      <c r="G23" s="96">
        <v>2000</v>
      </c>
      <c r="H23" s="156" t="s">
        <v>170</v>
      </c>
      <c r="I23" s="33" t="s">
        <v>75</v>
      </c>
      <c r="J23" s="181">
        <v>0.34300000000000003</v>
      </c>
      <c r="K23" s="157" t="s">
        <v>205</v>
      </c>
      <c r="L23" s="141" t="s">
        <v>853</v>
      </c>
      <c r="M23" s="58"/>
    </row>
    <row r="24" spans="1:13" s="137" customFormat="1" ht="18.75" customHeight="1">
      <c r="A24" s="435"/>
      <c r="B24" s="436"/>
      <c r="C24" s="117">
        <f>+G24*J24</f>
        <v>139</v>
      </c>
      <c r="D24" s="116">
        <f t="shared" si="0"/>
        <v>9.5047859573108256E-4</v>
      </c>
      <c r="E24" s="116">
        <f t="shared" si="1"/>
        <v>7.0116281838096387E-4</v>
      </c>
      <c r="F24" s="32" t="s">
        <v>30</v>
      </c>
      <c r="G24" s="96">
        <v>10000</v>
      </c>
      <c r="H24" s="33" t="s">
        <v>852</v>
      </c>
      <c r="I24" s="33" t="s">
        <v>75</v>
      </c>
      <c r="J24" s="33">
        <v>1.3899999999999999E-2</v>
      </c>
      <c r="K24" s="33" t="s">
        <v>851</v>
      </c>
      <c r="L24" s="22" t="s">
        <v>45</v>
      </c>
      <c r="M24" s="58"/>
    </row>
    <row r="25" spans="1:13" s="146" customFormat="1" ht="18.75" customHeight="1">
      <c r="A25" s="60">
        <v>4</v>
      </c>
      <c r="B25" s="175" t="s">
        <v>7</v>
      </c>
      <c r="C25" s="67">
        <f>SUM(C26:C29)</f>
        <v>81.104611249999991</v>
      </c>
      <c r="D25" s="42">
        <f t="shared" si="0"/>
        <v>5.5459134538284429E-4</v>
      </c>
      <c r="E25" s="42">
        <f t="shared" si="1"/>
        <v>4.0911897703411814E-4</v>
      </c>
      <c r="F25" s="174"/>
      <c r="G25" s="174"/>
      <c r="H25" s="41"/>
      <c r="I25" s="41"/>
      <c r="J25" s="41"/>
      <c r="K25" s="41"/>
      <c r="L25" s="41"/>
      <c r="M25" s="175"/>
    </row>
    <row r="26" spans="1:13" s="146" customFormat="1" ht="60" customHeight="1">
      <c r="A26" s="423" t="s">
        <v>103</v>
      </c>
      <c r="B26" s="424"/>
      <c r="C26" s="117">
        <f>+G26*J26</f>
        <v>27.751249999999999</v>
      </c>
      <c r="D26" s="118">
        <f t="shared" si="0"/>
        <v>1.8976236784015973E-4</v>
      </c>
      <c r="E26" s="118">
        <f t="shared" si="1"/>
        <v>1.3998665225607715E-4</v>
      </c>
      <c r="F26" s="250" t="s">
        <v>68</v>
      </c>
      <c r="G26" s="200">
        <f>(G12*0.0625+G13*0.05)*500</f>
        <v>186250</v>
      </c>
      <c r="H26" s="31" t="s">
        <v>745</v>
      </c>
      <c r="I26" s="136" t="s">
        <v>850</v>
      </c>
      <c r="J26" s="34">
        <v>1.4899999999999999E-4</v>
      </c>
      <c r="K26" s="31" t="s">
        <v>743</v>
      </c>
      <c r="L26" s="136" t="s">
        <v>843</v>
      </c>
      <c r="M26" s="177" t="s">
        <v>849</v>
      </c>
    </row>
    <row r="27" spans="1:13" s="146" customFormat="1" ht="60" customHeight="1">
      <c r="A27" s="425"/>
      <c r="B27" s="426"/>
      <c r="C27" s="117">
        <f>+G27*J27</f>
        <v>5.5502499999999992</v>
      </c>
      <c r="D27" s="118">
        <f t="shared" si="0"/>
        <v>3.7952473568031942E-5</v>
      </c>
      <c r="E27" s="118">
        <f t="shared" si="1"/>
        <v>2.7997330451215426E-5</v>
      </c>
      <c r="F27" s="250" t="s">
        <v>69</v>
      </c>
      <c r="G27" s="200">
        <f>(G12*0.0625+G13*0.05)*100</f>
        <v>37250</v>
      </c>
      <c r="H27" s="31" t="s">
        <v>745</v>
      </c>
      <c r="I27" s="136" t="s">
        <v>848</v>
      </c>
      <c r="J27" s="34">
        <v>1.4899999999999999E-4</v>
      </c>
      <c r="K27" s="31" t="s">
        <v>743</v>
      </c>
      <c r="L27" s="136" t="s">
        <v>843</v>
      </c>
      <c r="M27" s="177" t="s">
        <v>847</v>
      </c>
    </row>
    <row r="28" spans="1:13" s="146" customFormat="1" ht="60" customHeight="1">
      <c r="A28" s="425"/>
      <c r="B28" s="426"/>
      <c r="C28" s="117">
        <f>+G28*J28</f>
        <v>20.051861249999998</v>
      </c>
      <c r="D28" s="118">
        <f t="shared" si="0"/>
        <v>1.3711413613449287E-4</v>
      </c>
      <c r="E28" s="118">
        <f t="shared" si="1"/>
        <v>1.0114834207074845E-4</v>
      </c>
      <c r="F28" s="250" t="s">
        <v>846</v>
      </c>
      <c r="G28" s="200">
        <f>(G12*0.0625+G13*0.05)*2111</f>
        <v>786347.5</v>
      </c>
      <c r="H28" s="31" t="s">
        <v>745</v>
      </c>
      <c r="I28" s="99" t="s">
        <v>845</v>
      </c>
      <c r="J28" s="34">
        <v>2.55E-5</v>
      </c>
      <c r="K28" s="31" t="s">
        <v>743</v>
      </c>
      <c r="L28" s="136" t="s">
        <v>87</v>
      </c>
      <c r="M28" s="177"/>
    </row>
    <row r="29" spans="1:13" s="146" customFormat="1" ht="60" customHeight="1">
      <c r="A29" s="427"/>
      <c r="B29" s="428"/>
      <c r="C29" s="117">
        <f>+G29*J29</f>
        <v>27.751249999999999</v>
      </c>
      <c r="D29" s="118">
        <f t="shared" si="0"/>
        <v>1.8976236784015973E-4</v>
      </c>
      <c r="E29" s="118">
        <f t="shared" si="1"/>
        <v>1.3998665225607715E-4</v>
      </c>
      <c r="F29" s="250" t="s">
        <v>540</v>
      </c>
      <c r="G29" s="200">
        <f>(G12*0.0625+G13*0.05)*500</f>
        <v>186250</v>
      </c>
      <c r="H29" s="31" t="s">
        <v>745</v>
      </c>
      <c r="I29" s="136" t="s">
        <v>844</v>
      </c>
      <c r="J29" s="34">
        <v>1.4899999999999999E-4</v>
      </c>
      <c r="K29" s="31" t="s">
        <v>743</v>
      </c>
      <c r="L29" s="136" t="s">
        <v>843</v>
      </c>
      <c r="M29" s="177" t="s">
        <v>270</v>
      </c>
    </row>
    <row r="30" spans="1:13" s="18" customFormat="1" ht="18.75" customHeight="1">
      <c r="A30" s="86">
        <v>5</v>
      </c>
      <c r="B30" s="71" t="s">
        <v>8</v>
      </c>
      <c r="C30" s="67">
        <f>SUM(C31:C32)</f>
        <v>265.47000000000003</v>
      </c>
      <c r="D30" s="42">
        <f t="shared" si="0"/>
        <v>1.8152773583361907E-3</v>
      </c>
      <c r="E30" s="42">
        <f t="shared" si="1"/>
        <v>1.3391200963711835E-3</v>
      </c>
      <c r="F30" s="26"/>
      <c r="G30" s="26"/>
      <c r="H30" s="46"/>
      <c r="I30" s="46"/>
      <c r="J30" s="46"/>
      <c r="K30" s="46"/>
      <c r="L30" s="46"/>
      <c r="M30" s="59"/>
    </row>
    <row r="31" spans="1:13" s="18" customFormat="1" ht="30" customHeight="1">
      <c r="A31" s="382" t="s">
        <v>842</v>
      </c>
      <c r="B31" s="383"/>
      <c r="C31" s="122">
        <f>+G31*J31</f>
        <v>87.39</v>
      </c>
      <c r="D31" s="118">
        <f t="shared" si="0"/>
        <v>5.9757067971898787E-4</v>
      </c>
      <c r="E31" s="118">
        <f t="shared" si="1"/>
        <v>4.4082459495188797E-4</v>
      </c>
      <c r="F31" s="153" t="s">
        <v>272</v>
      </c>
      <c r="G31" s="45">
        <v>100</v>
      </c>
      <c r="H31" s="47" t="s">
        <v>452</v>
      </c>
      <c r="I31" s="47" t="s">
        <v>83</v>
      </c>
      <c r="J31" s="47">
        <v>0.87390000000000001</v>
      </c>
      <c r="K31" s="47" t="s">
        <v>61</v>
      </c>
      <c r="L31" s="47" t="s">
        <v>115</v>
      </c>
      <c r="M31" s="167" t="s">
        <v>114</v>
      </c>
    </row>
    <row r="32" spans="1:13" s="18" customFormat="1" ht="18.75" customHeight="1">
      <c r="A32" s="382"/>
      <c r="B32" s="383"/>
      <c r="C32" s="122">
        <f>+G32*J32</f>
        <v>178.08</v>
      </c>
      <c r="D32" s="118">
        <f t="shared" si="0"/>
        <v>1.2177066786172028E-3</v>
      </c>
      <c r="E32" s="118">
        <f t="shared" si="1"/>
        <v>8.9829550141929532E-4</v>
      </c>
      <c r="F32" s="153" t="s">
        <v>640</v>
      </c>
      <c r="G32" s="203">
        <v>1200</v>
      </c>
      <c r="H32" s="45" t="s">
        <v>452</v>
      </c>
      <c r="I32" s="47" t="s">
        <v>85</v>
      </c>
      <c r="J32" s="47">
        <v>0.1484</v>
      </c>
      <c r="K32" s="47" t="s">
        <v>61</v>
      </c>
      <c r="L32" s="47" t="s">
        <v>115</v>
      </c>
      <c r="M32" s="176" t="s">
        <v>82</v>
      </c>
    </row>
    <row r="33" spans="1:13" s="146" customFormat="1" ht="18.75" customHeight="1">
      <c r="A33" s="60">
        <v>6</v>
      </c>
      <c r="B33" s="175" t="s">
        <v>9</v>
      </c>
      <c r="C33" s="67">
        <f>SUM(C34:C36)</f>
        <v>9931</v>
      </c>
      <c r="D33" s="42">
        <f t="shared" si="0"/>
        <v>6.7907934778455983E-2</v>
      </c>
      <c r="E33" s="42">
        <f t="shared" si="1"/>
        <v>5.0095308988067279E-2</v>
      </c>
      <c r="F33" s="174"/>
      <c r="G33" s="95"/>
      <c r="H33" s="41"/>
      <c r="I33" s="41"/>
      <c r="J33" s="41"/>
      <c r="K33" s="41"/>
      <c r="L33" s="41"/>
      <c r="M33" s="175"/>
    </row>
    <row r="34" spans="1:13" s="146" customFormat="1" ht="18.75" customHeight="1">
      <c r="A34" s="386" t="s">
        <v>842</v>
      </c>
      <c r="B34" s="387"/>
      <c r="C34" s="121">
        <f>+G34*J34</f>
        <v>1096</v>
      </c>
      <c r="D34" s="118">
        <f t="shared" si="0"/>
        <v>7.4944211577069536E-3</v>
      </c>
      <c r="E34" s="118">
        <f t="shared" si="1"/>
        <v>5.5285931578815568E-3</v>
      </c>
      <c r="F34" s="183" t="s">
        <v>191</v>
      </c>
      <c r="G34" s="100">
        <v>800</v>
      </c>
      <c r="H34" s="160" t="s">
        <v>185</v>
      </c>
      <c r="I34" s="160" t="s">
        <v>214</v>
      </c>
      <c r="J34" s="40">
        <v>1.37</v>
      </c>
      <c r="K34" s="161" t="s">
        <v>207</v>
      </c>
      <c r="L34" s="151" t="s">
        <v>186</v>
      </c>
      <c r="M34" s="177"/>
    </row>
    <row r="35" spans="1:13" s="146" customFormat="1" ht="18.75" customHeight="1">
      <c r="A35" s="388"/>
      <c r="B35" s="389"/>
      <c r="C35" s="121">
        <f>+G35*J35</f>
        <v>4815</v>
      </c>
      <c r="D35" s="118">
        <f t="shared" si="0"/>
        <v>3.2924852075145054E-2</v>
      </c>
      <c r="E35" s="118">
        <f t="shared" si="1"/>
        <v>2.4288481802189503E-2</v>
      </c>
      <c r="F35" s="39" t="s">
        <v>187</v>
      </c>
      <c r="G35" s="100">
        <v>1500</v>
      </c>
      <c r="H35" s="160" t="s">
        <v>185</v>
      </c>
      <c r="I35" s="160" t="s">
        <v>214</v>
      </c>
      <c r="J35" s="40">
        <v>3.21</v>
      </c>
      <c r="K35" s="161" t="s">
        <v>207</v>
      </c>
      <c r="L35" s="152" t="s">
        <v>188</v>
      </c>
      <c r="M35" s="177"/>
    </row>
    <row r="36" spans="1:13" s="146" customFormat="1" ht="18.75" customHeight="1">
      <c r="A36" s="390"/>
      <c r="B36" s="391"/>
      <c r="C36" s="121">
        <f>+G36*J36</f>
        <v>4019.9999999999995</v>
      </c>
      <c r="D36" s="118">
        <f t="shared" si="0"/>
        <v>2.7488661545603969E-2</v>
      </c>
      <c r="E36" s="118">
        <f t="shared" si="1"/>
        <v>2.0278234027996219E-2</v>
      </c>
      <c r="F36" s="185" t="s">
        <v>189</v>
      </c>
      <c r="G36" s="100">
        <v>2000</v>
      </c>
      <c r="H36" s="160" t="s">
        <v>185</v>
      </c>
      <c r="I36" s="160" t="s">
        <v>214</v>
      </c>
      <c r="J36" s="40">
        <v>2.0099999999999998</v>
      </c>
      <c r="K36" s="161" t="s">
        <v>207</v>
      </c>
      <c r="L36" s="152" t="s">
        <v>190</v>
      </c>
      <c r="M36" s="177"/>
    </row>
    <row r="37" spans="1:13" s="146" customFormat="1" ht="18.75" customHeight="1">
      <c r="A37" s="60">
        <v>7</v>
      </c>
      <c r="B37" s="175" t="s">
        <v>10</v>
      </c>
      <c r="C37" s="67">
        <f>SUM(C38:C40)</f>
        <v>7908.4383301707776</v>
      </c>
      <c r="D37" s="42">
        <f t="shared" si="0"/>
        <v>5.4077707615011426E-2</v>
      </c>
      <c r="E37" s="42">
        <f t="shared" si="1"/>
        <v>3.9892826680392707E-2</v>
      </c>
      <c r="F37" s="174"/>
      <c r="G37" s="95"/>
      <c r="H37" s="46"/>
      <c r="I37" s="41"/>
      <c r="J37" s="244"/>
      <c r="K37" s="41"/>
      <c r="L37" s="41"/>
      <c r="M37" s="175"/>
    </row>
    <row r="38" spans="1:13" s="146" customFormat="1" ht="18.75" customHeight="1">
      <c r="A38" s="386" t="s">
        <v>842</v>
      </c>
      <c r="B38" s="387"/>
      <c r="C38" s="122">
        <f>+G38*J38</f>
        <v>2740</v>
      </c>
      <c r="D38" s="118">
        <f t="shared" si="0"/>
        <v>1.8736052894267382E-2</v>
      </c>
      <c r="E38" s="118">
        <f t="shared" si="1"/>
        <v>1.3821482894703892E-2</v>
      </c>
      <c r="F38" s="150" t="s">
        <v>192</v>
      </c>
      <c r="G38" s="100">
        <v>2000</v>
      </c>
      <c r="H38" s="160" t="s">
        <v>185</v>
      </c>
      <c r="I38" s="160" t="s">
        <v>214</v>
      </c>
      <c r="J38" s="216">
        <v>1.37</v>
      </c>
      <c r="K38" s="161" t="s">
        <v>207</v>
      </c>
      <c r="L38" s="151" t="s">
        <v>193</v>
      </c>
      <c r="M38" s="177"/>
    </row>
    <row r="39" spans="1:13" s="146" customFormat="1" ht="18.75" customHeight="1">
      <c r="A39" s="388"/>
      <c r="B39" s="389"/>
      <c r="C39" s="122">
        <f>+G39*J39</f>
        <v>121</v>
      </c>
      <c r="D39" s="118">
        <f t="shared" si="0"/>
        <v>8.273950365716618E-4</v>
      </c>
      <c r="E39" s="118">
        <f t="shared" si="1"/>
        <v>6.1036475556904045E-4</v>
      </c>
      <c r="F39" s="150" t="s">
        <v>194</v>
      </c>
      <c r="G39" s="100">
        <v>50</v>
      </c>
      <c r="H39" s="160" t="s">
        <v>185</v>
      </c>
      <c r="I39" s="160" t="s">
        <v>214</v>
      </c>
      <c r="J39" s="216">
        <v>2.42</v>
      </c>
      <c r="K39" s="161" t="s">
        <v>203</v>
      </c>
      <c r="L39" s="152" t="s">
        <v>195</v>
      </c>
      <c r="M39" s="177"/>
    </row>
    <row r="40" spans="1:13" s="146" customFormat="1" ht="30" customHeight="1">
      <c r="A40" s="390"/>
      <c r="B40" s="391"/>
      <c r="C40" s="122">
        <f>+G40*J40</f>
        <v>5047.4383301707776</v>
      </c>
      <c r="D40" s="118">
        <f t="shared" si="0"/>
        <v>3.4514259684172384E-2</v>
      </c>
      <c r="E40" s="118">
        <f t="shared" si="1"/>
        <v>2.5460979030119773E-2</v>
      </c>
      <c r="F40" s="150" t="s">
        <v>196</v>
      </c>
      <c r="G40" s="100">
        <v>300</v>
      </c>
      <c r="H40" s="160" t="s">
        <v>185</v>
      </c>
      <c r="I40" s="160" t="s">
        <v>214</v>
      </c>
      <c r="J40" s="38">
        <v>16.824794433902593</v>
      </c>
      <c r="K40" s="161" t="s">
        <v>203</v>
      </c>
      <c r="L40" s="114" t="s">
        <v>197</v>
      </c>
      <c r="M40" s="177" t="s">
        <v>198</v>
      </c>
    </row>
    <row r="41" spans="1:13" s="146" customFormat="1" ht="18.75" customHeight="1">
      <c r="A41" s="60">
        <v>8</v>
      </c>
      <c r="B41" s="175" t="s">
        <v>11</v>
      </c>
      <c r="C41" s="93">
        <f>SUM(C42:C42)</f>
        <v>12.875</v>
      </c>
      <c r="D41" s="42">
        <f t="shared" si="0"/>
        <v>8.8038934676530129E-5</v>
      </c>
      <c r="E41" s="42">
        <f t="shared" si="1"/>
        <v>6.4945836594639642E-5</v>
      </c>
      <c r="F41" s="94"/>
      <c r="G41" s="95"/>
      <c r="H41" s="95"/>
      <c r="I41" s="95"/>
      <c r="J41" s="95"/>
      <c r="K41" s="95"/>
      <c r="L41" s="95"/>
      <c r="M41" s="175"/>
    </row>
    <row r="42" spans="1:13" s="146" customFormat="1" ht="45" customHeight="1">
      <c r="A42" s="384" t="s">
        <v>218</v>
      </c>
      <c r="B42" s="385"/>
      <c r="C42" s="123">
        <f>+G42*J42</f>
        <v>12.875</v>
      </c>
      <c r="D42" s="118">
        <f t="shared" si="0"/>
        <v>8.8038934676530129E-5</v>
      </c>
      <c r="E42" s="118">
        <f t="shared" si="1"/>
        <v>6.4945836594639642E-5</v>
      </c>
      <c r="F42" s="21" t="s">
        <v>107</v>
      </c>
      <c r="G42" s="100">
        <v>500</v>
      </c>
      <c r="H42" s="100" t="s">
        <v>637</v>
      </c>
      <c r="I42" s="22" t="s">
        <v>110</v>
      </c>
      <c r="J42" s="22">
        <f>0.103*3/12</f>
        <v>2.5749999999999999E-2</v>
      </c>
      <c r="K42" s="22" t="s">
        <v>636</v>
      </c>
      <c r="L42" s="21" t="s">
        <v>280</v>
      </c>
      <c r="M42" s="177" t="s">
        <v>109</v>
      </c>
    </row>
    <row r="43" spans="1:13" s="146" customFormat="1" ht="18.75" customHeight="1">
      <c r="A43" s="60">
        <v>9</v>
      </c>
      <c r="B43" s="175" t="s">
        <v>12</v>
      </c>
      <c r="C43" s="404" t="s">
        <v>841</v>
      </c>
      <c r="D43" s="405"/>
      <c r="E43" s="405"/>
      <c r="F43" s="405"/>
      <c r="G43" s="405"/>
      <c r="H43" s="405"/>
      <c r="I43" s="405"/>
      <c r="J43" s="405"/>
      <c r="K43" s="405"/>
      <c r="L43" s="405"/>
      <c r="M43" s="406"/>
    </row>
    <row r="44" spans="1:13" s="146" customFormat="1" ht="18.75" customHeight="1">
      <c r="A44" s="60">
        <v>10</v>
      </c>
      <c r="B44" s="69" t="s">
        <v>13</v>
      </c>
      <c r="C44" s="404" t="s">
        <v>841</v>
      </c>
      <c r="D44" s="405"/>
      <c r="E44" s="405"/>
      <c r="F44" s="405"/>
      <c r="G44" s="405"/>
      <c r="H44" s="405"/>
      <c r="I44" s="405"/>
      <c r="J44" s="405"/>
      <c r="K44" s="405"/>
      <c r="L44" s="405"/>
      <c r="M44" s="406"/>
    </row>
    <row r="45" spans="1:13" s="13" customFormat="1" ht="18.75" customHeight="1">
      <c r="A45" s="85">
        <v>11</v>
      </c>
      <c r="B45" s="70" t="s">
        <v>14</v>
      </c>
      <c r="C45" s="67">
        <f>SUM(C46:C47)</f>
        <v>66119.999999999985</v>
      </c>
      <c r="D45" s="42">
        <f t="shared" ref="D45:D51" si="3">+C45/$C$68</f>
        <v>0.45212694064560549</v>
      </c>
      <c r="E45" s="42">
        <f t="shared" ref="E45:E51" si="4">+C45/$C$71</f>
        <v>0.33353155072913182</v>
      </c>
      <c r="F45" s="174"/>
      <c r="G45" s="95"/>
      <c r="H45" s="46"/>
      <c r="I45" s="41"/>
      <c r="J45" s="41"/>
      <c r="K45" s="41"/>
      <c r="L45" s="41"/>
      <c r="M45" s="175"/>
    </row>
    <row r="46" spans="1:13" s="13" customFormat="1" ht="30" customHeight="1">
      <c r="A46" s="482"/>
      <c r="B46" s="483"/>
      <c r="C46" s="123">
        <f>+G46*J46</f>
        <v>66119.999999999985</v>
      </c>
      <c r="D46" s="118">
        <f t="shared" si="3"/>
        <v>0.45212694064560549</v>
      </c>
      <c r="E46" s="118">
        <f t="shared" si="4"/>
        <v>0.33353155072913182</v>
      </c>
      <c r="F46" s="150" t="s">
        <v>840</v>
      </c>
      <c r="G46" s="100">
        <v>60000</v>
      </c>
      <c r="H46" s="159" t="s">
        <v>119</v>
      </c>
      <c r="I46" s="159" t="s">
        <v>839</v>
      </c>
      <c r="J46" s="128">
        <f>0.000551*0.1*20000</f>
        <v>1.1019999999999999</v>
      </c>
      <c r="K46" s="161" t="s">
        <v>208</v>
      </c>
      <c r="L46" s="114" t="s">
        <v>838</v>
      </c>
      <c r="M46" s="162" t="s">
        <v>837</v>
      </c>
    </row>
    <row r="47" spans="1:13" s="13" customFormat="1" ht="30" customHeight="1">
      <c r="A47" s="484"/>
      <c r="B47" s="485"/>
      <c r="C47" s="123">
        <f>+G47*J47</f>
        <v>0</v>
      </c>
      <c r="D47" s="118">
        <f t="shared" si="3"/>
        <v>0</v>
      </c>
      <c r="E47" s="118">
        <f t="shared" si="4"/>
        <v>0</v>
      </c>
      <c r="F47" s="150" t="s">
        <v>836</v>
      </c>
      <c r="G47" s="270"/>
      <c r="H47" s="159"/>
      <c r="I47" s="269"/>
      <c r="J47" s="201"/>
      <c r="K47" s="268"/>
      <c r="L47" s="152"/>
      <c r="M47" s="162" t="s">
        <v>835</v>
      </c>
    </row>
    <row r="48" spans="1:13" s="146" customFormat="1" ht="18.75" customHeight="1">
      <c r="A48" s="60">
        <v>12</v>
      </c>
      <c r="B48" s="69" t="s">
        <v>15</v>
      </c>
      <c r="C48" s="67">
        <f>SUM(C49:C51)</f>
        <v>436.80624999999998</v>
      </c>
      <c r="D48" s="42">
        <f t="shared" si="3"/>
        <v>2.9868704396155406E-3</v>
      </c>
      <c r="E48" s="48">
        <f t="shared" si="4"/>
        <v>2.2033978513411501E-3</v>
      </c>
      <c r="F48" s="25"/>
      <c r="G48" s="25"/>
      <c r="H48" s="27"/>
      <c r="I48" s="25"/>
      <c r="J48" s="25"/>
      <c r="K48" s="25"/>
      <c r="L48" s="25"/>
      <c r="M48" s="61"/>
    </row>
    <row r="49" spans="1:13" s="146" customFormat="1" ht="30" customHeight="1">
      <c r="A49" s="386" t="s">
        <v>834</v>
      </c>
      <c r="B49" s="387"/>
      <c r="C49" s="123">
        <f>+G49*J49</f>
        <v>233.29674999999997</v>
      </c>
      <c r="D49" s="118">
        <f t="shared" si="3"/>
        <v>1.5952774627958663E-3</v>
      </c>
      <c r="E49" s="118">
        <f t="shared" si="4"/>
        <v>1.1768273866843101E-3</v>
      </c>
      <c r="F49" s="186" t="s">
        <v>833</v>
      </c>
      <c r="G49" s="186">
        <f>G12*0.0625+G13*0.05</f>
        <v>372.5</v>
      </c>
      <c r="H49" s="159" t="s">
        <v>321</v>
      </c>
      <c r="I49" s="267" t="s">
        <v>832</v>
      </c>
      <c r="J49" s="128">
        <v>0.62629999999999997</v>
      </c>
      <c r="K49" s="161" t="s">
        <v>828</v>
      </c>
      <c r="L49" s="151" t="s">
        <v>831</v>
      </c>
      <c r="M49" s="162"/>
    </row>
    <row r="50" spans="1:13" s="146" customFormat="1" ht="30" customHeight="1">
      <c r="A50" s="388"/>
      <c r="B50" s="389"/>
      <c r="C50" s="123">
        <f>+G50*J50</f>
        <v>21.891000000000002</v>
      </c>
      <c r="D50" s="118">
        <f t="shared" si="3"/>
        <v>1.4969012186438223E-4</v>
      </c>
      <c r="E50" s="118">
        <f t="shared" si="4"/>
        <v>1.1042557738976748E-4</v>
      </c>
      <c r="F50" s="186" t="s">
        <v>830</v>
      </c>
      <c r="G50" s="186">
        <f>G14*0.1</f>
        <v>30</v>
      </c>
      <c r="H50" s="159" t="s">
        <v>825</v>
      </c>
      <c r="I50" s="267" t="s">
        <v>829</v>
      </c>
      <c r="J50" s="128">
        <v>0.72970000000000002</v>
      </c>
      <c r="K50" s="161" t="s">
        <v>828</v>
      </c>
      <c r="L50" s="151" t="s">
        <v>827</v>
      </c>
      <c r="M50" s="162"/>
    </row>
    <row r="51" spans="1:13" s="146" customFormat="1" ht="30" customHeight="1">
      <c r="A51" s="390"/>
      <c r="B51" s="391"/>
      <c r="C51" s="123">
        <f>+G51*J51</f>
        <v>181.61850000000001</v>
      </c>
      <c r="D51" s="118">
        <f t="shared" si="3"/>
        <v>1.2419028549552923E-3</v>
      </c>
      <c r="E51" s="118">
        <f t="shared" si="4"/>
        <v>9.1614488726707256E-4</v>
      </c>
      <c r="F51" s="186" t="s">
        <v>826</v>
      </c>
      <c r="G51" s="186">
        <f>G9*1.5</f>
        <v>105</v>
      </c>
      <c r="H51" s="159" t="s">
        <v>825</v>
      </c>
      <c r="I51" s="267" t="s">
        <v>824</v>
      </c>
      <c r="J51" s="128">
        <v>1.7297</v>
      </c>
      <c r="K51" s="161" t="s">
        <v>823</v>
      </c>
      <c r="L51" s="151" t="s">
        <v>822</v>
      </c>
      <c r="M51" s="162"/>
    </row>
    <row r="52" spans="1:13" s="13" customFormat="1" ht="36.75" customHeight="1">
      <c r="A52" s="85">
        <v>13</v>
      </c>
      <c r="B52" s="87" t="s">
        <v>491</v>
      </c>
      <c r="C52" s="486" t="s">
        <v>821</v>
      </c>
      <c r="D52" s="444"/>
      <c r="E52" s="444"/>
      <c r="F52" s="444"/>
      <c r="G52" s="444"/>
      <c r="H52" s="444"/>
      <c r="I52" s="444"/>
      <c r="J52" s="444"/>
      <c r="K52" s="444"/>
      <c r="L52" s="444"/>
      <c r="M52" s="445"/>
    </row>
    <row r="53" spans="1:13" s="146" customFormat="1" ht="18.75" customHeight="1">
      <c r="A53" s="60">
        <v>14</v>
      </c>
      <c r="B53" s="69" t="s">
        <v>479</v>
      </c>
      <c r="C53" s="379" t="s">
        <v>31</v>
      </c>
      <c r="D53" s="380"/>
      <c r="E53" s="380"/>
      <c r="F53" s="380"/>
      <c r="G53" s="380"/>
      <c r="H53" s="380"/>
      <c r="I53" s="380"/>
      <c r="J53" s="380"/>
      <c r="K53" s="380"/>
      <c r="L53" s="380"/>
      <c r="M53" s="381"/>
    </row>
    <row r="54" spans="1:13" s="146" customFormat="1" ht="30" customHeight="1">
      <c r="A54" s="60">
        <v>15</v>
      </c>
      <c r="B54" s="69" t="s">
        <v>1</v>
      </c>
      <c r="C54" s="93">
        <f>SUM(C55:C66)</f>
        <v>4498.4207013243349</v>
      </c>
      <c r="D54" s="42">
        <f t="shared" ref="D54:D66" si="5">+C54/$C$68</f>
        <v>3.0760090584189825E-2</v>
      </c>
      <c r="E54" s="42">
        <f t="shared" ref="E54:E66" si="6">+C54/$C$71</f>
        <v>2.2691549188516853E-2</v>
      </c>
      <c r="F54" s="94" t="s">
        <v>86</v>
      </c>
      <c r="G54" s="102" t="s">
        <v>102</v>
      </c>
      <c r="H54" s="103" t="s">
        <v>126</v>
      </c>
      <c r="I54" s="95" t="s">
        <v>101</v>
      </c>
      <c r="J54" s="94" t="s">
        <v>89</v>
      </c>
      <c r="K54" s="94" t="s">
        <v>97</v>
      </c>
      <c r="L54" s="95" t="s">
        <v>117</v>
      </c>
      <c r="M54" s="175"/>
    </row>
    <row r="55" spans="1:13" s="146" customFormat="1" ht="18.75" customHeight="1">
      <c r="A55" s="384" t="s">
        <v>105</v>
      </c>
      <c r="B55" s="385"/>
      <c r="C55" s="123">
        <f t="shared" ref="C55:C66" si="7">+J55*K55</f>
        <v>1076.6919222103725</v>
      </c>
      <c r="D55" s="118">
        <f t="shared" si="5"/>
        <v>7.3623929946583797E-3</v>
      </c>
      <c r="E55" s="118">
        <f t="shared" si="6"/>
        <v>5.431196710108218E-3</v>
      </c>
      <c r="F55" s="21" t="s">
        <v>297</v>
      </c>
      <c r="G55" s="100">
        <v>111452494</v>
      </c>
      <c r="H55" s="100">
        <v>1200000</v>
      </c>
      <c r="I55" s="22" t="s">
        <v>88</v>
      </c>
      <c r="J55" s="101">
        <f t="shared" ref="J55:J66" si="8">H55/G55</f>
        <v>1.0766919222103724E-2</v>
      </c>
      <c r="K55" s="100">
        <v>100000</v>
      </c>
      <c r="L55" s="22" t="s">
        <v>90</v>
      </c>
      <c r="M55" s="177"/>
    </row>
    <row r="56" spans="1:13" s="146" customFormat="1" ht="18.75" customHeight="1">
      <c r="A56" s="384"/>
      <c r="B56" s="385"/>
      <c r="C56" s="123">
        <f t="shared" si="7"/>
        <v>26.417658295527001</v>
      </c>
      <c r="D56" s="118">
        <f t="shared" si="5"/>
        <v>1.8064330042615891E-4</v>
      </c>
      <c r="E56" s="118">
        <f t="shared" si="6"/>
        <v>1.3325956651451051E-4</v>
      </c>
      <c r="F56" s="21" t="s">
        <v>298</v>
      </c>
      <c r="G56" s="100">
        <v>4163760420</v>
      </c>
      <c r="H56" s="100">
        <v>687480</v>
      </c>
      <c r="I56" s="22" t="s">
        <v>88</v>
      </c>
      <c r="J56" s="101">
        <f t="shared" si="8"/>
        <v>1.6511036434704377E-4</v>
      </c>
      <c r="K56" s="100">
        <v>160000</v>
      </c>
      <c r="L56" s="22" t="s">
        <v>91</v>
      </c>
      <c r="M56" s="177"/>
    </row>
    <row r="57" spans="1:13" s="146" customFormat="1" ht="18.75" customHeight="1">
      <c r="A57" s="384"/>
      <c r="B57" s="385"/>
      <c r="C57" s="123">
        <f t="shared" si="7"/>
        <v>19.042509489546724</v>
      </c>
      <c r="D57" s="118">
        <f t="shared" si="5"/>
        <v>1.3021221351669198E-4</v>
      </c>
      <c r="E57" s="118">
        <f t="shared" si="6"/>
        <v>9.6056831818250581E-5</v>
      </c>
      <c r="F57" s="21" t="s">
        <v>299</v>
      </c>
      <c r="G57" s="100">
        <v>415352294</v>
      </c>
      <c r="H57" s="100">
        <v>158187</v>
      </c>
      <c r="I57" s="22" t="s">
        <v>88</v>
      </c>
      <c r="J57" s="101">
        <f t="shared" si="8"/>
        <v>3.8085018979093445E-4</v>
      </c>
      <c r="K57" s="100">
        <v>50000</v>
      </c>
      <c r="L57" s="22" t="s">
        <v>92</v>
      </c>
      <c r="M57" s="177"/>
    </row>
    <row r="58" spans="1:13" s="146" customFormat="1" ht="18.75" customHeight="1">
      <c r="A58" s="384"/>
      <c r="B58" s="385"/>
      <c r="C58" s="123">
        <f t="shared" si="7"/>
        <v>43.625767034497109</v>
      </c>
      <c r="D58" s="118">
        <f t="shared" si="5"/>
        <v>2.9831192653697962E-4</v>
      </c>
      <c r="E58" s="118">
        <f t="shared" si="6"/>
        <v>2.2006306307870025E-4</v>
      </c>
      <c r="F58" s="21" t="s">
        <v>300</v>
      </c>
      <c r="G58" s="100">
        <v>1237800586</v>
      </c>
      <c r="H58" s="100">
        <v>900000</v>
      </c>
      <c r="I58" s="22" t="s">
        <v>88</v>
      </c>
      <c r="J58" s="101">
        <f t="shared" si="8"/>
        <v>7.2709611724161842E-4</v>
      </c>
      <c r="K58" s="100">
        <v>60000</v>
      </c>
      <c r="L58" s="22" t="s">
        <v>93</v>
      </c>
      <c r="M58" s="177"/>
    </row>
    <row r="59" spans="1:13" s="146" customFormat="1" ht="18.75" customHeight="1">
      <c r="A59" s="384"/>
      <c r="B59" s="385"/>
      <c r="C59" s="123">
        <f t="shared" si="7"/>
        <v>107.43490759668525</v>
      </c>
      <c r="D59" s="118">
        <f t="shared" si="5"/>
        <v>7.346372669424174E-4</v>
      </c>
      <c r="E59" s="118">
        <f t="shared" si="6"/>
        <v>5.4193786045316731E-4</v>
      </c>
      <c r="F59" s="21" t="s">
        <v>301</v>
      </c>
      <c r="G59" s="100">
        <v>1737940900</v>
      </c>
      <c r="H59" s="100">
        <v>2333944</v>
      </c>
      <c r="I59" s="22" t="s">
        <v>88</v>
      </c>
      <c r="J59" s="101">
        <f t="shared" si="8"/>
        <v>1.3429363449585657E-3</v>
      </c>
      <c r="K59" s="100">
        <v>80000</v>
      </c>
      <c r="L59" s="22" t="s">
        <v>94</v>
      </c>
      <c r="M59" s="177"/>
    </row>
    <row r="60" spans="1:13" s="146" customFormat="1" ht="18.75" customHeight="1">
      <c r="A60" s="384"/>
      <c r="B60" s="385"/>
      <c r="C60" s="123">
        <f t="shared" si="7"/>
        <v>277.39352083240539</v>
      </c>
      <c r="D60" s="118">
        <f t="shared" si="5"/>
        <v>1.8968101017675214E-3</v>
      </c>
      <c r="E60" s="118">
        <f t="shared" si="6"/>
        <v>1.3992663515645177E-3</v>
      </c>
      <c r="F60" s="21" t="s">
        <v>302</v>
      </c>
      <c r="G60" s="100">
        <v>551521094</v>
      </c>
      <c r="H60" s="100">
        <v>1509029</v>
      </c>
      <c r="I60" s="22" t="s">
        <v>88</v>
      </c>
      <c r="J60" s="101">
        <f t="shared" si="8"/>
        <v>2.7361220022529185E-3</v>
      </c>
      <c r="K60" s="100">
        <v>101382</v>
      </c>
      <c r="L60" s="22" t="s">
        <v>95</v>
      </c>
      <c r="M60" s="177"/>
    </row>
    <row r="61" spans="1:13" s="146" customFormat="1" ht="18.75" customHeight="1">
      <c r="A61" s="384"/>
      <c r="B61" s="385"/>
      <c r="C61" s="123">
        <f t="shared" si="7"/>
        <v>512.89707709331537</v>
      </c>
      <c r="D61" s="118">
        <f t="shared" si="5"/>
        <v>3.5071776517282818E-3</v>
      </c>
      <c r="E61" s="118">
        <f t="shared" si="6"/>
        <v>2.5872256123317086E-3</v>
      </c>
      <c r="F61" s="21" t="s">
        <v>303</v>
      </c>
      <c r="G61" s="100">
        <v>700480693</v>
      </c>
      <c r="H61" s="100">
        <v>1381825</v>
      </c>
      <c r="I61" s="22" t="s">
        <v>88</v>
      </c>
      <c r="J61" s="101">
        <f t="shared" si="8"/>
        <v>1.9726810657435209E-3</v>
      </c>
      <c r="K61" s="100">
        <v>260000</v>
      </c>
      <c r="L61" s="22" t="s">
        <v>96</v>
      </c>
      <c r="M61" s="177"/>
    </row>
    <row r="62" spans="1:13" s="146" customFormat="1" ht="18.75" customHeight="1">
      <c r="A62" s="384"/>
      <c r="B62" s="385"/>
      <c r="C62" s="123">
        <f t="shared" si="7"/>
        <v>0</v>
      </c>
      <c r="D62" s="118">
        <f t="shared" si="5"/>
        <v>0</v>
      </c>
      <c r="E62" s="118">
        <f t="shared" si="6"/>
        <v>0</v>
      </c>
      <c r="F62" s="21" t="s">
        <v>304</v>
      </c>
      <c r="G62" s="100">
        <v>28149877</v>
      </c>
      <c r="H62" s="100">
        <v>971000</v>
      </c>
      <c r="I62" s="22" t="s">
        <v>88</v>
      </c>
      <c r="J62" s="101">
        <f t="shared" si="8"/>
        <v>3.449393402322859E-2</v>
      </c>
      <c r="K62" s="100">
        <v>0</v>
      </c>
      <c r="L62" s="22" t="s">
        <v>98</v>
      </c>
      <c r="M62" s="177"/>
    </row>
    <row r="63" spans="1:13" s="146" customFormat="1" ht="18.75" customHeight="1">
      <c r="A63" s="384"/>
      <c r="B63" s="385"/>
      <c r="C63" s="123">
        <f t="shared" si="7"/>
        <v>1771.2732742793926</v>
      </c>
      <c r="D63" s="118">
        <f t="shared" si="5"/>
        <v>1.2111923269014918E-2</v>
      </c>
      <c r="E63" s="118">
        <f t="shared" si="6"/>
        <v>8.9348990008389709E-3</v>
      </c>
      <c r="F63" s="21" t="s">
        <v>305</v>
      </c>
      <c r="G63" s="100">
        <v>271056029</v>
      </c>
      <c r="H63" s="100">
        <v>1600381</v>
      </c>
      <c r="I63" s="22" t="s">
        <v>88</v>
      </c>
      <c r="J63" s="101">
        <f t="shared" si="8"/>
        <v>5.9042442475979754E-3</v>
      </c>
      <c r="K63" s="100">
        <v>300000</v>
      </c>
      <c r="L63" s="22" t="s">
        <v>99</v>
      </c>
      <c r="M63" s="177"/>
    </row>
    <row r="64" spans="1:13" s="146" customFormat="1" ht="18.75" customHeight="1">
      <c r="A64" s="384"/>
      <c r="B64" s="385"/>
      <c r="C64" s="123">
        <f t="shared" si="7"/>
        <v>503.4498897353115</v>
      </c>
      <c r="D64" s="118">
        <f t="shared" si="5"/>
        <v>3.4425780159466706E-3</v>
      </c>
      <c r="E64" s="118">
        <f t="shared" si="6"/>
        <v>2.5395708172690394E-3</v>
      </c>
      <c r="F64" s="21" t="s">
        <v>306</v>
      </c>
      <c r="G64" s="100">
        <v>1075540607</v>
      </c>
      <c r="H64" s="100">
        <v>1289240</v>
      </c>
      <c r="I64" s="22" t="s">
        <v>88</v>
      </c>
      <c r="J64" s="101">
        <f t="shared" si="8"/>
        <v>1.1986902136555035E-3</v>
      </c>
      <c r="K64" s="100">
        <v>420000</v>
      </c>
      <c r="L64" s="22" t="s">
        <v>116</v>
      </c>
      <c r="M64" s="177"/>
    </row>
    <row r="65" spans="1:13" s="146" customFormat="1" ht="18.75" customHeight="1">
      <c r="A65" s="384"/>
      <c r="B65" s="385"/>
      <c r="C65" s="123">
        <f t="shared" si="7"/>
        <v>0</v>
      </c>
      <c r="D65" s="118">
        <f t="shared" si="5"/>
        <v>0</v>
      </c>
      <c r="E65" s="118">
        <f t="shared" si="6"/>
        <v>0</v>
      </c>
      <c r="F65" s="21" t="s">
        <v>307</v>
      </c>
      <c r="G65" s="100">
        <v>490727495</v>
      </c>
      <c r="H65" s="100">
        <v>1822688</v>
      </c>
      <c r="I65" s="22" t="s">
        <v>88</v>
      </c>
      <c r="J65" s="101">
        <f t="shared" si="8"/>
        <v>3.7142569319454986E-3</v>
      </c>
      <c r="K65" s="100">
        <v>0</v>
      </c>
      <c r="L65" s="22" t="s">
        <v>98</v>
      </c>
      <c r="M65" s="177"/>
    </row>
    <row r="66" spans="1:13" s="146" customFormat="1" ht="18.75" customHeight="1">
      <c r="A66" s="384"/>
      <c r="B66" s="385"/>
      <c r="C66" s="123">
        <f t="shared" si="7"/>
        <v>160.19417475728153</v>
      </c>
      <c r="D66" s="118">
        <f t="shared" si="5"/>
        <v>1.0954038436518027E-3</v>
      </c>
      <c r="E66" s="118">
        <f t="shared" si="6"/>
        <v>8.0807337453977102E-4</v>
      </c>
      <c r="F66" s="21" t="s">
        <v>308</v>
      </c>
      <c r="G66" s="100">
        <v>206000000</v>
      </c>
      <c r="H66" s="100">
        <v>66000</v>
      </c>
      <c r="I66" s="22" t="s">
        <v>88</v>
      </c>
      <c r="J66" s="101">
        <f t="shared" si="8"/>
        <v>3.2038834951456308E-4</v>
      </c>
      <c r="K66" s="100">
        <v>500000</v>
      </c>
      <c r="L66" s="22" t="s">
        <v>100</v>
      </c>
      <c r="M66" s="177"/>
    </row>
    <row r="67" spans="1:13" s="137" customFormat="1" ht="18.75" customHeight="1" thickBot="1">
      <c r="A67" s="266">
        <v>16</v>
      </c>
      <c r="B67" s="265" t="s">
        <v>0</v>
      </c>
      <c r="C67" s="377" t="s">
        <v>46</v>
      </c>
      <c r="D67" s="377"/>
      <c r="E67" s="377"/>
      <c r="F67" s="377"/>
      <c r="G67" s="377"/>
      <c r="H67" s="377"/>
      <c r="I67" s="377"/>
      <c r="J67" s="377"/>
      <c r="K67" s="377"/>
      <c r="L67" s="378"/>
      <c r="M67" s="64"/>
    </row>
    <row r="68" spans="1:13" ht="18.75" customHeight="1" thickBot="1">
      <c r="A68" s="470" t="s">
        <v>17</v>
      </c>
      <c r="B68" s="471"/>
      <c r="C68" s="235">
        <f>SUM(C54,C52,C48,C45,C43,C41,C37,C33,C30,C25,C21,C19,C8)</f>
        <v>146242.1148927451</v>
      </c>
      <c r="D68" s="234">
        <f>+C68/$C$68</f>
        <v>1</v>
      </c>
      <c r="E68" s="234">
        <f>+C68/$C$71</f>
        <v>0.73769448520999914</v>
      </c>
      <c r="F68" s="233"/>
      <c r="G68" s="233"/>
      <c r="H68" s="232"/>
      <c r="I68" s="232"/>
      <c r="J68" s="232"/>
      <c r="K68" s="232"/>
      <c r="L68" s="232"/>
      <c r="M68" s="231"/>
    </row>
    <row r="69" spans="1:13" ht="18.75" customHeight="1" thickTop="1">
      <c r="A69" s="392" t="s">
        <v>310</v>
      </c>
      <c r="B69" s="393"/>
      <c r="C69" s="83">
        <v>2000</v>
      </c>
      <c r="D69" s="49"/>
      <c r="E69" s="124">
        <f>+C69/$C$71</f>
        <v>1.0088673645769264E-2</v>
      </c>
      <c r="F69" s="10"/>
      <c r="G69" s="10"/>
      <c r="H69" s="79"/>
      <c r="I69" s="79"/>
      <c r="J69" s="79"/>
      <c r="K69" s="79"/>
      <c r="L69" s="79"/>
      <c r="M69" s="62"/>
    </row>
    <row r="70" spans="1:13" ht="18.75" customHeight="1" thickBot="1">
      <c r="A70" s="394" t="s">
        <v>311</v>
      </c>
      <c r="B70" s="395"/>
      <c r="C70" s="84">
        <v>50000</v>
      </c>
      <c r="D70" s="50"/>
      <c r="E70" s="165">
        <f>+C70/$C$71</f>
        <v>0.2522168411442316</v>
      </c>
      <c r="F70" s="11"/>
      <c r="G70" s="11"/>
      <c r="H70" s="173"/>
      <c r="I70" s="173"/>
      <c r="J70" s="173"/>
      <c r="K70" s="173"/>
      <c r="L70" s="173"/>
      <c r="M70" s="63"/>
    </row>
    <row r="71" spans="1:13" ht="18.75" customHeight="1" thickTop="1" thickBot="1">
      <c r="A71" s="396" t="s">
        <v>18</v>
      </c>
      <c r="B71" s="397"/>
      <c r="C71" s="163">
        <f>SUM(C68:C70)</f>
        <v>198242.1148927451</v>
      </c>
      <c r="D71" s="166"/>
      <c r="E71" s="164">
        <f>+C71/$C$71</f>
        <v>1</v>
      </c>
      <c r="F71" s="75"/>
      <c r="G71" s="75"/>
      <c r="H71" s="76"/>
      <c r="I71" s="76"/>
      <c r="J71" s="76"/>
      <c r="K71" s="76"/>
      <c r="L71" s="76"/>
      <c r="M71" s="77"/>
    </row>
    <row r="73" spans="1:13" ht="14.25" thickBot="1">
      <c r="E73" s="373" t="s">
        <v>23</v>
      </c>
      <c r="F73" s="374"/>
      <c r="G73" s="172" t="s">
        <v>309</v>
      </c>
      <c r="H73" s="172" t="s">
        <v>27</v>
      </c>
    </row>
    <row r="74" spans="1:13" ht="14.25" thickTop="1">
      <c r="E74" s="52" t="s">
        <v>310</v>
      </c>
      <c r="F74" s="53"/>
      <c r="G74" s="7">
        <f>C69</f>
        <v>2000</v>
      </c>
      <c r="H74" s="9">
        <f t="shared" ref="H74:H90" si="9">G74/$G$91</f>
        <v>1.0088673645769264E-2</v>
      </c>
    </row>
    <row r="75" spans="1:13">
      <c r="E75" s="54" t="s">
        <v>311</v>
      </c>
      <c r="F75" s="55"/>
      <c r="G75" s="7">
        <f>C70</f>
        <v>50000</v>
      </c>
      <c r="H75" s="9">
        <f t="shared" si="9"/>
        <v>0.2522168411442316</v>
      </c>
    </row>
    <row r="76" spans="1:13">
      <c r="E76" s="5" t="s">
        <v>484</v>
      </c>
      <c r="F76" s="5" t="s">
        <v>4</v>
      </c>
      <c r="G76" s="8">
        <f>C8</f>
        <v>37683</v>
      </c>
      <c r="H76" s="9">
        <f t="shared" si="9"/>
        <v>0.19008574449676158</v>
      </c>
    </row>
    <row r="77" spans="1:13">
      <c r="E77" s="16" t="s">
        <v>483</v>
      </c>
      <c r="F77" s="16" t="s">
        <v>5</v>
      </c>
      <c r="G77" s="8">
        <f>C19</f>
        <v>11399.999999999998</v>
      </c>
      <c r="H77" s="9">
        <f t="shared" si="9"/>
        <v>5.7505439780884793E-2</v>
      </c>
    </row>
    <row r="78" spans="1:13">
      <c r="E78" s="5" t="s">
        <v>482</v>
      </c>
      <c r="F78" s="16" t="s">
        <v>6</v>
      </c>
      <c r="G78" s="8">
        <f>C21</f>
        <v>7905</v>
      </c>
      <c r="H78" s="9">
        <f t="shared" si="9"/>
        <v>3.9875482584903019E-2</v>
      </c>
    </row>
    <row r="79" spans="1:13">
      <c r="E79" s="16" t="s">
        <v>481</v>
      </c>
      <c r="F79" s="16" t="s">
        <v>7</v>
      </c>
      <c r="G79" s="8">
        <f>C25</f>
        <v>81.104611249999991</v>
      </c>
      <c r="H79" s="9">
        <f t="shared" si="9"/>
        <v>4.0911897703411814E-4</v>
      </c>
    </row>
    <row r="80" spans="1:13">
      <c r="E80" s="5" t="s">
        <v>480</v>
      </c>
      <c r="F80" s="154" t="s">
        <v>8</v>
      </c>
      <c r="G80" s="8">
        <f>C30</f>
        <v>265.47000000000003</v>
      </c>
      <c r="H80" s="9">
        <f t="shared" si="9"/>
        <v>1.3391200963711835E-3</v>
      </c>
    </row>
    <row r="81" spans="5:9">
      <c r="E81" s="5" t="s">
        <v>133</v>
      </c>
      <c r="F81" s="16" t="s">
        <v>9</v>
      </c>
      <c r="G81" s="8">
        <f>C33</f>
        <v>9931</v>
      </c>
      <c r="H81" s="9">
        <f t="shared" si="9"/>
        <v>5.0095308988067279E-2</v>
      </c>
    </row>
    <row r="82" spans="5:9">
      <c r="E82" s="16" t="s">
        <v>134</v>
      </c>
      <c r="F82" s="16" t="s">
        <v>10</v>
      </c>
      <c r="G82" s="8">
        <f>C37</f>
        <v>7908.4383301707776</v>
      </c>
      <c r="H82" s="9">
        <f t="shared" si="9"/>
        <v>3.9892826680392707E-2</v>
      </c>
    </row>
    <row r="83" spans="5:9">
      <c r="E83" s="5" t="s">
        <v>135</v>
      </c>
      <c r="F83" s="16" t="s">
        <v>11</v>
      </c>
      <c r="G83" s="8">
        <f>C41</f>
        <v>12.875</v>
      </c>
      <c r="H83" s="9">
        <f t="shared" si="9"/>
        <v>6.4945836594639642E-5</v>
      </c>
    </row>
    <row r="84" spans="5:9">
      <c r="E84" s="16" t="s">
        <v>136</v>
      </c>
      <c r="F84" s="16" t="s">
        <v>12</v>
      </c>
      <c r="G84" s="8">
        <v>0</v>
      </c>
      <c r="H84" s="9">
        <f t="shared" si="9"/>
        <v>0</v>
      </c>
    </row>
    <row r="85" spans="5:9">
      <c r="E85" s="5" t="s">
        <v>137</v>
      </c>
      <c r="F85" s="16" t="s">
        <v>13</v>
      </c>
      <c r="G85" s="28">
        <v>0</v>
      </c>
      <c r="H85" s="9">
        <f t="shared" si="9"/>
        <v>0</v>
      </c>
    </row>
    <row r="86" spans="5:9">
      <c r="E86" s="5" t="s">
        <v>138</v>
      </c>
      <c r="F86" s="12" t="s">
        <v>14</v>
      </c>
      <c r="G86" s="8">
        <f>C45</f>
        <v>66119.999999999985</v>
      </c>
      <c r="H86" s="9">
        <f t="shared" si="9"/>
        <v>0.33353155072913182</v>
      </c>
    </row>
    <row r="87" spans="5:9">
      <c r="E87" s="16" t="s">
        <v>139</v>
      </c>
      <c r="F87" s="16" t="s">
        <v>15</v>
      </c>
      <c r="G87" s="8">
        <f>C48</f>
        <v>436.80624999999998</v>
      </c>
      <c r="H87" s="9">
        <f t="shared" si="9"/>
        <v>2.2033978513411501E-3</v>
      </c>
    </row>
    <row r="88" spans="5:9">
      <c r="E88" s="5" t="s">
        <v>140</v>
      </c>
      <c r="F88" s="19" t="s">
        <v>2</v>
      </c>
      <c r="G88" s="8">
        <v>0</v>
      </c>
      <c r="H88" s="9">
        <f t="shared" si="9"/>
        <v>0</v>
      </c>
    </row>
    <row r="89" spans="5:9">
      <c r="E89" s="16" t="s">
        <v>141</v>
      </c>
      <c r="F89" s="16" t="s">
        <v>479</v>
      </c>
      <c r="G89" s="28">
        <v>0</v>
      </c>
      <c r="H89" s="9">
        <f t="shared" si="9"/>
        <v>0</v>
      </c>
    </row>
    <row r="90" spans="5:9" ht="14.25" thickBot="1">
      <c r="E90" s="5" t="s">
        <v>142</v>
      </c>
      <c r="F90" s="80" t="s">
        <v>1</v>
      </c>
      <c r="G90" s="6">
        <f>C54</f>
        <v>4498.4207013243349</v>
      </c>
      <c r="H90" s="81">
        <f t="shared" si="9"/>
        <v>2.2691549188516853E-2</v>
      </c>
    </row>
    <row r="91" spans="5:9" ht="14.25" thickTop="1">
      <c r="E91" s="375" t="s">
        <v>18</v>
      </c>
      <c r="F91" s="376"/>
      <c r="G91" s="7">
        <f>SUM(G74:G90)</f>
        <v>198242.1148927451</v>
      </c>
      <c r="H91" s="9">
        <f>G91/G91</f>
        <v>1</v>
      </c>
      <c r="I91" s="51"/>
    </row>
  </sheetData>
  <mergeCells count="29">
    <mergeCell ref="C52:M52"/>
    <mergeCell ref="E73:F73"/>
    <mergeCell ref="E91:F91"/>
    <mergeCell ref="C67:L67"/>
    <mergeCell ref="C53:M53"/>
    <mergeCell ref="A71:B71"/>
    <mergeCell ref="A42:B42"/>
    <mergeCell ref="A38:B40"/>
    <mergeCell ref="A34:B36"/>
    <mergeCell ref="A69:B69"/>
    <mergeCell ref="A55:B66"/>
    <mergeCell ref="A68:B68"/>
    <mergeCell ref="A46:B47"/>
    <mergeCell ref="A70:B70"/>
    <mergeCell ref="C43:M43"/>
    <mergeCell ref="C44:M44"/>
    <mergeCell ref="A49:B51"/>
    <mergeCell ref="M6:M7"/>
    <mergeCell ref="A6:B7"/>
    <mergeCell ref="C6:C7"/>
    <mergeCell ref="D6:E6"/>
    <mergeCell ref="F6:F7"/>
    <mergeCell ref="J6:L6"/>
    <mergeCell ref="G6:I6"/>
    <mergeCell ref="A9:B18"/>
    <mergeCell ref="A22:B24"/>
    <mergeCell ref="A26:B29"/>
    <mergeCell ref="A20:B20"/>
    <mergeCell ref="A31:B32"/>
  </mergeCells>
  <phoneticPr fontId="3"/>
  <pageMargins left="0.70866141732283472" right="0.70866141732283472" top="0.74803149606299213" bottom="0.74803149606299213" header="0.31496062992125984" footer="0.31496062992125984"/>
  <pageSetup paperSize="8" scale="55" fitToHeight="2" orientation="landscape" r:id="rId1"/>
  <rowBreaks count="1" manualBreakCount="1">
    <brk id="47" max="1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31"/>
  <sheetViews>
    <sheetView view="pageBreakPreview" zoomScale="80" zoomScaleNormal="85" zoomScaleSheetLayoutView="80" workbookViewId="0">
      <pane ySplit="7" topLeftCell="A8" activePane="bottomLeft" state="frozen"/>
      <selection pane="bottomLeft"/>
    </sheetView>
  </sheetViews>
  <sheetFormatPr defaultRowHeight="13.5"/>
  <cols>
    <col min="1" max="1" width="3.5" style="130" bestFit="1" customWidth="1"/>
    <col min="2" max="2" width="29.875" style="130" customWidth="1"/>
    <col min="3" max="3" width="10.875" style="3" customWidth="1"/>
    <col min="4" max="4" width="7.875" style="4" bestFit="1" customWidth="1"/>
    <col min="5" max="5" width="9.875" style="4" bestFit="1" customWidth="1"/>
    <col min="6" max="6" width="24.75" style="1" customWidth="1"/>
    <col min="7" max="7" width="13.125" style="1" customWidth="1"/>
    <col min="8" max="8" width="13.125" style="130" customWidth="1"/>
    <col min="9" max="9" width="40" style="130" customWidth="1"/>
    <col min="10" max="11" width="13.125" style="130" customWidth="1"/>
    <col min="12" max="12" width="40" style="130" customWidth="1"/>
    <col min="13" max="13" width="65.75" style="1" customWidth="1"/>
    <col min="14" max="16384" width="9" style="130"/>
  </cols>
  <sheetData>
    <row r="2" spans="1:13">
      <c r="B2" s="130" t="s">
        <v>1009</v>
      </c>
    </row>
    <row r="3" spans="1:13">
      <c r="B3" s="130" t="s">
        <v>1008</v>
      </c>
    </row>
    <row r="5" spans="1:13" ht="14.25" thickBot="1"/>
    <row r="6" spans="1:13" ht="14.25" thickBot="1">
      <c r="A6" s="412" t="s">
        <v>48</v>
      </c>
      <c r="B6" s="412"/>
      <c r="C6" s="413" t="s">
        <v>49</v>
      </c>
      <c r="D6" s="415" t="s">
        <v>121</v>
      </c>
      <c r="E6" s="415"/>
      <c r="F6" s="416" t="s">
        <v>16</v>
      </c>
      <c r="G6" s="417" t="s">
        <v>50</v>
      </c>
      <c r="H6" s="418"/>
      <c r="I6" s="419"/>
      <c r="J6" s="412" t="s">
        <v>51</v>
      </c>
      <c r="K6" s="412"/>
      <c r="L6" s="412"/>
      <c r="M6" s="410" t="s">
        <v>43</v>
      </c>
    </row>
    <row r="7" spans="1:13" s="2" customFormat="1" ht="14.25" thickBot="1">
      <c r="A7" s="412"/>
      <c r="B7" s="412"/>
      <c r="C7" s="414"/>
      <c r="D7" s="90" t="s">
        <v>52</v>
      </c>
      <c r="E7" s="90" t="s">
        <v>53</v>
      </c>
      <c r="F7" s="416"/>
      <c r="G7" s="91" t="s">
        <v>54</v>
      </c>
      <c r="H7" s="92" t="s">
        <v>55</v>
      </c>
      <c r="I7" s="92" t="s">
        <v>56</v>
      </c>
      <c r="J7" s="92" t="s">
        <v>57</v>
      </c>
      <c r="K7" s="92" t="s">
        <v>55</v>
      </c>
      <c r="L7" s="169" t="s">
        <v>56</v>
      </c>
      <c r="M7" s="411"/>
    </row>
    <row r="8" spans="1:13" ht="18.75" customHeight="1">
      <c r="A8" s="260">
        <v>1</v>
      </c>
      <c r="B8" s="259" t="s">
        <v>4</v>
      </c>
      <c r="C8" s="258">
        <f>SUM(C9:C30)</f>
        <v>130131.2</v>
      </c>
      <c r="D8" s="257">
        <f t="shared" ref="D8:D39" si="0">+C8/$C$108</f>
        <v>0.61600688105767676</v>
      </c>
      <c r="E8" s="257">
        <f t="shared" ref="E8:E39" si="1">+C8/$C$111</f>
        <v>0.57012676772658677</v>
      </c>
      <c r="F8" s="256"/>
      <c r="G8" s="256"/>
      <c r="H8" s="255"/>
      <c r="I8" s="255"/>
      <c r="J8" s="255"/>
      <c r="K8" s="255"/>
      <c r="L8" s="255"/>
      <c r="M8" s="254"/>
    </row>
    <row r="9" spans="1:13" s="146" customFormat="1" ht="18.75" customHeight="1">
      <c r="A9" s="386" t="s">
        <v>104</v>
      </c>
      <c r="B9" s="387"/>
      <c r="C9" s="125">
        <f t="shared" ref="C9:C30" si="2">+G9*J9</f>
        <v>11200.000000000002</v>
      </c>
      <c r="D9" s="124">
        <f t="shared" si="0"/>
        <v>5.3017854809960872E-2</v>
      </c>
      <c r="E9" s="124">
        <f t="shared" si="1"/>
        <v>4.9069091797645549E-2</v>
      </c>
      <c r="F9" s="147" t="s">
        <v>1007</v>
      </c>
      <c r="G9" s="37">
        <v>2500</v>
      </c>
      <c r="H9" s="131" t="s">
        <v>156</v>
      </c>
      <c r="I9" s="31" t="s">
        <v>987</v>
      </c>
      <c r="J9" s="230">
        <v>4.4800000000000004</v>
      </c>
      <c r="K9" s="229" t="s">
        <v>59</v>
      </c>
      <c r="L9" s="147" t="s">
        <v>1006</v>
      </c>
      <c r="M9" s="420" t="s">
        <v>1005</v>
      </c>
    </row>
    <row r="10" spans="1:13" s="146" customFormat="1" ht="18.75" customHeight="1">
      <c r="A10" s="388"/>
      <c r="B10" s="389"/>
      <c r="C10" s="125">
        <f t="shared" si="2"/>
        <v>12320</v>
      </c>
      <c r="D10" s="124">
        <f t="shared" si="0"/>
        <v>5.8319640290956952E-2</v>
      </c>
      <c r="E10" s="124">
        <f t="shared" si="1"/>
        <v>5.39760009774101E-2</v>
      </c>
      <c r="F10" s="147" t="s">
        <v>1004</v>
      </c>
      <c r="G10" s="37">
        <v>2000</v>
      </c>
      <c r="H10" s="131" t="s">
        <v>156</v>
      </c>
      <c r="I10" s="31" t="s">
        <v>987</v>
      </c>
      <c r="J10" s="230">
        <v>6.16</v>
      </c>
      <c r="K10" s="229" t="s">
        <v>59</v>
      </c>
      <c r="L10" s="147" t="s">
        <v>1003</v>
      </c>
      <c r="M10" s="421"/>
    </row>
    <row r="11" spans="1:13" s="146" customFormat="1" ht="18.75" customHeight="1">
      <c r="A11" s="388"/>
      <c r="B11" s="389"/>
      <c r="C11" s="125">
        <f t="shared" si="2"/>
        <v>42040</v>
      </c>
      <c r="D11" s="124">
        <f t="shared" si="0"/>
        <v>0.19900630501881739</v>
      </c>
      <c r="E11" s="124">
        <f t="shared" si="1"/>
        <v>0.18418434099759096</v>
      </c>
      <c r="F11" s="147" t="s">
        <v>1002</v>
      </c>
      <c r="G11" s="37">
        <v>4000</v>
      </c>
      <c r="H11" s="131" t="s">
        <v>156</v>
      </c>
      <c r="I11" s="31" t="s">
        <v>987</v>
      </c>
      <c r="J11" s="230">
        <v>10.51</v>
      </c>
      <c r="K11" s="229" t="s">
        <v>59</v>
      </c>
      <c r="L11" s="147" t="s">
        <v>1001</v>
      </c>
      <c r="M11" s="421"/>
    </row>
    <row r="12" spans="1:13" s="146" customFormat="1" ht="18.75" customHeight="1">
      <c r="A12" s="388"/>
      <c r="B12" s="389"/>
      <c r="C12" s="125">
        <f t="shared" si="2"/>
        <v>3860</v>
      </c>
      <c r="D12" s="124">
        <f t="shared" si="0"/>
        <v>1.8272224961290086E-2</v>
      </c>
      <c r="E12" s="124">
        <f t="shared" si="1"/>
        <v>1.6911311994545698E-2</v>
      </c>
      <c r="F12" s="147" t="s">
        <v>1000</v>
      </c>
      <c r="G12" s="133">
        <v>1000</v>
      </c>
      <c r="H12" s="131" t="s">
        <v>156</v>
      </c>
      <c r="I12" s="31" t="s">
        <v>987</v>
      </c>
      <c r="J12" s="230">
        <v>3.86</v>
      </c>
      <c r="K12" s="229" t="s">
        <v>59</v>
      </c>
      <c r="L12" s="147" t="s">
        <v>999</v>
      </c>
      <c r="M12" s="421"/>
    </row>
    <row r="13" spans="1:13" s="146" customFormat="1" ht="18.75" customHeight="1">
      <c r="A13" s="388"/>
      <c r="B13" s="389"/>
      <c r="C13" s="125">
        <f t="shared" si="2"/>
        <v>4160</v>
      </c>
      <c r="D13" s="124">
        <f t="shared" si="0"/>
        <v>1.9692346072271178E-2</v>
      </c>
      <c r="E13" s="124">
        <f t="shared" si="1"/>
        <v>1.8225662667696915E-2</v>
      </c>
      <c r="F13" s="147" t="s">
        <v>998</v>
      </c>
      <c r="G13" s="133">
        <v>1300</v>
      </c>
      <c r="H13" s="131" t="s">
        <v>64</v>
      </c>
      <c r="I13" s="31" t="s">
        <v>987</v>
      </c>
      <c r="J13" s="230">
        <v>3.2</v>
      </c>
      <c r="K13" s="229" t="s">
        <v>59</v>
      </c>
      <c r="L13" s="147" t="s">
        <v>997</v>
      </c>
      <c r="M13" s="421"/>
    </row>
    <row r="14" spans="1:13" s="146" customFormat="1" ht="18.75" customHeight="1">
      <c r="A14" s="388"/>
      <c r="B14" s="389"/>
      <c r="C14" s="125">
        <f t="shared" si="2"/>
        <v>2745</v>
      </c>
      <c r="D14" s="124">
        <f t="shared" si="0"/>
        <v>1.2994108165477017E-2</v>
      </c>
      <c r="E14" s="124">
        <f t="shared" si="1"/>
        <v>1.2026308659333662E-2</v>
      </c>
      <c r="F14" s="147" t="s">
        <v>996</v>
      </c>
      <c r="G14" s="133">
        <v>1500</v>
      </c>
      <c r="H14" s="131" t="s">
        <v>156</v>
      </c>
      <c r="I14" s="31" t="s">
        <v>987</v>
      </c>
      <c r="J14" s="230">
        <v>1.83</v>
      </c>
      <c r="K14" s="229" t="s">
        <v>59</v>
      </c>
      <c r="L14" s="147" t="s">
        <v>995</v>
      </c>
      <c r="M14" s="421"/>
    </row>
    <row r="15" spans="1:13" s="146" customFormat="1" ht="18.75" customHeight="1">
      <c r="A15" s="388"/>
      <c r="B15" s="389"/>
      <c r="C15" s="125">
        <f t="shared" si="2"/>
        <v>1296</v>
      </c>
      <c r="D15" s="124">
        <f t="shared" si="0"/>
        <v>6.1349231994383292E-3</v>
      </c>
      <c r="E15" s="124">
        <f t="shared" si="1"/>
        <v>5.6779949080132701E-3</v>
      </c>
      <c r="F15" s="147" t="s">
        <v>994</v>
      </c>
      <c r="G15" s="133">
        <v>600</v>
      </c>
      <c r="H15" s="131" t="s">
        <v>156</v>
      </c>
      <c r="I15" s="31" t="s">
        <v>987</v>
      </c>
      <c r="J15" s="230">
        <v>2.16</v>
      </c>
      <c r="K15" s="229" t="s">
        <v>59</v>
      </c>
      <c r="L15" s="147" t="s">
        <v>993</v>
      </c>
      <c r="M15" s="421"/>
    </row>
    <row r="16" spans="1:13" s="146" customFormat="1" ht="18.75" customHeight="1">
      <c r="A16" s="388"/>
      <c r="B16" s="389"/>
      <c r="C16" s="125">
        <f t="shared" si="2"/>
        <v>4150</v>
      </c>
      <c r="D16" s="124">
        <f t="shared" si="0"/>
        <v>1.9645008701905144E-2</v>
      </c>
      <c r="E16" s="124">
        <f t="shared" si="1"/>
        <v>1.8181850978591874E-2</v>
      </c>
      <c r="F16" s="147" t="s">
        <v>992</v>
      </c>
      <c r="G16" s="133">
        <v>1000</v>
      </c>
      <c r="H16" s="131" t="s">
        <v>156</v>
      </c>
      <c r="I16" s="31" t="s">
        <v>987</v>
      </c>
      <c r="J16" s="230">
        <v>4.1500000000000004</v>
      </c>
      <c r="K16" s="229" t="s">
        <v>59</v>
      </c>
      <c r="L16" s="147" t="s">
        <v>991</v>
      </c>
      <c r="M16" s="421"/>
    </row>
    <row r="17" spans="1:13" s="146" customFormat="1" ht="18.75" customHeight="1">
      <c r="A17" s="388"/>
      <c r="B17" s="389"/>
      <c r="C17" s="125">
        <f t="shared" si="2"/>
        <v>2005</v>
      </c>
      <c r="D17" s="124">
        <f t="shared" si="0"/>
        <v>9.4911427583903151E-3</v>
      </c>
      <c r="E17" s="124">
        <f t="shared" si="1"/>
        <v>8.7842436655606523E-3</v>
      </c>
      <c r="F17" s="147" t="s">
        <v>990</v>
      </c>
      <c r="G17" s="133">
        <v>500</v>
      </c>
      <c r="H17" s="131" t="s">
        <v>156</v>
      </c>
      <c r="I17" s="31" t="s">
        <v>987</v>
      </c>
      <c r="J17" s="230">
        <v>4.01</v>
      </c>
      <c r="K17" s="229" t="s">
        <v>59</v>
      </c>
      <c r="L17" s="147" t="s">
        <v>979</v>
      </c>
      <c r="M17" s="421"/>
    </row>
    <row r="18" spans="1:13" s="146" customFormat="1" ht="18.75" customHeight="1">
      <c r="A18" s="388"/>
      <c r="B18" s="389"/>
      <c r="C18" s="125">
        <f t="shared" si="2"/>
        <v>3711.9999999999995</v>
      </c>
      <c r="D18" s="124">
        <f t="shared" si="0"/>
        <v>1.7571631879872741E-2</v>
      </c>
      <c r="E18" s="124">
        <f t="shared" si="1"/>
        <v>1.6262898995791093E-2</v>
      </c>
      <c r="F18" s="147" t="s">
        <v>989</v>
      </c>
      <c r="G18" s="133">
        <v>800</v>
      </c>
      <c r="H18" s="131" t="s">
        <v>156</v>
      </c>
      <c r="I18" s="31" t="s">
        <v>987</v>
      </c>
      <c r="J18" s="230">
        <v>4.6399999999999997</v>
      </c>
      <c r="K18" s="229" t="s">
        <v>59</v>
      </c>
      <c r="L18" s="147" t="s">
        <v>988</v>
      </c>
      <c r="M18" s="421"/>
    </row>
    <row r="19" spans="1:13" s="146" customFormat="1" ht="18.75" customHeight="1">
      <c r="A19" s="388"/>
      <c r="B19" s="389"/>
      <c r="C19" s="125">
        <f t="shared" si="2"/>
        <v>296.8</v>
      </c>
      <c r="D19" s="124">
        <f t="shared" si="0"/>
        <v>1.404973152463963E-3</v>
      </c>
      <c r="E19" s="124">
        <f t="shared" si="1"/>
        <v>1.3003309326376068E-3</v>
      </c>
      <c r="F19" s="147" t="s">
        <v>934</v>
      </c>
      <c r="G19" s="133">
        <v>80</v>
      </c>
      <c r="H19" s="131" t="s">
        <v>156</v>
      </c>
      <c r="I19" s="31" t="s">
        <v>987</v>
      </c>
      <c r="J19" s="230">
        <v>3.71</v>
      </c>
      <c r="K19" s="229" t="s">
        <v>59</v>
      </c>
      <c r="L19" s="147" t="s">
        <v>986</v>
      </c>
      <c r="M19" s="422"/>
    </row>
    <row r="20" spans="1:13" s="146" customFormat="1" ht="18.75" customHeight="1">
      <c r="A20" s="388"/>
      <c r="B20" s="389"/>
      <c r="C20" s="125">
        <f t="shared" si="2"/>
        <v>2904</v>
      </c>
      <c r="D20" s="124">
        <f t="shared" si="0"/>
        <v>1.3746772354296995E-2</v>
      </c>
      <c r="E20" s="124">
        <f t="shared" si="1"/>
        <v>1.2722914516103809E-2</v>
      </c>
      <c r="F20" s="147" t="s">
        <v>898</v>
      </c>
      <c r="G20" s="133">
        <v>600</v>
      </c>
      <c r="H20" s="131" t="s">
        <v>156</v>
      </c>
      <c r="I20" s="31" t="s">
        <v>969</v>
      </c>
      <c r="J20" s="230">
        <v>4.84</v>
      </c>
      <c r="K20" s="229" t="s">
        <v>59</v>
      </c>
      <c r="L20" s="147" t="s">
        <v>985</v>
      </c>
      <c r="M20" s="177"/>
    </row>
    <row r="21" spans="1:13" ht="18.75" customHeight="1">
      <c r="A21" s="388"/>
      <c r="B21" s="389"/>
      <c r="C21" s="125">
        <f t="shared" si="2"/>
        <v>3768</v>
      </c>
      <c r="D21" s="124">
        <f t="shared" si="0"/>
        <v>1.7836721153922548E-2</v>
      </c>
      <c r="E21" s="124">
        <f t="shared" si="1"/>
        <v>1.6508244454779324E-2</v>
      </c>
      <c r="F21" s="147" t="s">
        <v>984</v>
      </c>
      <c r="G21" s="37">
        <v>800</v>
      </c>
      <c r="H21" s="131" t="s">
        <v>156</v>
      </c>
      <c r="I21" s="31" t="s">
        <v>969</v>
      </c>
      <c r="J21" s="230">
        <v>4.71</v>
      </c>
      <c r="K21" s="229" t="s">
        <v>59</v>
      </c>
      <c r="L21" s="147" t="s">
        <v>983</v>
      </c>
      <c r="M21" s="177"/>
    </row>
    <row r="22" spans="1:13" ht="18.75" customHeight="1">
      <c r="A22" s="388"/>
      <c r="B22" s="389"/>
      <c r="C22" s="125">
        <f t="shared" si="2"/>
        <v>910.40000000000009</v>
      </c>
      <c r="D22" s="124">
        <f t="shared" si="0"/>
        <v>4.3095941981239625E-3</v>
      </c>
      <c r="E22" s="124">
        <f t="shared" si="1"/>
        <v>3.9886161761229022E-3</v>
      </c>
      <c r="F22" s="147" t="s">
        <v>982</v>
      </c>
      <c r="G22" s="37">
        <v>80</v>
      </c>
      <c r="H22" s="131" t="s">
        <v>64</v>
      </c>
      <c r="I22" s="31" t="s">
        <v>969</v>
      </c>
      <c r="J22" s="230">
        <v>11.38</v>
      </c>
      <c r="K22" s="229" t="s">
        <v>59</v>
      </c>
      <c r="L22" s="147" t="s">
        <v>981</v>
      </c>
      <c r="M22" s="170"/>
    </row>
    <row r="23" spans="1:13" ht="18.75" customHeight="1">
      <c r="A23" s="388"/>
      <c r="B23" s="389"/>
      <c r="C23" s="125">
        <f t="shared" si="2"/>
        <v>10025</v>
      </c>
      <c r="D23" s="124">
        <f t="shared" si="0"/>
        <v>4.7455713791951577E-2</v>
      </c>
      <c r="E23" s="124">
        <f t="shared" si="1"/>
        <v>4.3921218327803262E-2</v>
      </c>
      <c r="F23" s="147" t="s">
        <v>980</v>
      </c>
      <c r="G23" s="37">
        <v>2500</v>
      </c>
      <c r="H23" s="131" t="s">
        <v>156</v>
      </c>
      <c r="I23" s="31" t="s">
        <v>969</v>
      </c>
      <c r="J23" s="230">
        <v>4.01</v>
      </c>
      <c r="K23" s="229" t="s">
        <v>59</v>
      </c>
      <c r="L23" s="147" t="s">
        <v>979</v>
      </c>
      <c r="M23" s="170"/>
    </row>
    <row r="24" spans="1:13" ht="18.75" customHeight="1">
      <c r="A24" s="388"/>
      <c r="B24" s="389"/>
      <c r="C24" s="125">
        <f t="shared" si="2"/>
        <v>1315</v>
      </c>
      <c r="D24" s="124">
        <f t="shared" si="0"/>
        <v>6.2248642031337981E-3</v>
      </c>
      <c r="E24" s="124">
        <f t="shared" si="1"/>
        <v>5.7612371173128476E-3</v>
      </c>
      <c r="F24" s="147" t="s">
        <v>978</v>
      </c>
      <c r="G24" s="37">
        <v>500</v>
      </c>
      <c r="H24" s="131" t="s">
        <v>156</v>
      </c>
      <c r="I24" s="31" t="s">
        <v>969</v>
      </c>
      <c r="J24" s="230">
        <v>2.63</v>
      </c>
      <c r="K24" s="229" t="s">
        <v>59</v>
      </c>
      <c r="L24" s="147" t="s">
        <v>977</v>
      </c>
      <c r="M24" s="170"/>
    </row>
    <row r="25" spans="1:13" ht="18.75" customHeight="1">
      <c r="A25" s="388"/>
      <c r="B25" s="389"/>
      <c r="C25" s="125">
        <f t="shared" si="2"/>
        <v>2900</v>
      </c>
      <c r="D25" s="124">
        <f t="shared" si="0"/>
        <v>1.3727837406150582E-2</v>
      </c>
      <c r="E25" s="124">
        <f t="shared" si="1"/>
        <v>1.2705389840461793E-2</v>
      </c>
      <c r="F25" s="147" t="s">
        <v>976</v>
      </c>
      <c r="G25" s="37">
        <v>2500</v>
      </c>
      <c r="H25" s="131" t="s">
        <v>156</v>
      </c>
      <c r="I25" s="31" t="s">
        <v>969</v>
      </c>
      <c r="J25" s="178">
        <v>1.1599999999999999</v>
      </c>
      <c r="K25" s="229" t="s">
        <v>59</v>
      </c>
      <c r="L25" s="147" t="s">
        <v>975</v>
      </c>
      <c r="M25" s="170"/>
    </row>
    <row r="26" spans="1:13" ht="18.75" customHeight="1">
      <c r="A26" s="388"/>
      <c r="B26" s="389"/>
      <c r="C26" s="125">
        <f t="shared" si="2"/>
        <v>1035</v>
      </c>
      <c r="D26" s="124">
        <f t="shared" si="0"/>
        <v>4.8994178328847764E-3</v>
      </c>
      <c r="E26" s="124">
        <f t="shared" si="1"/>
        <v>4.5345098223717089E-3</v>
      </c>
      <c r="F26" s="145" t="s">
        <v>974</v>
      </c>
      <c r="G26" s="37">
        <v>1500</v>
      </c>
      <c r="H26" s="131" t="s">
        <v>156</v>
      </c>
      <c r="I26" s="31" t="s">
        <v>969</v>
      </c>
      <c r="J26" s="178">
        <v>0.69</v>
      </c>
      <c r="K26" s="229" t="s">
        <v>59</v>
      </c>
      <c r="L26" s="147" t="s">
        <v>973</v>
      </c>
      <c r="M26" s="170"/>
    </row>
    <row r="27" spans="1:13" ht="18.75" customHeight="1">
      <c r="A27" s="388"/>
      <c r="B27" s="389"/>
      <c r="C27" s="125">
        <f t="shared" si="2"/>
        <v>14880</v>
      </c>
      <c r="D27" s="124">
        <f t="shared" si="0"/>
        <v>7.043800710466229E-2</v>
      </c>
      <c r="E27" s="124">
        <f t="shared" si="1"/>
        <v>6.5191793388300501E-2</v>
      </c>
      <c r="F27" s="145" t="s">
        <v>972</v>
      </c>
      <c r="G27" s="37">
        <v>8000</v>
      </c>
      <c r="H27" s="131" t="s">
        <v>156</v>
      </c>
      <c r="I27" s="31" t="s">
        <v>969</v>
      </c>
      <c r="J27" s="192">
        <v>1.86</v>
      </c>
      <c r="K27" s="229" t="s">
        <v>59</v>
      </c>
      <c r="L27" s="147" t="s">
        <v>971</v>
      </c>
      <c r="M27" s="170"/>
    </row>
    <row r="28" spans="1:13" ht="18.75" customHeight="1">
      <c r="A28" s="388"/>
      <c r="B28" s="389"/>
      <c r="C28" s="125">
        <f t="shared" si="2"/>
        <v>2740</v>
      </c>
      <c r="D28" s="124">
        <f t="shared" si="0"/>
        <v>1.2970439480293998E-2</v>
      </c>
      <c r="E28" s="124">
        <f t="shared" si="1"/>
        <v>1.2004402814781141E-2</v>
      </c>
      <c r="F28" s="145" t="s">
        <v>970</v>
      </c>
      <c r="G28" s="37">
        <v>2000</v>
      </c>
      <c r="H28" s="131" t="s">
        <v>156</v>
      </c>
      <c r="I28" s="31" t="s">
        <v>969</v>
      </c>
      <c r="J28" s="192">
        <v>1.37</v>
      </c>
      <c r="K28" s="229" t="s">
        <v>59</v>
      </c>
      <c r="L28" s="147" t="s">
        <v>968</v>
      </c>
      <c r="M28" s="170"/>
    </row>
    <row r="29" spans="1:13" ht="18.75" customHeight="1">
      <c r="A29" s="388"/>
      <c r="B29" s="389"/>
      <c r="C29" s="125">
        <f t="shared" si="2"/>
        <v>1545</v>
      </c>
      <c r="D29" s="124">
        <f t="shared" si="0"/>
        <v>7.3136237215526371E-3</v>
      </c>
      <c r="E29" s="124">
        <f t="shared" si="1"/>
        <v>6.7689059667287825E-3</v>
      </c>
      <c r="F29" s="136" t="s">
        <v>62</v>
      </c>
      <c r="G29" s="136">
        <v>100</v>
      </c>
      <c r="H29" s="111" t="s">
        <v>64</v>
      </c>
      <c r="I29" s="31" t="s">
        <v>966</v>
      </c>
      <c r="J29" s="230">
        <v>15.45</v>
      </c>
      <c r="K29" s="229" t="s">
        <v>59</v>
      </c>
      <c r="L29" s="147" t="s">
        <v>967</v>
      </c>
      <c r="M29" s="177"/>
    </row>
    <row r="30" spans="1:13" ht="18.75" customHeight="1">
      <c r="A30" s="388"/>
      <c r="B30" s="389"/>
      <c r="C30" s="125">
        <f t="shared" si="2"/>
        <v>324</v>
      </c>
      <c r="D30" s="124">
        <f t="shared" si="0"/>
        <v>1.5337307998595823E-3</v>
      </c>
      <c r="E30" s="124">
        <f t="shared" si="1"/>
        <v>1.4194987270033175E-3</v>
      </c>
      <c r="F30" s="136" t="s">
        <v>66</v>
      </c>
      <c r="G30" s="136">
        <v>60</v>
      </c>
      <c r="H30" s="111" t="s">
        <v>64</v>
      </c>
      <c r="I30" s="31" t="s">
        <v>966</v>
      </c>
      <c r="J30" s="230">
        <v>5.4</v>
      </c>
      <c r="K30" s="229" t="s">
        <v>59</v>
      </c>
      <c r="L30" s="147" t="s">
        <v>965</v>
      </c>
      <c r="M30" s="177"/>
    </row>
    <row r="31" spans="1:13" s="146" customFormat="1" ht="18.75" customHeight="1">
      <c r="A31" s="60">
        <v>2</v>
      </c>
      <c r="B31" s="69" t="s">
        <v>5</v>
      </c>
      <c r="C31" s="93">
        <f>SUM(C32:C33)</f>
        <v>18774</v>
      </c>
      <c r="D31" s="42">
        <f t="shared" si="0"/>
        <v>8.8871179125196903E-2</v>
      </c>
      <c r="E31" s="42">
        <f t="shared" si="1"/>
        <v>8.2252065125803339E-2</v>
      </c>
      <c r="F31" s="94"/>
      <c r="G31" s="95"/>
      <c r="H31" s="95"/>
      <c r="I31" s="95"/>
      <c r="J31" s="95"/>
      <c r="K31" s="95"/>
      <c r="L31" s="95"/>
      <c r="M31" s="175"/>
    </row>
    <row r="32" spans="1:13" s="146" customFormat="1" ht="18.75" customHeight="1">
      <c r="A32" s="386" t="s">
        <v>104</v>
      </c>
      <c r="B32" s="387"/>
      <c r="C32" s="123">
        <f>+G32*J32</f>
        <v>16150</v>
      </c>
      <c r="D32" s="118">
        <f t="shared" si="0"/>
        <v>7.6449853141148924E-2</v>
      </c>
      <c r="E32" s="118">
        <f t="shared" si="1"/>
        <v>7.0755877904640677E-2</v>
      </c>
      <c r="F32" s="134" t="s">
        <v>964</v>
      </c>
      <c r="G32" s="100">
        <v>5000</v>
      </c>
      <c r="H32" s="22" t="s">
        <v>963</v>
      </c>
      <c r="I32" s="22" t="s">
        <v>568</v>
      </c>
      <c r="J32" s="280">
        <v>3.23</v>
      </c>
      <c r="K32" s="279" t="s">
        <v>254</v>
      </c>
      <c r="L32" s="138" t="s">
        <v>962</v>
      </c>
      <c r="M32" s="177"/>
    </row>
    <row r="33" spans="1:13" s="146" customFormat="1" ht="18.75" customHeight="1">
      <c r="A33" s="388"/>
      <c r="B33" s="389"/>
      <c r="C33" s="123">
        <f>+G33*J33</f>
        <v>2624</v>
      </c>
      <c r="D33" s="118">
        <f t="shared" si="0"/>
        <v>1.2421325984047974E-2</v>
      </c>
      <c r="E33" s="118">
        <f t="shared" si="1"/>
        <v>1.149618722116267E-2</v>
      </c>
      <c r="F33" s="224" t="s">
        <v>669</v>
      </c>
      <c r="G33" s="227">
        <v>800</v>
      </c>
      <c r="H33" s="226" t="s">
        <v>961</v>
      </c>
      <c r="I33" s="22" t="s">
        <v>568</v>
      </c>
      <c r="J33" s="224">
        <v>3.28</v>
      </c>
      <c r="K33" s="225" t="s">
        <v>203</v>
      </c>
      <c r="L33" s="138" t="s">
        <v>960</v>
      </c>
      <c r="M33" s="177"/>
    </row>
    <row r="34" spans="1:13" s="137" customFormat="1" ht="18.75" customHeight="1">
      <c r="A34" s="85">
        <v>3</v>
      </c>
      <c r="B34" s="70" t="s">
        <v>6</v>
      </c>
      <c r="C34" s="66">
        <f>SUM(C35:C40)</f>
        <v>3751.2</v>
      </c>
      <c r="D34" s="43">
        <f t="shared" si="0"/>
        <v>1.7757194371707606E-2</v>
      </c>
      <c r="E34" s="43">
        <f t="shared" si="1"/>
        <v>1.6434640817082853E-2</v>
      </c>
      <c r="F34" s="25"/>
      <c r="G34" s="25"/>
      <c r="H34" s="44"/>
      <c r="I34" s="44"/>
      <c r="J34" s="25"/>
      <c r="K34" s="44"/>
      <c r="L34" s="44"/>
      <c r="M34" s="57"/>
    </row>
    <row r="35" spans="1:13" s="137" customFormat="1" ht="18.75" customHeight="1">
      <c r="A35" s="431" t="s">
        <v>104</v>
      </c>
      <c r="B35" s="432"/>
      <c r="C35" s="117">
        <f t="shared" ref="C35:C40" si="3">+G35*J35</f>
        <v>343</v>
      </c>
      <c r="D35" s="116">
        <f t="shared" si="0"/>
        <v>1.6236718035550516E-3</v>
      </c>
      <c r="E35" s="116">
        <f t="shared" si="1"/>
        <v>1.5027409363028948E-3</v>
      </c>
      <c r="F35" s="141" t="s">
        <v>178</v>
      </c>
      <c r="G35" s="96">
        <v>1000</v>
      </c>
      <c r="H35" s="156" t="s">
        <v>561</v>
      </c>
      <c r="I35" s="156" t="s">
        <v>553</v>
      </c>
      <c r="J35" s="181">
        <v>0.34300000000000003</v>
      </c>
      <c r="K35" s="196" t="s">
        <v>205</v>
      </c>
      <c r="L35" s="141" t="s">
        <v>564</v>
      </c>
      <c r="M35" s="58"/>
    </row>
    <row r="36" spans="1:13" s="137" customFormat="1" ht="18.75" customHeight="1">
      <c r="A36" s="433"/>
      <c r="B36" s="434"/>
      <c r="C36" s="117">
        <f t="shared" si="3"/>
        <v>60.5</v>
      </c>
      <c r="D36" s="116">
        <f t="shared" si="0"/>
        <v>2.8639109071452074E-4</v>
      </c>
      <c r="E36" s="116">
        <f t="shared" si="1"/>
        <v>2.6506071908549602E-4</v>
      </c>
      <c r="F36" s="141" t="s">
        <v>169</v>
      </c>
      <c r="G36" s="96">
        <v>500</v>
      </c>
      <c r="H36" s="156" t="s">
        <v>561</v>
      </c>
      <c r="I36" s="156" t="s">
        <v>553</v>
      </c>
      <c r="J36" s="181">
        <v>0.121</v>
      </c>
      <c r="K36" s="196" t="s">
        <v>205</v>
      </c>
      <c r="L36" s="141" t="s">
        <v>563</v>
      </c>
      <c r="M36" s="58"/>
    </row>
    <row r="37" spans="1:13" s="137" customFormat="1" ht="18.75" customHeight="1">
      <c r="A37" s="433"/>
      <c r="B37" s="434"/>
      <c r="C37" s="117">
        <f t="shared" si="3"/>
        <v>1520</v>
      </c>
      <c r="D37" s="116">
        <f t="shared" si="0"/>
        <v>7.1952802956375458E-3</v>
      </c>
      <c r="E37" s="116">
        <f t="shared" si="1"/>
        <v>6.659376743966181E-3</v>
      </c>
      <c r="F37" s="141" t="s">
        <v>172</v>
      </c>
      <c r="G37" s="96">
        <v>10000</v>
      </c>
      <c r="H37" s="156" t="s">
        <v>561</v>
      </c>
      <c r="I37" s="156" t="s">
        <v>553</v>
      </c>
      <c r="J37" s="181">
        <v>0.152</v>
      </c>
      <c r="K37" s="196" t="s">
        <v>205</v>
      </c>
      <c r="L37" s="141" t="s">
        <v>562</v>
      </c>
      <c r="M37" s="58"/>
    </row>
    <row r="38" spans="1:13" s="137" customFormat="1" ht="18.75" customHeight="1">
      <c r="A38" s="433"/>
      <c r="B38" s="434"/>
      <c r="C38" s="117">
        <f t="shared" si="3"/>
        <v>370</v>
      </c>
      <c r="D38" s="116">
        <f t="shared" si="0"/>
        <v>1.75148270354335E-3</v>
      </c>
      <c r="E38" s="116">
        <f t="shared" si="1"/>
        <v>1.6210324968865045E-3</v>
      </c>
      <c r="F38" s="141" t="s">
        <v>180</v>
      </c>
      <c r="G38" s="96">
        <v>500</v>
      </c>
      <c r="H38" s="156" t="s">
        <v>559</v>
      </c>
      <c r="I38" s="156" t="s">
        <v>553</v>
      </c>
      <c r="J38" s="181">
        <v>0.74</v>
      </c>
      <c r="K38" s="220" t="s">
        <v>374</v>
      </c>
      <c r="L38" s="141" t="s">
        <v>558</v>
      </c>
      <c r="M38" s="58"/>
    </row>
    <row r="39" spans="1:13" s="137" customFormat="1" ht="18.75" customHeight="1">
      <c r="A39" s="433"/>
      <c r="B39" s="434"/>
      <c r="C39" s="117">
        <f t="shared" si="3"/>
        <v>1416</v>
      </c>
      <c r="D39" s="116">
        <f t="shared" si="0"/>
        <v>6.7029716438307668E-3</v>
      </c>
      <c r="E39" s="116">
        <f t="shared" si="1"/>
        <v>6.2037351772737583E-3</v>
      </c>
      <c r="F39" s="141" t="s">
        <v>376</v>
      </c>
      <c r="G39" s="96">
        <v>40000</v>
      </c>
      <c r="H39" s="156" t="s">
        <v>557</v>
      </c>
      <c r="I39" s="156" t="s">
        <v>553</v>
      </c>
      <c r="J39" s="181">
        <v>3.5400000000000001E-2</v>
      </c>
      <c r="K39" s="220" t="s">
        <v>378</v>
      </c>
      <c r="L39" s="197" t="s">
        <v>556</v>
      </c>
      <c r="M39" s="58"/>
    </row>
    <row r="40" spans="1:13" s="137" customFormat="1" ht="18.75" customHeight="1">
      <c r="A40" s="435"/>
      <c r="B40" s="436"/>
      <c r="C40" s="117">
        <f t="shared" si="3"/>
        <v>41.699999999999996</v>
      </c>
      <c r="D40" s="116">
        <f t="shared" ref="D40:D63" si="4">+C40/$C$108</f>
        <v>1.9739683442637215E-4</v>
      </c>
      <c r="E40" s="116">
        <f t="shared" ref="E40:E63" si="5">+C40/$C$111</f>
        <v>1.8269474356801956E-4</v>
      </c>
      <c r="F40" s="141" t="s">
        <v>555</v>
      </c>
      <c r="G40" s="96">
        <v>3000</v>
      </c>
      <c r="H40" s="156" t="s">
        <v>554</v>
      </c>
      <c r="I40" s="156" t="s">
        <v>553</v>
      </c>
      <c r="J40" s="181">
        <v>1.3899999999999999E-2</v>
      </c>
      <c r="K40" s="220" t="s">
        <v>382</v>
      </c>
      <c r="L40" s="198" t="s">
        <v>552</v>
      </c>
      <c r="M40" s="58"/>
    </row>
    <row r="41" spans="1:13" s="146" customFormat="1" ht="18.75" customHeight="1">
      <c r="A41" s="60">
        <v>4</v>
      </c>
      <c r="B41" s="175" t="s">
        <v>7</v>
      </c>
      <c r="C41" s="67">
        <f>SUM(C42:C45)</f>
        <v>10912.503204399998</v>
      </c>
      <c r="D41" s="42">
        <f t="shared" si="4"/>
        <v>5.1656920580724269E-2</v>
      </c>
      <c r="E41" s="42">
        <f t="shared" si="5"/>
        <v>4.7809519774893269E-2</v>
      </c>
      <c r="F41" s="174"/>
      <c r="G41" s="174"/>
      <c r="H41" s="41"/>
      <c r="I41" s="41"/>
      <c r="J41" s="41"/>
      <c r="K41" s="41"/>
      <c r="L41" s="41"/>
      <c r="M41" s="175"/>
    </row>
    <row r="42" spans="1:13" s="146" customFormat="1" ht="60" customHeight="1">
      <c r="A42" s="423" t="s">
        <v>103</v>
      </c>
      <c r="B42" s="424"/>
      <c r="C42" s="122">
        <f>G42-J42</f>
        <v>0</v>
      </c>
      <c r="D42" s="118">
        <f t="shared" si="4"/>
        <v>0</v>
      </c>
      <c r="E42" s="118">
        <f t="shared" si="5"/>
        <v>0</v>
      </c>
      <c r="F42" s="136" t="s">
        <v>959</v>
      </c>
      <c r="G42" s="98">
        <v>25000</v>
      </c>
      <c r="H42" s="31" t="s">
        <v>714</v>
      </c>
      <c r="I42" s="136" t="s">
        <v>124</v>
      </c>
      <c r="J42" s="98">
        <v>25000</v>
      </c>
      <c r="K42" s="31" t="s">
        <v>714</v>
      </c>
      <c r="L42" s="31" t="s">
        <v>125</v>
      </c>
      <c r="M42" s="177" t="s">
        <v>958</v>
      </c>
    </row>
    <row r="43" spans="1:13" s="146" customFormat="1" ht="255" customHeight="1">
      <c r="A43" s="425"/>
      <c r="B43" s="426"/>
      <c r="C43" s="117">
        <f>+G43*J43</f>
        <v>10875.137499999999</v>
      </c>
      <c r="D43" s="118">
        <f t="shared" si="4"/>
        <v>5.1480041161907207E-2</v>
      </c>
      <c r="E43" s="118">
        <f t="shared" si="5"/>
        <v>4.7645814312456909E-2</v>
      </c>
      <c r="F43" s="136" t="s">
        <v>957</v>
      </c>
      <c r="G43" s="34">
        <f>(G9*12.5+G10*15+G11*15+G12*0.8+G13*15+G14*0.9+G15*1+G16*1.2+G17*0.15+G18*0.4+G19*11)*500</f>
        <v>72987500</v>
      </c>
      <c r="H43" s="31" t="s">
        <v>745</v>
      </c>
      <c r="I43" s="278" t="s">
        <v>956</v>
      </c>
      <c r="J43" s="34">
        <v>1.4899999999999999E-4</v>
      </c>
      <c r="K43" s="31" t="s">
        <v>743</v>
      </c>
      <c r="L43" s="136" t="s">
        <v>843</v>
      </c>
      <c r="M43" s="162" t="s">
        <v>955</v>
      </c>
    </row>
    <row r="44" spans="1:13" s="146" customFormat="1" ht="45" customHeight="1">
      <c r="A44" s="425"/>
      <c r="B44" s="426"/>
      <c r="C44" s="117">
        <f>+G44*J44</f>
        <v>7.9382044</v>
      </c>
      <c r="D44" s="118">
        <f t="shared" si="4"/>
        <v>3.7577372172410047E-5</v>
      </c>
      <c r="E44" s="118">
        <f t="shared" si="5"/>
        <v>3.4778614322506586E-5</v>
      </c>
      <c r="F44" s="136" t="s">
        <v>543</v>
      </c>
      <c r="G44" s="34">
        <f>(G17*0.15+G18*0.4)*2111</f>
        <v>833845</v>
      </c>
      <c r="H44" s="37" t="s">
        <v>392</v>
      </c>
      <c r="I44" s="202" t="s">
        <v>954</v>
      </c>
      <c r="J44" s="199">
        <v>9.5200000000000003E-6</v>
      </c>
      <c r="K44" s="31" t="s">
        <v>394</v>
      </c>
      <c r="L44" s="152" t="s">
        <v>395</v>
      </c>
      <c r="M44" s="177" t="s">
        <v>953</v>
      </c>
    </row>
    <row r="45" spans="1:13" s="146" customFormat="1" ht="45" customHeight="1">
      <c r="A45" s="427"/>
      <c r="B45" s="428"/>
      <c r="C45" s="117">
        <f>+G45*J45</f>
        <v>29.427499999999998</v>
      </c>
      <c r="D45" s="118">
        <f t="shared" si="4"/>
        <v>1.3930204664465385E-4</v>
      </c>
      <c r="E45" s="118">
        <f t="shared" si="5"/>
        <v>1.289268481138584E-4</v>
      </c>
      <c r="F45" s="136" t="s">
        <v>540</v>
      </c>
      <c r="G45" s="34">
        <f>(G17*0.15+G18*0.4)*500</f>
        <v>197500</v>
      </c>
      <c r="H45" s="31" t="s">
        <v>745</v>
      </c>
      <c r="I45" s="136" t="s">
        <v>952</v>
      </c>
      <c r="J45" s="34">
        <v>1.4899999999999999E-4</v>
      </c>
      <c r="K45" s="31" t="s">
        <v>743</v>
      </c>
      <c r="L45" s="136" t="s">
        <v>843</v>
      </c>
      <c r="M45" s="177" t="s">
        <v>270</v>
      </c>
    </row>
    <row r="46" spans="1:13" s="18" customFormat="1" ht="18.75" customHeight="1">
      <c r="A46" s="86">
        <v>5</v>
      </c>
      <c r="B46" s="71" t="s">
        <v>8</v>
      </c>
      <c r="C46" s="67">
        <f>SUM(C47:C50)</f>
        <v>159.48799999999997</v>
      </c>
      <c r="D46" s="42">
        <f t="shared" si="4"/>
        <v>7.5497425249384262E-4</v>
      </c>
      <c r="E46" s="42">
        <f t="shared" si="5"/>
        <v>6.9874386719847236E-4</v>
      </c>
      <c r="F46" s="26"/>
      <c r="G46" s="26"/>
      <c r="H46" s="46"/>
      <c r="I46" s="46"/>
      <c r="J46" s="46"/>
      <c r="K46" s="46"/>
      <c r="L46" s="46"/>
      <c r="M46" s="59"/>
    </row>
    <row r="47" spans="1:13" s="18" customFormat="1" ht="18.75" customHeight="1">
      <c r="A47" s="382" t="s">
        <v>842</v>
      </c>
      <c r="B47" s="383"/>
      <c r="C47" s="122">
        <f>+G47*J47</f>
        <v>74.899999999999991</v>
      </c>
      <c r="D47" s="118">
        <f t="shared" si="4"/>
        <v>3.5455690404161323E-4</v>
      </c>
      <c r="E47" s="118">
        <f t="shared" si="5"/>
        <v>3.2814955139675455E-4</v>
      </c>
      <c r="F47" s="147" t="s">
        <v>951</v>
      </c>
      <c r="G47" s="45">
        <v>1000</v>
      </c>
      <c r="H47" s="47" t="s">
        <v>452</v>
      </c>
      <c r="I47" s="47" t="s">
        <v>946</v>
      </c>
      <c r="J47" s="47">
        <v>7.4899999999999994E-2</v>
      </c>
      <c r="K47" s="47" t="s">
        <v>61</v>
      </c>
      <c r="L47" s="47" t="s">
        <v>950</v>
      </c>
      <c r="M47" s="407" t="s">
        <v>949</v>
      </c>
    </row>
    <row r="48" spans="1:13" s="18" customFormat="1" ht="18.75" customHeight="1">
      <c r="A48" s="382"/>
      <c r="B48" s="383"/>
      <c r="C48" s="122">
        <f>+G48*J48</f>
        <v>2.968</v>
      </c>
      <c r="D48" s="118">
        <f t="shared" si="4"/>
        <v>1.4049731524639629E-5</v>
      </c>
      <c r="E48" s="118">
        <f t="shared" si="5"/>
        <v>1.3003309326376068E-5</v>
      </c>
      <c r="F48" s="147" t="s">
        <v>948</v>
      </c>
      <c r="G48" s="45">
        <v>20</v>
      </c>
      <c r="H48" s="47" t="s">
        <v>452</v>
      </c>
      <c r="I48" s="47" t="s">
        <v>946</v>
      </c>
      <c r="J48" s="47">
        <v>0.1484</v>
      </c>
      <c r="K48" s="47" t="s">
        <v>61</v>
      </c>
      <c r="L48" s="47" t="s">
        <v>627</v>
      </c>
      <c r="M48" s="408"/>
    </row>
    <row r="49" spans="1:13" s="18" customFormat="1" ht="18.75" customHeight="1">
      <c r="A49" s="382"/>
      <c r="B49" s="383"/>
      <c r="C49" s="122">
        <f>+G49*J49</f>
        <v>74.2</v>
      </c>
      <c r="D49" s="118">
        <f t="shared" si="4"/>
        <v>3.5124328811599075E-4</v>
      </c>
      <c r="E49" s="118">
        <f t="shared" si="5"/>
        <v>3.2508273315940171E-4</v>
      </c>
      <c r="F49" s="147" t="s">
        <v>947</v>
      </c>
      <c r="G49" s="45">
        <v>500</v>
      </c>
      <c r="H49" s="47" t="s">
        <v>452</v>
      </c>
      <c r="I49" s="47" t="s">
        <v>946</v>
      </c>
      <c r="J49" s="47">
        <v>0.1484</v>
      </c>
      <c r="K49" s="47" t="s">
        <v>61</v>
      </c>
      <c r="L49" s="47" t="s">
        <v>627</v>
      </c>
      <c r="M49" s="409"/>
    </row>
    <row r="50" spans="1:13" s="18" customFormat="1" ht="18.75" customHeight="1">
      <c r="A50" s="382"/>
      <c r="B50" s="383"/>
      <c r="C50" s="122">
        <f>+G50*J50</f>
        <v>7.42</v>
      </c>
      <c r="D50" s="118">
        <f t="shared" si="4"/>
        <v>3.5124328811599074E-5</v>
      </c>
      <c r="E50" s="118">
        <f t="shared" si="5"/>
        <v>3.2508273315940174E-5</v>
      </c>
      <c r="F50" s="153" t="s">
        <v>640</v>
      </c>
      <c r="G50" s="153">
        <v>50</v>
      </c>
      <c r="H50" s="45" t="s">
        <v>452</v>
      </c>
      <c r="I50" s="47" t="s">
        <v>85</v>
      </c>
      <c r="J50" s="47">
        <v>0.1484</v>
      </c>
      <c r="K50" s="47" t="s">
        <v>61</v>
      </c>
      <c r="L50" s="47" t="s">
        <v>115</v>
      </c>
      <c r="M50" s="176" t="s">
        <v>82</v>
      </c>
    </row>
    <row r="51" spans="1:13" s="146" customFormat="1" ht="18.75" customHeight="1">
      <c r="A51" s="60">
        <v>6</v>
      </c>
      <c r="B51" s="175" t="s">
        <v>9</v>
      </c>
      <c r="C51" s="67">
        <f>SUM(C52:C54)</f>
        <v>12608</v>
      </c>
      <c r="D51" s="42">
        <f t="shared" si="4"/>
        <v>5.9682956557498806E-2</v>
      </c>
      <c r="E51" s="42">
        <f t="shared" si="5"/>
        <v>5.523777762363527E-2</v>
      </c>
      <c r="F51" s="174"/>
      <c r="G51" s="95"/>
      <c r="H51" s="41"/>
      <c r="I51" s="41"/>
      <c r="J51" s="41"/>
      <c r="K51" s="41"/>
      <c r="L51" s="41"/>
      <c r="M51" s="175"/>
    </row>
    <row r="52" spans="1:13" s="146" customFormat="1" ht="18.75" customHeight="1">
      <c r="A52" s="386" t="s">
        <v>842</v>
      </c>
      <c r="B52" s="387"/>
      <c r="C52" s="121">
        <f>+G52*J52</f>
        <v>1370</v>
      </c>
      <c r="D52" s="118">
        <f t="shared" si="4"/>
        <v>6.4852197401469988E-3</v>
      </c>
      <c r="E52" s="118">
        <f t="shared" si="5"/>
        <v>6.0022014073905705E-3</v>
      </c>
      <c r="F52" s="183" t="s">
        <v>191</v>
      </c>
      <c r="G52" s="100">
        <v>1000</v>
      </c>
      <c r="H52" s="160" t="s">
        <v>185</v>
      </c>
      <c r="I52" s="159" t="s">
        <v>214</v>
      </c>
      <c r="J52" s="40">
        <v>1.37</v>
      </c>
      <c r="K52" s="161" t="s">
        <v>207</v>
      </c>
      <c r="L52" s="151" t="s">
        <v>186</v>
      </c>
      <c r="M52" s="177"/>
    </row>
    <row r="53" spans="1:13" s="146" customFormat="1" ht="18.75" customHeight="1">
      <c r="A53" s="388"/>
      <c r="B53" s="389"/>
      <c r="C53" s="121">
        <f>+G53*J53</f>
        <v>9630</v>
      </c>
      <c r="D53" s="118">
        <f t="shared" si="4"/>
        <v>4.5585887662493135E-2</v>
      </c>
      <c r="E53" s="118">
        <f t="shared" si="5"/>
        <v>4.2190656608154159E-2</v>
      </c>
      <c r="F53" s="39" t="s">
        <v>187</v>
      </c>
      <c r="G53" s="100">
        <v>3000</v>
      </c>
      <c r="H53" s="160" t="s">
        <v>185</v>
      </c>
      <c r="I53" s="159" t="s">
        <v>214</v>
      </c>
      <c r="J53" s="40">
        <v>3.21</v>
      </c>
      <c r="K53" s="161" t="s">
        <v>207</v>
      </c>
      <c r="L53" s="152" t="s">
        <v>188</v>
      </c>
      <c r="M53" s="177"/>
    </row>
    <row r="54" spans="1:13" s="146" customFormat="1" ht="18.75" customHeight="1">
      <c r="A54" s="390"/>
      <c r="B54" s="391"/>
      <c r="C54" s="121">
        <f>+G54*J54</f>
        <v>1607.9999999999998</v>
      </c>
      <c r="D54" s="118">
        <f t="shared" si="4"/>
        <v>7.6118491548586662E-3</v>
      </c>
      <c r="E54" s="118">
        <f t="shared" si="5"/>
        <v>7.0449196080905373E-3</v>
      </c>
      <c r="F54" s="185" t="s">
        <v>189</v>
      </c>
      <c r="G54" s="100">
        <v>800</v>
      </c>
      <c r="H54" s="160" t="s">
        <v>185</v>
      </c>
      <c r="I54" s="159" t="s">
        <v>214</v>
      </c>
      <c r="J54" s="40">
        <v>2.0099999999999998</v>
      </c>
      <c r="K54" s="161" t="s">
        <v>207</v>
      </c>
      <c r="L54" s="152" t="s">
        <v>190</v>
      </c>
      <c r="M54" s="177"/>
    </row>
    <row r="55" spans="1:13" s="146" customFormat="1" ht="18.75" customHeight="1">
      <c r="A55" s="60">
        <v>7</v>
      </c>
      <c r="B55" s="175" t="s">
        <v>10</v>
      </c>
      <c r="C55" s="67">
        <f>SUM(C56:C58)</f>
        <v>17630.794433902593</v>
      </c>
      <c r="D55" s="42">
        <f t="shared" si="4"/>
        <v>8.3459544596510157E-2</v>
      </c>
      <c r="E55" s="42">
        <f t="shared" si="5"/>
        <v>7.7243488441302174E-2</v>
      </c>
      <c r="F55" s="174"/>
      <c r="G55" s="95"/>
      <c r="H55" s="46"/>
      <c r="I55" s="41"/>
      <c r="J55" s="244"/>
      <c r="K55" s="41"/>
      <c r="L55" s="41"/>
      <c r="M55" s="175"/>
    </row>
    <row r="56" spans="1:13" s="146" customFormat="1" ht="18.75" customHeight="1">
      <c r="A56" s="386" t="s">
        <v>526</v>
      </c>
      <c r="B56" s="387"/>
      <c r="C56" s="122">
        <f>+G56*J56</f>
        <v>685</v>
      </c>
      <c r="D56" s="118">
        <f t="shared" si="4"/>
        <v>3.2426098700734994E-3</v>
      </c>
      <c r="E56" s="118">
        <f t="shared" si="5"/>
        <v>3.0011007036952852E-3</v>
      </c>
      <c r="F56" s="150" t="s">
        <v>192</v>
      </c>
      <c r="G56" s="100">
        <v>500</v>
      </c>
      <c r="H56" s="160" t="s">
        <v>185</v>
      </c>
      <c r="I56" s="159" t="s">
        <v>214</v>
      </c>
      <c r="J56" s="216">
        <v>1.37</v>
      </c>
      <c r="K56" s="161" t="s">
        <v>207</v>
      </c>
      <c r="L56" s="151" t="s">
        <v>193</v>
      </c>
      <c r="M56" s="177"/>
    </row>
    <row r="57" spans="1:13" s="146" customFormat="1" ht="18.75" customHeight="1">
      <c r="A57" s="388"/>
      <c r="B57" s="389"/>
      <c r="C57" s="122">
        <f>+G57*J57</f>
        <v>121</v>
      </c>
      <c r="D57" s="118">
        <f t="shared" si="4"/>
        <v>5.7278218142904147E-4</v>
      </c>
      <c r="E57" s="118">
        <f t="shared" si="5"/>
        <v>5.3012143817099205E-4</v>
      </c>
      <c r="F57" s="150" t="s">
        <v>194</v>
      </c>
      <c r="G57" s="100">
        <v>50</v>
      </c>
      <c r="H57" s="160" t="s">
        <v>185</v>
      </c>
      <c r="I57" s="159" t="s">
        <v>214</v>
      </c>
      <c r="J57" s="216">
        <v>2.42</v>
      </c>
      <c r="K57" s="161" t="s">
        <v>203</v>
      </c>
      <c r="L57" s="152" t="s">
        <v>195</v>
      </c>
      <c r="M57" s="177"/>
    </row>
    <row r="58" spans="1:13" s="146" customFormat="1" ht="30" customHeight="1">
      <c r="A58" s="388"/>
      <c r="B58" s="389"/>
      <c r="C58" s="122">
        <f>+G58*J58</f>
        <v>16824.794433902593</v>
      </c>
      <c r="D58" s="118">
        <f t="shared" si="4"/>
        <v>7.9644152545007618E-2</v>
      </c>
      <c r="E58" s="118">
        <f t="shared" si="5"/>
        <v>7.3712266299435905E-2</v>
      </c>
      <c r="F58" s="150" t="s">
        <v>196</v>
      </c>
      <c r="G58" s="100">
        <v>1000</v>
      </c>
      <c r="H58" s="160" t="s">
        <v>185</v>
      </c>
      <c r="I58" s="159" t="s">
        <v>214</v>
      </c>
      <c r="J58" s="38">
        <v>16.824794433902593</v>
      </c>
      <c r="K58" s="161" t="s">
        <v>203</v>
      </c>
      <c r="L58" s="114" t="s">
        <v>197</v>
      </c>
      <c r="M58" s="177" t="s">
        <v>198</v>
      </c>
    </row>
    <row r="59" spans="1:13" s="146" customFormat="1" ht="18.75" customHeight="1">
      <c r="A59" s="60">
        <v>8</v>
      </c>
      <c r="B59" s="175" t="s">
        <v>11</v>
      </c>
      <c r="C59" s="93">
        <f>SUM(C60:C60)</f>
        <v>12.875</v>
      </c>
      <c r="D59" s="42">
        <f t="shared" si="4"/>
        <v>6.0946864346271981E-5</v>
      </c>
      <c r="E59" s="42">
        <f t="shared" si="5"/>
        <v>5.6407549722739853E-5</v>
      </c>
      <c r="F59" s="94"/>
      <c r="G59" s="95"/>
      <c r="H59" s="95"/>
      <c r="I59" s="95"/>
      <c r="J59" s="95"/>
      <c r="K59" s="95"/>
      <c r="L59" s="95"/>
      <c r="M59" s="175"/>
    </row>
    <row r="60" spans="1:13" s="146" customFormat="1" ht="45" customHeight="1">
      <c r="A60" s="386" t="s">
        <v>218</v>
      </c>
      <c r="B60" s="478"/>
      <c r="C60" s="217">
        <f>+G60*J60</f>
        <v>12.875</v>
      </c>
      <c r="D60" s="118">
        <f t="shared" si="4"/>
        <v>6.0946864346271981E-5</v>
      </c>
      <c r="E60" s="118">
        <f t="shared" si="5"/>
        <v>5.6407549722739853E-5</v>
      </c>
      <c r="F60" s="21" t="s">
        <v>107</v>
      </c>
      <c r="G60" s="100">
        <v>500</v>
      </c>
      <c r="H60" s="100" t="s">
        <v>637</v>
      </c>
      <c r="I60" s="22" t="s">
        <v>110</v>
      </c>
      <c r="J60" s="22">
        <f>0.103*3/12</f>
        <v>2.5749999999999999E-2</v>
      </c>
      <c r="K60" s="22" t="s">
        <v>636</v>
      </c>
      <c r="L60" s="21" t="s">
        <v>280</v>
      </c>
      <c r="M60" s="177" t="s">
        <v>109</v>
      </c>
    </row>
    <row r="61" spans="1:13" s="146" customFormat="1" ht="18.75" customHeight="1">
      <c r="A61" s="60">
        <v>9</v>
      </c>
      <c r="B61" s="175" t="s">
        <v>12</v>
      </c>
      <c r="C61" s="93">
        <f>SUM(C62:C63)</f>
        <v>63233.868750000009</v>
      </c>
      <c r="D61" s="42">
        <f t="shared" si="4"/>
        <v>0.29933250646960913</v>
      </c>
      <c r="E61" s="42">
        <f t="shared" si="5"/>
        <v>0.27703825985839464</v>
      </c>
      <c r="F61" s="94"/>
      <c r="G61" s="95"/>
      <c r="H61" s="95"/>
      <c r="I61" s="95"/>
      <c r="J61" s="95"/>
      <c r="K61" s="95"/>
      <c r="L61" s="95"/>
      <c r="M61" s="175"/>
    </row>
    <row r="62" spans="1:13" s="146" customFormat="1" ht="120" customHeight="1">
      <c r="A62" s="386" t="s">
        <v>945</v>
      </c>
      <c r="B62" s="440"/>
      <c r="C62" s="217">
        <f>+G62*J62</f>
        <v>57990.000000000007</v>
      </c>
      <c r="D62" s="118">
        <f t="shared" si="4"/>
        <v>0.27450941075264562</v>
      </c>
      <c r="E62" s="118">
        <f t="shared" si="5"/>
        <v>0.25406398512013084</v>
      </c>
      <c r="F62" s="21" t="s">
        <v>944</v>
      </c>
      <c r="G62" s="100">
        <f>50000000*10</f>
        <v>500000000</v>
      </c>
      <c r="H62" s="100" t="s">
        <v>943</v>
      </c>
      <c r="I62" s="21" t="s">
        <v>942</v>
      </c>
      <c r="J62" s="205">
        <f>(0*15+0.0236*30+0.198*55)/100/1000</f>
        <v>1.1598000000000001E-4</v>
      </c>
      <c r="K62" s="22" t="s">
        <v>522</v>
      </c>
      <c r="L62" s="21" t="s">
        <v>941</v>
      </c>
      <c r="M62" s="177" t="s">
        <v>940</v>
      </c>
    </row>
    <row r="63" spans="1:13" s="146" customFormat="1" ht="90" customHeight="1">
      <c r="A63" s="441"/>
      <c r="B63" s="442"/>
      <c r="C63" s="217">
        <f>+G63*J63</f>
        <v>5243.8687499999996</v>
      </c>
      <c r="D63" s="118">
        <f t="shared" si="4"/>
        <v>2.4823095716963478E-2</v>
      </c>
      <c r="E63" s="118">
        <f t="shared" si="5"/>
        <v>2.2974274738263818E-2</v>
      </c>
      <c r="F63" s="21" t="s">
        <v>939</v>
      </c>
      <c r="G63" s="262">
        <f>(G9*12.5+G10*15+G11*15+G12*0.8+G13*11+G14*0.9+G15*1+G16*1.2+G17*0.15+G18*0.4+G19*11)*0.5*500</f>
        <v>35193750</v>
      </c>
      <c r="H63" s="100" t="s">
        <v>745</v>
      </c>
      <c r="I63" s="21" t="s">
        <v>938</v>
      </c>
      <c r="J63" s="34">
        <v>1.4899999999999999E-4</v>
      </c>
      <c r="K63" s="31" t="s">
        <v>743</v>
      </c>
      <c r="L63" s="136" t="s">
        <v>843</v>
      </c>
      <c r="M63" s="177" t="s">
        <v>937</v>
      </c>
    </row>
    <row r="64" spans="1:13" s="146" customFormat="1" ht="18.75" customHeight="1">
      <c r="A64" s="60">
        <v>10</v>
      </c>
      <c r="B64" s="69" t="s">
        <v>13</v>
      </c>
      <c r="C64" s="487" t="s">
        <v>936</v>
      </c>
      <c r="D64" s="438"/>
      <c r="E64" s="438"/>
      <c r="F64" s="438"/>
      <c r="G64" s="438"/>
      <c r="H64" s="438"/>
      <c r="I64" s="438"/>
      <c r="J64" s="438"/>
      <c r="K64" s="438"/>
      <c r="L64" s="438"/>
      <c r="M64" s="439"/>
    </row>
    <row r="65" spans="1:13" s="13" customFormat="1" ht="18.75" customHeight="1">
      <c r="A65" s="85">
        <v>11</v>
      </c>
      <c r="B65" s="70" t="s">
        <v>14</v>
      </c>
      <c r="C65" s="93">
        <f>SUM(C66:C66)</f>
        <v>2895.0000000000005</v>
      </c>
      <c r="D65" s="42">
        <f t="shared" ref="D65:D106" si="6">+C65/$C$108</f>
        <v>1.3704168720967566E-2</v>
      </c>
      <c r="E65" s="42">
        <f t="shared" ref="E65:E106" si="7">+C65/$C$111</f>
        <v>1.2683483995909274E-2</v>
      </c>
      <c r="F65" s="94"/>
      <c r="G65" s="95"/>
      <c r="H65" s="95"/>
      <c r="I65" s="95"/>
      <c r="J65" s="95"/>
      <c r="K65" s="95"/>
      <c r="L65" s="95"/>
      <c r="M65" s="175"/>
    </row>
    <row r="66" spans="1:13" s="13" customFormat="1" ht="75" customHeight="1">
      <c r="A66" s="451" t="s">
        <v>935</v>
      </c>
      <c r="B66" s="452"/>
      <c r="C66" s="122">
        <f>+G66*J66</f>
        <v>2895.0000000000005</v>
      </c>
      <c r="D66" s="118">
        <f t="shared" si="6"/>
        <v>1.3704168720967566E-2</v>
      </c>
      <c r="E66" s="118">
        <f t="shared" si="7"/>
        <v>1.2683483995909274E-2</v>
      </c>
      <c r="F66" s="150" t="s">
        <v>934</v>
      </c>
      <c r="G66" s="100">
        <v>10000</v>
      </c>
      <c r="H66" s="160" t="s">
        <v>119</v>
      </c>
      <c r="I66" s="160" t="s">
        <v>933</v>
      </c>
      <c r="J66" s="216">
        <f>0.000579*10000*0.05</f>
        <v>0.28950000000000004</v>
      </c>
      <c r="K66" s="212" t="s">
        <v>932</v>
      </c>
      <c r="L66" s="211" t="s">
        <v>931</v>
      </c>
      <c r="M66" s="177" t="s">
        <v>930</v>
      </c>
    </row>
    <row r="67" spans="1:13" s="13" customFormat="1" ht="45" customHeight="1">
      <c r="A67" s="453"/>
      <c r="B67" s="454"/>
      <c r="C67" s="122">
        <f>+G67*J67</f>
        <v>400</v>
      </c>
      <c r="D67" s="118">
        <f t="shared" si="6"/>
        <v>1.8934948146414594E-3</v>
      </c>
      <c r="E67" s="118">
        <f t="shared" si="7"/>
        <v>1.7524675642016266E-3</v>
      </c>
      <c r="F67" s="150" t="s">
        <v>929</v>
      </c>
      <c r="G67" s="100">
        <f>G22*5</f>
        <v>400</v>
      </c>
      <c r="H67" s="141" t="s">
        <v>928</v>
      </c>
      <c r="I67" s="215" t="s">
        <v>927</v>
      </c>
      <c r="J67" s="216">
        <v>1</v>
      </c>
      <c r="K67" s="212" t="s">
        <v>926</v>
      </c>
      <c r="L67" s="211" t="s">
        <v>925</v>
      </c>
      <c r="M67" s="177"/>
    </row>
    <row r="68" spans="1:13" s="13" customFormat="1" ht="45" customHeight="1">
      <c r="A68" s="455"/>
      <c r="B68" s="456"/>
      <c r="C68" s="122">
        <f>+G68*J68</f>
        <v>0</v>
      </c>
      <c r="D68" s="118">
        <f t="shared" si="6"/>
        <v>0</v>
      </c>
      <c r="E68" s="118">
        <f t="shared" si="7"/>
        <v>0</v>
      </c>
      <c r="F68" s="150" t="s">
        <v>924</v>
      </c>
      <c r="G68" s="100"/>
      <c r="H68" s="141"/>
      <c r="I68" s="141"/>
      <c r="J68" s="216"/>
      <c r="K68" s="212"/>
      <c r="L68" s="211"/>
      <c r="M68" s="177" t="s">
        <v>923</v>
      </c>
    </row>
    <row r="69" spans="1:13" s="146" customFormat="1" ht="18.75" customHeight="1">
      <c r="A69" s="60">
        <v>12</v>
      </c>
      <c r="B69" s="69" t="s">
        <v>15</v>
      </c>
      <c r="C69" s="67">
        <f>SUM(C70:C88)</f>
        <v>1798.348</v>
      </c>
      <c r="D69" s="42">
        <f t="shared" si="6"/>
        <v>8.5129065323020989E-3</v>
      </c>
      <c r="E69" s="48">
        <f t="shared" si="7"/>
        <v>7.8788663478671656E-3</v>
      </c>
      <c r="F69" s="25"/>
      <c r="G69" s="25"/>
      <c r="H69" s="27"/>
      <c r="I69" s="25"/>
      <c r="J69" s="25"/>
      <c r="K69" s="25"/>
      <c r="L69" s="25"/>
      <c r="M69" s="61"/>
    </row>
    <row r="70" spans="1:13" s="146" customFormat="1" ht="37.5" customHeight="1">
      <c r="A70" s="386" t="s">
        <v>502</v>
      </c>
      <c r="B70" s="440"/>
      <c r="C70" s="123">
        <f t="shared" ref="C70:C88" si="8">+G70*J70</f>
        <v>327.71249999999998</v>
      </c>
      <c r="D70" s="118">
        <f t="shared" si="6"/>
        <v>1.5513047986079732E-3</v>
      </c>
      <c r="E70" s="118">
        <f t="shared" si="7"/>
        <v>1.4357638165835638E-3</v>
      </c>
      <c r="F70" s="141" t="s">
        <v>922</v>
      </c>
      <c r="G70" s="186">
        <f>G9*0.15</f>
        <v>375</v>
      </c>
      <c r="H70" s="186" t="s">
        <v>895</v>
      </c>
      <c r="I70" s="475" t="s">
        <v>921</v>
      </c>
      <c r="J70" s="47">
        <v>0.87390000000000001</v>
      </c>
      <c r="K70" s="47" t="s">
        <v>61</v>
      </c>
      <c r="L70" s="47" t="s">
        <v>893</v>
      </c>
      <c r="M70" s="213"/>
    </row>
    <row r="71" spans="1:13" s="146" customFormat="1" ht="37.5" customHeight="1">
      <c r="A71" s="388"/>
      <c r="B71" s="481"/>
      <c r="C71" s="123">
        <f t="shared" si="8"/>
        <v>87.39</v>
      </c>
      <c r="D71" s="118">
        <f t="shared" si="6"/>
        <v>4.1368127962879288E-4</v>
      </c>
      <c r="E71" s="118">
        <f t="shared" si="7"/>
        <v>3.8287035108895034E-4</v>
      </c>
      <c r="F71" s="141" t="s">
        <v>920</v>
      </c>
      <c r="G71" s="186">
        <f>G10*0.05</f>
        <v>100</v>
      </c>
      <c r="H71" s="186" t="s">
        <v>895</v>
      </c>
      <c r="I71" s="476"/>
      <c r="J71" s="47">
        <v>0.87390000000000001</v>
      </c>
      <c r="K71" s="47" t="s">
        <v>61</v>
      </c>
      <c r="L71" s="47" t="s">
        <v>893</v>
      </c>
      <c r="M71" s="213"/>
    </row>
    <row r="72" spans="1:13" s="146" customFormat="1" ht="37.5" customHeight="1">
      <c r="A72" s="388"/>
      <c r="B72" s="481"/>
      <c r="C72" s="123">
        <f t="shared" si="8"/>
        <v>209.73599999999999</v>
      </c>
      <c r="D72" s="118">
        <f t="shared" si="6"/>
        <v>9.9283507110910284E-4</v>
      </c>
      <c r="E72" s="118">
        <f t="shared" si="7"/>
        <v>9.1888884261348081E-4</v>
      </c>
      <c r="F72" s="141" t="s">
        <v>919</v>
      </c>
      <c r="G72" s="186">
        <f>G11*0.06</f>
        <v>240</v>
      </c>
      <c r="H72" s="186" t="s">
        <v>895</v>
      </c>
      <c r="I72" s="476"/>
      <c r="J72" s="47">
        <v>0.87390000000000001</v>
      </c>
      <c r="K72" s="47" t="s">
        <v>61</v>
      </c>
      <c r="L72" s="47" t="s">
        <v>893</v>
      </c>
      <c r="M72" s="213"/>
    </row>
    <row r="73" spans="1:13" s="146" customFormat="1" ht="37.5" customHeight="1">
      <c r="A73" s="388"/>
      <c r="B73" s="481"/>
      <c r="C73" s="123">
        <f t="shared" si="8"/>
        <v>17.478000000000002</v>
      </c>
      <c r="D73" s="118">
        <f t="shared" si="6"/>
        <v>8.2736255925758574E-5</v>
      </c>
      <c r="E73" s="118">
        <f t="shared" si="7"/>
        <v>7.6574070217790081E-5</v>
      </c>
      <c r="F73" s="215" t="s">
        <v>918</v>
      </c>
      <c r="G73" s="186">
        <f>G12*0.02</f>
        <v>20</v>
      </c>
      <c r="H73" s="186" t="s">
        <v>895</v>
      </c>
      <c r="I73" s="476"/>
      <c r="J73" s="47">
        <v>0.87390000000000001</v>
      </c>
      <c r="K73" s="47" t="s">
        <v>61</v>
      </c>
      <c r="L73" s="47" t="s">
        <v>893</v>
      </c>
      <c r="M73" s="213"/>
    </row>
    <row r="74" spans="1:13" s="146" customFormat="1" ht="37.5" customHeight="1">
      <c r="A74" s="388"/>
      <c r="B74" s="481"/>
      <c r="C74" s="123">
        <f t="shared" si="8"/>
        <v>14.84</v>
      </c>
      <c r="D74" s="118">
        <f t="shared" si="6"/>
        <v>7.0248657623198148E-5</v>
      </c>
      <c r="E74" s="118">
        <f t="shared" si="7"/>
        <v>6.5016546631880347E-5</v>
      </c>
      <c r="F74" s="215" t="s">
        <v>917</v>
      </c>
      <c r="G74" s="186">
        <f>G12*0.1</f>
        <v>100</v>
      </c>
      <c r="H74" s="186" t="s">
        <v>895</v>
      </c>
      <c r="I74" s="476"/>
      <c r="J74" s="47">
        <v>0.1484</v>
      </c>
      <c r="K74" s="47" t="s">
        <v>61</v>
      </c>
      <c r="L74" s="47" t="s">
        <v>627</v>
      </c>
      <c r="M74" s="213"/>
    </row>
    <row r="75" spans="1:13" s="146" customFormat="1" ht="37.5" customHeight="1">
      <c r="A75" s="388"/>
      <c r="B75" s="481"/>
      <c r="C75" s="123">
        <f t="shared" si="8"/>
        <v>56.8035</v>
      </c>
      <c r="D75" s="118">
        <f t="shared" si="6"/>
        <v>2.6889283175871536E-4</v>
      </c>
      <c r="E75" s="118">
        <f t="shared" si="7"/>
        <v>2.4886572820781775E-4</v>
      </c>
      <c r="F75" s="215" t="s">
        <v>916</v>
      </c>
      <c r="G75" s="186">
        <f>G13*0.05</f>
        <v>65</v>
      </c>
      <c r="H75" s="186" t="s">
        <v>895</v>
      </c>
      <c r="I75" s="476"/>
      <c r="J75" s="47">
        <v>0.87390000000000001</v>
      </c>
      <c r="K75" s="47" t="s">
        <v>61</v>
      </c>
      <c r="L75" s="47" t="s">
        <v>893</v>
      </c>
      <c r="M75" s="213"/>
    </row>
    <row r="76" spans="1:13" s="146" customFormat="1" ht="37.5" customHeight="1">
      <c r="A76" s="388"/>
      <c r="B76" s="481"/>
      <c r="C76" s="123">
        <f t="shared" si="8"/>
        <v>22.158499999999997</v>
      </c>
      <c r="D76" s="118">
        <f t="shared" si="6"/>
        <v>1.0489251212558193E-4</v>
      </c>
      <c r="E76" s="118">
        <f t="shared" si="7"/>
        <v>9.7080131303404333E-5</v>
      </c>
      <c r="F76" s="215" t="s">
        <v>915</v>
      </c>
      <c r="G76" s="186">
        <f>G13*0.35</f>
        <v>454.99999999999994</v>
      </c>
      <c r="H76" s="186" t="s">
        <v>895</v>
      </c>
      <c r="I76" s="476"/>
      <c r="J76" s="47">
        <v>4.87E-2</v>
      </c>
      <c r="K76" s="47" t="s">
        <v>61</v>
      </c>
      <c r="L76" s="47" t="s">
        <v>899</v>
      </c>
      <c r="M76" s="213"/>
    </row>
    <row r="77" spans="1:13" s="146" customFormat="1" ht="37.5" customHeight="1">
      <c r="A77" s="388"/>
      <c r="B77" s="481"/>
      <c r="C77" s="123">
        <f t="shared" si="8"/>
        <v>218.25</v>
      </c>
      <c r="D77" s="118">
        <f t="shared" si="6"/>
        <v>1.0331381082387464E-3</v>
      </c>
      <c r="E77" s="118">
        <f t="shared" si="7"/>
        <v>9.561901147175125E-4</v>
      </c>
      <c r="F77" s="215" t="s">
        <v>914</v>
      </c>
      <c r="G77" s="186">
        <f>G14*2.5</f>
        <v>3750</v>
      </c>
      <c r="H77" s="186" t="s">
        <v>895</v>
      </c>
      <c r="I77" s="476"/>
      <c r="J77" s="47">
        <v>5.8200000000000002E-2</v>
      </c>
      <c r="K77" s="47" t="s">
        <v>61</v>
      </c>
      <c r="L77" s="47" t="s">
        <v>913</v>
      </c>
      <c r="M77" s="213"/>
    </row>
    <row r="78" spans="1:13" s="146" customFormat="1" ht="37.5" customHeight="1">
      <c r="A78" s="388"/>
      <c r="B78" s="481"/>
      <c r="C78" s="123">
        <f t="shared" si="8"/>
        <v>32.872500000000002</v>
      </c>
      <c r="D78" s="118">
        <f t="shared" si="6"/>
        <v>1.5560977073575345E-4</v>
      </c>
      <c r="E78" s="118">
        <f t="shared" si="7"/>
        <v>1.4401997501054494E-4</v>
      </c>
      <c r="F78" s="215" t="s">
        <v>912</v>
      </c>
      <c r="G78" s="186">
        <f>G14*0.45</f>
        <v>675</v>
      </c>
      <c r="H78" s="186" t="s">
        <v>895</v>
      </c>
      <c r="I78" s="476"/>
      <c r="J78" s="47">
        <v>4.87E-2</v>
      </c>
      <c r="K78" s="47" t="s">
        <v>61</v>
      </c>
      <c r="L78" s="47" t="s">
        <v>899</v>
      </c>
      <c r="M78" s="213"/>
    </row>
    <row r="79" spans="1:13" s="146" customFormat="1" ht="37.5" customHeight="1">
      <c r="A79" s="388"/>
      <c r="B79" s="481"/>
      <c r="C79" s="123">
        <f t="shared" si="8"/>
        <v>192.06</v>
      </c>
      <c r="D79" s="118">
        <f t="shared" si="6"/>
        <v>9.0916153525009676E-4</v>
      </c>
      <c r="E79" s="118">
        <f t="shared" si="7"/>
        <v>8.4144730095141098E-4</v>
      </c>
      <c r="F79" s="215" t="s">
        <v>911</v>
      </c>
      <c r="G79" s="186">
        <f>G15*5.5</f>
        <v>3300</v>
      </c>
      <c r="H79" s="186" t="s">
        <v>895</v>
      </c>
      <c r="I79" s="476"/>
      <c r="J79" s="47">
        <v>5.8200000000000002E-2</v>
      </c>
      <c r="K79" s="47" t="s">
        <v>61</v>
      </c>
      <c r="L79" s="47" t="s">
        <v>901</v>
      </c>
      <c r="M79" s="213"/>
    </row>
    <row r="80" spans="1:13" s="146" customFormat="1" ht="37.5" customHeight="1">
      <c r="A80" s="388"/>
      <c r="B80" s="481"/>
      <c r="C80" s="123">
        <f t="shared" si="8"/>
        <v>104.86799999999999</v>
      </c>
      <c r="D80" s="118">
        <f t="shared" si="6"/>
        <v>4.9641753555455142E-4</v>
      </c>
      <c r="E80" s="118">
        <f t="shared" si="7"/>
        <v>4.594444213067404E-4</v>
      </c>
      <c r="F80" s="141" t="s">
        <v>910</v>
      </c>
      <c r="G80" s="186">
        <f>G16*0.12</f>
        <v>120</v>
      </c>
      <c r="H80" s="186" t="s">
        <v>895</v>
      </c>
      <c r="I80" s="477"/>
      <c r="J80" s="47">
        <v>0.87390000000000001</v>
      </c>
      <c r="K80" s="47" t="s">
        <v>61</v>
      </c>
      <c r="L80" s="47" t="s">
        <v>893</v>
      </c>
      <c r="M80" s="213"/>
    </row>
    <row r="81" spans="1:13" s="146" customFormat="1" ht="45" customHeight="1">
      <c r="A81" s="388"/>
      <c r="B81" s="481"/>
      <c r="C81" s="123">
        <f t="shared" si="8"/>
        <v>43.695</v>
      </c>
      <c r="D81" s="118">
        <f t="shared" si="6"/>
        <v>2.0684063981439644E-4</v>
      </c>
      <c r="E81" s="118">
        <f t="shared" si="7"/>
        <v>1.9143517554447517E-4</v>
      </c>
      <c r="F81" s="141" t="s">
        <v>909</v>
      </c>
      <c r="G81" s="186">
        <f>G17*0.1</f>
        <v>50</v>
      </c>
      <c r="H81" s="186" t="s">
        <v>895</v>
      </c>
      <c r="I81" s="475" t="s">
        <v>908</v>
      </c>
      <c r="J81" s="47">
        <v>0.87390000000000001</v>
      </c>
      <c r="K81" s="47" t="s">
        <v>61</v>
      </c>
      <c r="L81" s="47" t="s">
        <v>538</v>
      </c>
      <c r="M81" s="213"/>
    </row>
    <row r="82" spans="1:13" s="146" customFormat="1" ht="45" customHeight="1">
      <c r="A82" s="388"/>
      <c r="B82" s="481"/>
      <c r="C82" s="123">
        <f t="shared" si="8"/>
        <v>11.68</v>
      </c>
      <c r="D82" s="118">
        <f t="shared" si="6"/>
        <v>5.5290048587530613E-5</v>
      </c>
      <c r="E82" s="118">
        <f t="shared" si="7"/>
        <v>5.1172052874687495E-5</v>
      </c>
      <c r="F82" s="141" t="s">
        <v>907</v>
      </c>
      <c r="G82" s="186">
        <f>G17*0.05</f>
        <v>25</v>
      </c>
      <c r="H82" s="186" t="s">
        <v>895</v>
      </c>
      <c r="I82" s="476"/>
      <c r="J82" s="47">
        <v>0.4672</v>
      </c>
      <c r="K82" s="47" t="s">
        <v>61</v>
      </c>
      <c r="L82" s="47" t="s">
        <v>904</v>
      </c>
      <c r="M82" s="213"/>
    </row>
    <row r="83" spans="1:13" s="146" customFormat="1" ht="45" customHeight="1">
      <c r="A83" s="388"/>
      <c r="B83" s="481"/>
      <c r="C83" s="123">
        <f t="shared" si="8"/>
        <v>174.78</v>
      </c>
      <c r="D83" s="118">
        <f t="shared" si="6"/>
        <v>8.2736255925758577E-4</v>
      </c>
      <c r="E83" s="118">
        <f t="shared" si="7"/>
        <v>7.6574070217790067E-4</v>
      </c>
      <c r="F83" s="141" t="s">
        <v>906</v>
      </c>
      <c r="G83" s="186">
        <f>G18*0.25</f>
        <v>200</v>
      </c>
      <c r="H83" s="186" t="s">
        <v>895</v>
      </c>
      <c r="I83" s="476"/>
      <c r="J83" s="47">
        <v>0.87390000000000001</v>
      </c>
      <c r="K83" s="47" t="s">
        <v>61</v>
      </c>
      <c r="L83" s="47" t="s">
        <v>893</v>
      </c>
      <c r="M83" s="213"/>
    </row>
    <row r="84" spans="1:13" s="146" customFormat="1" ht="45" customHeight="1">
      <c r="A84" s="388"/>
      <c r="B84" s="481"/>
      <c r="C84" s="123">
        <f t="shared" si="8"/>
        <v>56.064</v>
      </c>
      <c r="D84" s="118">
        <f t="shared" si="6"/>
        <v>2.6539223322014695E-4</v>
      </c>
      <c r="E84" s="118">
        <f t="shared" si="7"/>
        <v>2.4562585379849997E-4</v>
      </c>
      <c r="F84" s="141" t="s">
        <v>905</v>
      </c>
      <c r="G84" s="186">
        <f>G18*0.15</f>
        <v>120</v>
      </c>
      <c r="H84" s="186" t="s">
        <v>895</v>
      </c>
      <c r="I84" s="477"/>
      <c r="J84" s="47">
        <v>0.4672</v>
      </c>
      <c r="K84" s="47" t="s">
        <v>61</v>
      </c>
      <c r="L84" s="47" t="s">
        <v>904</v>
      </c>
      <c r="M84" s="213"/>
    </row>
    <row r="85" spans="1:13" s="146" customFormat="1" ht="45" customHeight="1">
      <c r="A85" s="388"/>
      <c r="B85" s="481"/>
      <c r="C85" s="123">
        <f t="shared" si="8"/>
        <v>4.6560000000000006</v>
      </c>
      <c r="D85" s="118">
        <f t="shared" si="6"/>
        <v>2.2040279642426591E-5</v>
      </c>
      <c r="E85" s="118">
        <f t="shared" si="7"/>
        <v>2.0398722447306934E-5</v>
      </c>
      <c r="F85" s="141" t="s">
        <v>903</v>
      </c>
      <c r="G85" s="186">
        <f>G19*1</f>
        <v>80</v>
      </c>
      <c r="H85" s="186" t="s">
        <v>895</v>
      </c>
      <c r="I85" s="475" t="s">
        <v>902</v>
      </c>
      <c r="J85" s="47">
        <v>5.8200000000000002E-2</v>
      </c>
      <c r="K85" s="47" t="s">
        <v>61</v>
      </c>
      <c r="L85" s="47" t="s">
        <v>901</v>
      </c>
      <c r="M85" s="213"/>
    </row>
    <row r="86" spans="1:13" s="146" customFormat="1" ht="45" customHeight="1">
      <c r="A86" s="388"/>
      <c r="B86" s="481"/>
      <c r="C86" s="123">
        <f t="shared" si="8"/>
        <v>38.96</v>
      </c>
      <c r="D86" s="118">
        <f t="shared" si="6"/>
        <v>1.8442639494607816E-4</v>
      </c>
      <c r="E86" s="118">
        <f t="shared" si="7"/>
        <v>1.7069034075323843E-4</v>
      </c>
      <c r="F86" s="141" t="s">
        <v>900</v>
      </c>
      <c r="G86" s="186">
        <f>G19*10</f>
        <v>800</v>
      </c>
      <c r="H86" s="186" t="s">
        <v>895</v>
      </c>
      <c r="I86" s="477"/>
      <c r="J86" s="47">
        <v>4.87E-2</v>
      </c>
      <c r="K86" s="47" t="s">
        <v>61</v>
      </c>
      <c r="L86" s="47" t="s">
        <v>899</v>
      </c>
      <c r="M86" s="213"/>
    </row>
    <row r="87" spans="1:13" s="146" customFormat="1" ht="37.5" customHeight="1">
      <c r="A87" s="388"/>
      <c r="B87" s="481"/>
      <c r="C87" s="123">
        <f t="shared" si="8"/>
        <v>44.52</v>
      </c>
      <c r="D87" s="118">
        <f t="shared" si="6"/>
        <v>2.1074597286959446E-4</v>
      </c>
      <c r="E87" s="118">
        <f t="shared" si="7"/>
        <v>1.9504963989564104E-4</v>
      </c>
      <c r="F87" s="141" t="s">
        <v>898</v>
      </c>
      <c r="G87" s="186">
        <f>G20*0.5</f>
        <v>300</v>
      </c>
      <c r="H87" s="186" t="s">
        <v>895</v>
      </c>
      <c r="I87" s="277" t="s">
        <v>897</v>
      </c>
      <c r="J87" s="47">
        <v>0.1484</v>
      </c>
      <c r="K87" s="47" t="s">
        <v>61</v>
      </c>
      <c r="L87" s="47" t="s">
        <v>627</v>
      </c>
      <c r="M87" s="213"/>
    </row>
    <row r="88" spans="1:13" s="146" customFormat="1" ht="37.5" customHeight="1">
      <c r="A88" s="388"/>
      <c r="B88" s="481"/>
      <c r="C88" s="123">
        <f t="shared" si="8"/>
        <v>139.82400000000001</v>
      </c>
      <c r="D88" s="118">
        <f t="shared" si="6"/>
        <v>6.6189004740606859E-4</v>
      </c>
      <c r="E88" s="118">
        <f t="shared" si="7"/>
        <v>6.1259256174232065E-4</v>
      </c>
      <c r="F88" s="141" t="s">
        <v>896</v>
      </c>
      <c r="G88" s="186">
        <f>G21*0.2</f>
        <v>160</v>
      </c>
      <c r="H88" s="186" t="s">
        <v>895</v>
      </c>
      <c r="I88" s="277" t="s">
        <v>894</v>
      </c>
      <c r="J88" s="47">
        <v>0.87390000000000001</v>
      </c>
      <c r="K88" s="47" t="s">
        <v>61</v>
      </c>
      <c r="L88" s="47" t="s">
        <v>893</v>
      </c>
      <c r="M88" s="213"/>
    </row>
    <row r="89" spans="1:13" s="13" customFormat="1" ht="18.75" customHeight="1">
      <c r="A89" s="85">
        <v>13</v>
      </c>
      <c r="B89" s="87" t="s">
        <v>892</v>
      </c>
      <c r="C89" s="67">
        <f>SUM(C90:C91)</f>
        <v>7840</v>
      </c>
      <c r="D89" s="42">
        <f t="shared" si="6"/>
        <v>3.7112498366972606E-2</v>
      </c>
      <c r="E89" s="48">
        <f t="shared" si="7"/>
        <v>3.4348364258351881E-2</v>
      </c>
      <c r="F89" s="25"/>
      <c r="G89" s="25"/>
      <c r="H89" s="27"/>
      <c r="I89" s="25"/>
      <c r="J89" s="25"/>
      <c r="K89" s="25"/>
      <c r="L89" s="25"/>
      <c r="M89" s="61"/>
    </row>
    <row r="90" spans="1:13" s="13" customFormat="1" ht="45" customHeight="1">
      <c r="A90" s="451" t="s">
        <v>891</v>
      </c>
      <c r="B90" s="452"/>
      <c r="C90" s="122">
        <f>+G90*J90</f>
        <v>7840</v>
      </c>
      <c r="D90" s="118">
        <f t="shared" si="6"/>
        <v>3.7112498366972606E-2</v>
      </c>
      <c r="E90" s="118">
        <f t="shared" si="7"/>
        <v>3.4348364258351881E-2</v>
      </c>
      <c r="F90" s="150" t="s">
        <v>890</v>
      </c>
      <c r="G90" s="100">
        <v>80000</v>
      </c>
      <c r="H90" s="160" t="s">
        <v>889</v>
      </c>
      <c r="I90" s="160" t="s">
        <v>487</v>
      </c>
      <c r="J90" s="128">
        <f>0.098</f>
        <v>9.8000000000000004E-2</v>
      </c>
      <c r="K90" s="212" t="s">
        <v>888</v>
      </c>
      <c r="L90" s="211" t="s">
        <v>485</v>
      </c>
      <c r="M90" s="177"/>
    </row>
    <row r="91" spans="1:13" s="13" customFormat="1" ht="45" customHeight="1">
      <c r="A91" s="455"/>
      <c r="B91" s="456"/>
      <c r="C91" s="122">
        <f>+G91*J91</f>
        <v>0</v>
      </c>
      <c r="D91" s="118">
        <f t="shared" si="6"/>
        <v>0</v>
      </c>
      <c r="E91" s="118">
        <f t="shared" si="7"/>
        <v>0</v>
      </c>
      <c r="F91" s="150" t="s">
        <v>887</v>
      </c>
      <c r="G91" s="100"/>
      <c r="H91" s="141"/>
      <c r="I91" s="141"/>
      <c r="J91" s="128"/>
      <c r="K91" s="212"/>
      <c r="L91" s="211"/>
      <c r="M91" s="177" t="s">
        <v>886</v>
      </c>
    </row>
    <row r="92" spans="1:13" s="146" customFormat="1" ht="18.75" customHeight="1">
      <c r="A92" s="60">
        <v>14</v>
      </c>
      <c r="B92" s="69" t="s">
        <v>885</v>
      </c>
      <c r="C92" s="67">
        <f>SUM(C93:C93)</f>
        <v>10</v>
      </c>
      <c r="D92" s="42">
        <f t="shared" si="6"/>
        <v>4.7337370366036489E-5</v>
      </c>
      <c r="E92" s="48">
        <f t="shared" si="7"/>
        <v>4.381168910504066E-5</v>
      </c>
      <c r="F92" s="25"/>
      <c r="G92" s="25"/>
      <c r="H92" s="27"/>
      <c r="I92" s="25"/>
      <c r="J92" s="25"/>
      <c r="K92" s="25"/>
      <c r="L92" s="25"/>
      <c r="M92" s="61"/>
    </row>
    <row r="93" spans="1:13" s="146" customFormat="1" ht="45" customHeight="1">
      <c r="A93" s="449" t="s">
        <v>884</v>
      </c>
      <c r="B93" s="450"/>
      <c r="C93" s="122">
        <f>+G93*J93</f>
        <v>10</v>
      </c>
      <c r="D93" s="118">
        <f t="shared" si="6"/>
        <v>4.7337370366036489E-5</v>
      </c>
      <c r="E93" s="118">
        <f t="shared" si="7"/>
        <v>4.381168910504066E-5</v>
      </c>
      <c r="F93" s="136" t="s">
        <v>883</v>
      </c>
      <c r="G93" s="136">
        <v>5</v>
      </c>
      <c r="H93" s="136" t="s">
        <v>882</v>
      </c>
      <c r="I93" s="136" t="s">
        <v>881</v>
      </c>
      <c r="J93" s="276">
        <v>2</v>
      </c>
      <c r="K93" s="136" t="s">
        <v>880</v>
      </c>
      <c r="L93" s="136" t="s">
        <v>879</v>
      </c>
      <c r="M93" s="136" t="s">
        <v>878</v>
      </c>
    </row>
    <row r="94" spans="1:13" s="146" customFormat="1" ht="30" customHeight="1">
      <c r="A94" s="60">
        <v>15</v>
      </c>
      <c r="B94" s="69" t="s">
        <v>1</v>
      </c>
      <c r="C94" s="93">
        <f>SUM(C95:C106)</f>
        <v>4736.1796399423383</v>
      </c>
      <c r="D94" s="42">
        <f t="shared" si="6"/>
        <v>2.241982897360318E-2</v>
      </c>
      <c r="E94" s="42">
        <f t="shared" si="7"/>
        <v>2.0750002993077714E-2</v>
      </c>
      <c r="F94" s="94" t="s">
        <v>86</v>
      </c>
      <c r="G94" s="102" t="s">
        <v>102</v>
      </c>
      <c r="H94" s="103" t="s">
        <v>126</v>
      </c>
      <c r="I94" s="95" t="s">
        <v>101</v>
      </c>
      <c r="J94" s="94" t="s">
        <v>89</v>
      </c>
      <c r="K94" s="94" t="s">
        <v>97</v>
      </c>
      <c r="L94" s="95" t="s">
        <v>117</v>
      </c>
      <c r="M94" s="175"/>
    </row>
    <row r="95" spans="1:13" s="146" customFormat="1" ht="18.75" customHeight="1">
      <c r="A95" s="384" t="s">
        <v>105</v>
      </c>
      <c r="B95" s="385"/>
      <c r="C95" s="123">
        <f t="shared" ref="C95:C106" si="9">+J95*K95</f>
        <v>1076.6919222103725</v>
      </c>
      <c r="D95" s="118">
        <f t="shared" si="6"/>
        <v>5.0967764291792146E-3</v>
      </c>
      <c r="E95" s="118">
        <f t="shared" si="7"/>
        <v>4.7171691757789463E-3</v>
      </c>
      <c r="F95" s="21" t="s">
        <v>297</v>
      </c>
      <c r="G95" s="100">
        <v>111452494</v>
      </c>
      <c r="H95" s="100">
        <v>1200000</v>
      </c>
      <c r="I95" s="22" t="s">
        <v>88</v>
      </c>
      <c r="J95" s="101">
        <f t="shared" ref="J95:J106" si="10">H95/G95</f>
        <v>1.0766919222103724E-2</v>
      </c>
      <c r="K95" s="100">
        <v>100000</v>
      </c>
      <c r="L95" s="22" t="s">
        <v>90</v>
      </c>
      <c r="M95" s="177"/>
    </row>
    <row r="96" spans="1:13" s="146" customFormat="1" ht="18.75" customHeight="1">
      <c r="A96" s="384"/>
      <c r="B96" s="385"/>
      <c r="C96" s="123">
        <f t="shared" si="9"/>
        <v>264.1765969135302</v>
      </c>
      <c r="D96" s="118">
        <f t="shared" si="6"/>
        <v>1.2505425410134911E-3</v>
      </c>
      <c r="E96" s="118">
        <f t="shared" si="7"/>
        <v>1.1574022932803231E-3</v>
      </c>
      <c r="F96" s="21" t="s">
        <v>298</v>
      </c>
      <c r="G96" s="100">
        <v>416376020</v>
      </c>
      <c r="H96" s="100">
        <v>687480</v>
      </c>
      <c r="I96" s="22" t="s">
        <v>88</v>
      </c>
      <c r="J96" s="101">
        <f t="shared" si="10"/>
        <v>1.6511037307095639E-3</v>
      </c>
      <c r="K96" s="100">
        <v>160000</v>
      </c>
      <c r="L96" s="22" t="s">
        <v>91</v>
      </c>
      <c r="M96" s="177"/>
    </row>
    <row r="97" spans="1:13" s="146" customFormat="1" ht="18.75" customHeight="1">
      <c r="A97" s="384"/>
      <c r="B97" s="385"/>
      <c r="C97" s="123">
        <f t="shared" si="9"/>
        <v>19.042509489546724</v>
      </c>
      <c r="D97" s="118">
        <f t="shared" si="6"/>
        <v>9.0142232440543774E-5</v>
      </c>
      <c r="E97" s="118">
        <f t="shared" si="7"/>
        <v>8.342845055358076E-5</v>
      </c>
      <c r="F97" s="21" t="s">
        <v>299</v>
      </c>
      <c r="G97" s="100">
        <v>415352294</v>
      </c>
      <c r="H97" s="100">
        <v>158187</v>
      </c>
      <c r="I97" s="22" t="s">
        <v>88</v>
      </c>
      <c r="J97" s="101">
        <f t="shared" si="10"/>
        <v>3.8085018979093445E-4</v>
      </c>
      <c r="K97" s="100">
        <v>50000</v>
      </c>
      <c r="L97" s="22" t="s">
        <v>92</v>
      </c>
      <c r="M97" s="177"/>
    </row>
    <row r="98" spans="1:13" s="146" customFormat="1" ht="18.75" customHeight="1">
      <c r="A98" s="384"/>
      <c r="B98" s="385"/>
      <c r="C98" s="123">
        <f t="shared" si="9"/>
        <v>43.625767034497109</v>
      </c>
      <c r="D98" s="118">
        <f t="shared" si="6"/>
        <v>2.065129091614415E-4</v>
      </c>
      <c r="E98" s="118">
        <f t="shared" si="7"/>
        <v>1.9113185422843192E-4</v>
      </c>
      <c r="F98" s="21" t="s">
        <v>300</v>
      </c>
      <c r="G98" s="100">
        <v>1237800586</v>
      </c>
      <c r="H98" s="100">
        <v>900000</v>
      </c>
      <c r="I98" s="22" t="s">
        <v>88</v>
      </c>
      <c r="J98" s="101">
        <f t="shared" si="10"/>
        <v>7.2709611724161842E-4</v>
      </c>
      <c r="K98" s="100">
        <v>60000</v>
      </c>
      <c r="L98" s="22" t="s">
        <v>93</v>
      </c>
      <c r="M98" s="177"/>
    </row>
    <row r="99" spans="1:13" s="146" customFormat="1" ht="18.75" customHeight="1">
      <c r="A99" s="384"/>
      <c r="B99" s="385"/>
      <c r="C99" s="123">
        <f t="shared" si="9"/>
        <v>107.43490759668525</v>
      </c>
      <c r="D99" s="118">
        <f t="shared" si="6"/>
        <v>5.0856860111451964E-4</v>
      </c>
      <c r="E99" s="118">
        <f t="shared" si="7"/>
        <v>4.7069047706547453E-4</v>
      </c>
      <c r="F99" s="21" t="s">
        <v>301</v>
      </c>
      <c r="G99" s="100">
        <v>1737940900</v>
      </c>
      <c r="H99" s="100">
        <v>2333944</v>
      </c>
      <c r="I99" s="22" t="s">
        <v>88</v>
      </c>
      <c r="J99" s="101">
        <f t="shared" si="10"/>
        <v>1.3429363449585657E-3</v>
      </c>
      <c r="K99" s="100">
        <v>80000</v>
      </c>
      <c r="L99" s="22" t="s">
        <v>94</v>
      </c>
      <c r="M99" s="177"/>
    </row>
    <row r="100" spans="1:13" s="146" customFormat="1" ht="18.75" customHeight="1">
      <c r="A100" s="384"/>
      <c r="B100" s="385"/>
      <c r="C100" s="123">
        <f t="shared" si="9"/>
        <v>277.39352083240539</v>
      </c>
      <c r="D100" s="118">
        <f t="shared" si="6"/>
        <v>1.3131079832782431E-3</v>
      </c>
      <c r="E100" s="118">
        <f t="shared" si="7"/>
        <v>1.2153078694461966E-3</v>
      </c>
      <c r="F100" s="21" t="s">
        <v>302</v>
      </c>
      <c r="G100" s="100">
        <v>551521094</v>
      </c>
      <c r="H100" s="100">
        <v>1509029</v>
      </c>
      <c r="I100" s="22" t="s">
        <v>88</v>
      </c>
      <c r="J100" s="101">
        <f t="shared" si="10"/>
        <v>2.7361220022529185E-3</v>
      </c>
      <c r="K100" s="100">
        <v>101382</v>
      </c>
      <c r="L100" s="22" t="s">
        <v>95</v>
      </c>
      <c r="M100" s="177"/>
    </row>
    <row r="101" spans="1:13" s="146" customFormat="1" ht="18.75" customHeight="1">
      <c r="A101" s="384"/>
      <c r="B101" s="385"/>
      <c r="C101" s="123">
        <f t="shared" si="9"/>
        <v>512.89707709331537</v>
      </c>
      <c r="D101" s="118">
        <f t="shared" si="6"/>
        <v>2.4279198898023839E-3</v>
      </c>
      <c r="E101" s="118">
        <f t="shared" si="7"/>
        <v>2.2470887284496408E-3</v>
      </c>
      <c r="F101" s="21" t="s">
        <v>303</v>
      </c>
      <c r="G101" s="100">
        <v>700480693</v>
      </c>
      <c r="H101" s="100">
        <v>1381825</v>
      </c>
      <c r="I101" s="22" t="s">
        <v>88</v>
      </c>
      <c r="J101" s="101">
        <f t="shared" si="10"/>
        <v>1.9726810657435209E-3</v>
      </c>
      <c r="K101" s="100">
        <v>260000</v>
      </c>
      <c r="L101" s="22" t="s">
        <v>96</v>
      </c>
      <c r="M101" s="177"/>
    </row>
    <row r="102" spans="1:13" s="146" customFormat="1" ht="18.75" customHeight="1">
      <c r="A102" s="384"/>
      <c r="B102" s="385"/>
      <c r="C102" s="123">
        <f t="shared" si="9"/>
        <v>0</v>
      </c>
      <c r="D102" s="118">
        <f t="shared" si="6"/>
        <v>0</v>
      </c>
      <c r="E102" s="118">
        <f t="shared" si="7"/>
        <v>0</v>
      </c>
      <c r="F102" s="21" t="s">
        <v>304</v>
      </c>
      <c r="G102" s="100">
        <v>28149877</v>
      </c>
      <c r="H102" s="100">
        <v>971000</v>
      </c>
      <c r="I102" s="22" t="s">
        <v>88</v>
      </c>
      <c r="J102" s="101">
        <f t="shared" si="10"/>
        <v>3.449393402322859E-2</v>
      </c>
      <c r="K102" s="100">
        <v>0</v>
      </c>
      <c r="L102" s="22" t="s">
        <v>98</v>
      </c>
      <c r="M102" s="177"/>
    </row>
    <row r="103" spans="1:13" s="146" customFormat="1" ht="18.75" customHeight="1">
      <c r="A103" s="384"/>
      <c r="B103" s="385"/>
      <c r="C103" s="123">
        <f t="shared" si="9"/>
        <v>1771.2732742793926</v>
      </c>
      <c r="D103" s="118">
        <f t="shared" si="6"/>
        <v>8.3847419004025731E-3</v>
      </c>
      <c r="E103" s="118">
        <f t="shared" si="7"/>
        <v>7.7602474012796168E-3</v>
      </c>
      <c r="F103" s="21" t="s">
        <v>305</v>
      </c>
      <c r="G103" s="100">
        <v>271056029</v>
      </c>
      <c r="H103" s="100">
        <v>1600381</v>
      </c>
      <c r="I103" s="22" t="s">
        <v>88</v>
      </c>
      <c r="J103" s="101">
        <f t="shared" si="10"/>
        <v>5.9042442475979754E-3</v>
      </c>
      <c r="K103" s="100">
        <v>300000</v>
      </c>
      <c r="L103" s="22" t="s">
        <v>99</v>
      </c>
      <c r="M103" s="177"/>
    </row>
    <row r="104" spans="1:13" s="146" customFormat="1" ht="18.75" customHeight="1">
      <c r="A104" s="384"/>
      <c r="B104" s="385"/>
      <c r="C104" s="123">
        <f t="shared" si="9"/>
        <v>503.4498897353115</v>
      </c>
      <c r="D104" s="118">
        <f t="shared" si="6"/>
        <v>2.3831993891140673E-3</v>
      </c>
      <c r="E104" s="118">
        <f t="shared" si="7"/>
        <v>2.2056990049050471E-3</v>
      </c>
      <c r="F104" s="21" t="s">
        <v>306</v>
      </c>
      <c r="G104" s="100">
        <v>1075540607</v>
      </c>
      <c r="H104" s="100">
        <v>1289240</v>
      </c>
      <c r="I104" s="22" t="s">
        <v>88</v>
      </c>
      <c r="J104" s="101">
        <f t="shared" si="10"/>
        <v>1.1986902136555035E-3</v>
      </c>
      <c r="K104" s="100">
        <v>420000</v>
      </c>
      <c r="L104" s="22" t="s">
        <v>116</v>
      </c>
      <c r="M104" s="177"/>
    </row>
    <row r="105" spans="1:13" s="146" customFormat="1" ht="18.75" customHeight="1">
      <c r="A105" s="384"/>
      <c r="B105" s="385"/>
      <c r="C105" s="123">
        <f t="shared" si="9"/>
        <v>0</v>
      </c>
      <c r="D105" s="118">
        <f t="shared" si="6"/>
        <v>0</v>
      </c>
      <c r="E105" s="118">
        <f t="shared" si="7"/>
        <v>0</v>
      </c>
      <c r="F105" s="21" t="s">
        <v>307</v>
      </c>
      <c r="G105" s="100">
        <v>490727495</v>
      </c>
      <c r="H105" s="100">
        <v>1822688</v>
      </c>
      <c r="I105" s="22" t="s">
        <v>88</v>
      </c>
      <c r="J105" s="101">
        <f t="shared" si="10"/>
        <v>3.7142569319454986E-3</v>
      </c>
      <c r="K105" s="100">
        <v>0</v>
      </c>
      <c r="L105" s="22" t="s">
        <v>98</v>
      </c>
      <c r="M105" s="177"/>
    </row>
    <row r="106" spans="1:13" s="146" customFormat="1" ht="18.75" customHeight="1">
      <c r="A106" s="384"/>
      <c r="B106" s="385"/>
      <c r="C106" s="123">
        <f t="shared" si="9"/>
        <v>160.19417475728153</v>
      </c>
      <c r="D106" s="118">
        <f t="shared" si="6"/>
        <v>7.583170980967009E-4</v>
      </c>
      <c r="E106" s="118">
        <f t="shared" si="7"/>
        <v>7.018377380904571E-4</v>
      </c>
      <c r="F106" s="21" t="s">
        <v>308</v>
      </c>
      <c r="G106" s="100">
        <v>206000000</v>
      </c>
      <c r="H106" s="100">
        <v>66000</v>
      </c>
      <c r="I106" s="22" t="s">
        <v>88</v>
      </c>
      <c r="J106" s="101">
        <f t="shared" si="10"/>
        <v>3.2038834951456308E-4</v>
      </c>
      <c r="K106" s="100">
        <v>500000</v>
      </c>
      <c r="L106" s="22" t="s">
        <v>100</v>
      </c>
      <c r="M106" s="177"/>
    </row>
    <row r="107" spans="1:13" s="137" customFormat="1" ht="18.75" customHeight="1" thickBot="1">
      <c r="A107" s="266">
        <v>16</v>
      </c>
      <c r="B107" s="265" t="s">
        <v>0</v>
      </c>
      <c r="C107" s="377" t="s">
        <v>46</v>
      </c>
      <c r="D107" s="377"/>
      <c r="E107" s="377"/>
      <c r="F107" s="377"/>
      <c r="G107" s="377"/>
      <c r="H107" s="377"/>
      <c r="I107" s="377"/>
      <c r="J107" s="377"/>
      <c r="K107" s="377"/>
      <c r="L107" s="378"/>
      <c r="M107" s="64"/>
    </row>
    <row r="108" spans="1:13" ht="18.75" customHeight="1" thickBot="1">
      <c r="A108" s="470" t="s">
        <v>17</v>
      </c>
      <c r="B108" s="471"/>
      <c r="C108" s="235">
        <f>SUM(C94,C89,C69,C65,C64,C59,C55,C51,C46,C41,C34,C31,C8)</f>
        <v>211249.58827824492</v>
      </c>
      <c r="D108" s="234">
        <f>+C108/$C$108</f>
        <v>1</v>
      </c>
      <c r="E108" s="234">
        <f>+C108/$C$111</f>
        <v>0.92552012852143084</v>
      </c>
      <c r="F108" s="233"/>
      <c r="G108" s="233"/>
      <c r="H108" s="232"/>
      <c r="I108" s="232"/>
      <c r="J108" s="232"/>
      <c r="K108" s="232"/>
      <c r="L108" s="232"/>
      <c r="M108" s="231"/>
    </row>
    <row r="109" spans="1:13" ht="18.75" customHeight="1" thickTop="1">
      <c r="A109" s="392" t="s">
        <v>310</v>
      </c>
      <c r="B109" s="393"/>
      <c r="C109" s="83">
        <v>5000</v>
      </c>
      <c r="D109" s="49"/>
      <c r="E109" s="124">
        <f>+C109/$C$111</f>
        <v>2.1905844552520332E-2</v>
      </c>
      <c r="F109" s="10"/>
      <c r="G109" s="10"/>
      <c r="H109" s="79"/>
      <c r="I109" s="79"/>
      <c r="J109" s="79"/>
      <c r="K109" s="79"/>
      <c r="L109" s="79"/>
      <c r="M109" s="62"/>
    </row>
    <row r="110" spans="1:13" ht="18.75" customHeight="1" thickBot="1">
      <c r="A110" s="394" t="s">
        <v>311</v>
      </c>
      <c r="B110" s="395"/>
      <c r="C110" s="84">
        <v>12000</v>
      </c>
      <c r="D110" s="50"/>
      <c r="E110" s="165">
        <f>+C110/$C$111</f>
        <v>5.2574026926048796E-2</v>
      </c>
      <c r="F110" s="11"/>
      <c r="G110" s="11"/>
      <c r="H110" s="173"/>
      <c r="I110" s="173"/>
      <c r="J110" s="173"/>
      <c r="K110" s="173"/>
      <c r="L110" s="173"/>
      <c r="M110" s="63"/>
    </row>
    <row r="111" spans="1:13" ht="18.75" customHeight="1" thickTop="1" thickBot="1">
      <c r="A111" s="396" t="s">
        <v>18</v>
      </c>
      <c r="B111" s="397"/>
      <c r="C111" s="163">
        <f>SUM(C108:C110)</f>
        <v>228249.58827824492</v>
      </c>
      <c r="D111" s="166"/>
      <c r="E111" s="164">
        <f>+C111/$C$111</f>
        <v>1</v>
      </c>
      <c r="F111" s="75"/>
      <c r="G111" s="75"/>
      <c r="H111" s="76"/>
      <c r="I111" s="76"/>
      <c r="J111" s="76"/>
      <c r="K111" s="76"/>
      <c r="L111" s="76"/>
      <c r="M111" s="77"/>
    </row>
    <row r="113" spans="5:8" ht="14.25" thickBot="1">
      <c r="E113" s="373" t="s">
        <v>23</v>
      </c>
      <c r="F113" s="374"/>
      <c r="G113" s="172" t="s">
        <v>309</v>
      </c>
      <c r="H113" s="172" t="s">
        <v>27</v>
      </c>
    </row>
    <row r="114" spans="5:8" ht="14.25" thickTop="1">
      <c r="E114" s="52" t="s">
        <v>310</v>
      </c>
      <c r="F114" s="53"/>
      <c r="G114" s="7">
        <f>C109</f>
        <v>5000</v>
      </c>
      <c r="H114" s="9">
        <f t="shared" ref="H114:H130" si="11">G114/$G$131</f>
        <v>1.7153043677119353E-2</v>
      </c>
    </row>
    <row r="115" spans="5:8">
      <c r="E115" s="54" t="s">
        <v>311</v>
      </c>
      <c r="F115" s="55"/>
      <c r="G115" s="7">
        <f>C110</f>
        <v>12000</v>
      </c>
      <c r="H115" s="9">
        <f t="shared" si="11"/>
        <v>4.1167304825086445E-2</v>
      </c>
    </row>
    <row r="116" spans="5:8">
      <c r="E116" s="5" t="s">
        <v>484</v>
      </c>
      <c r="F116" s="5" t="s">
        <v>4</v>
      </c>
      <c r="G116" s="8">
        <f>C8</f>
        <v>130131.2</v>
      </c>
      <c r="H116" s="9">
        <f t="shared" si="11"/>
        <v>0.44642923147119074</v>
      </c>
    </row>
    <row r="117" spans="5:8">
      <c r="E117" s="16" t="s">
        <v>483</v>
      </c>
      <c r="F117" s="16" t="s">
        <v>5</v>
      </c>
      <c r="G117" s="8">
        <f>C31</f>
        <v>18774</v>
      </c>
      <c r="H117" s="9">
        <f t="shared" si="11"/>
        <v>6.4406248398847746E-2</v>
      </c>
    </row>
    <row r="118" spans="5:8">
      <c r="E118" s="5" t="s">
        <v>482</v>
      </c>
      <c r="F118" s="16" t="s">
        <v>6</v>
      </c>
      <c r="G118" s="8">
        <f>C34</f>
        <v>3751.2</v>
      </c>
      <c r="H118" s="9">
        <f t="shared" si="11"/>
        <v>1.2868899488322021E-2</v>
      </c>
    </row>
    <row r="119" spans="5:8">
      <c r="E119" s="16" t="s">
        <v>481</v>
      </c>
      <c r="F119" s="16" t="s">
        <v>7</v>
      </c>
      <c r="G119" s="8">
        <f>C41</f>
        <v>10912.503204399998</v>
      </c>
      <c r="H119" s="9">
        <f t="shared" si="11"/>
        <v>3.7436528818355609E-2</v>
      </c>
    </row>
    <row r="120" spans="5:8">
      <c r="E120" s="5" t="s">
        <v>480</v>
      </c>
      <c r="F120" s="154" t="s">
        <v>8</v>
      </c>
      <c r="G120" s="8">
        <f>C46</f>
        <v>159.48799999999997</v>
      </c>
      <c r="H120" s="9">
        <f t="shared" si="11"/>
        <v>5.4714092599528218E-4</v>
      </c>
    </row>
    <row r="121" spans="5:8">
      <c r="E121" s="5" t="s">
        <v>133</v>
      </c>
      <c r="F121" s="16" t="s">
        <v>9</v>
      </c>
      <c r="G121" s="8">
        <f>C51</f>
        <v>12608</v>
      </c>
      <c r="H121" s="9">
        <f t="shared" si="11"/>
        <v>4.3253114936224156E-2</v>
      </c>
    </row>
    <row r="122" spans="5:8">
      <c r="E122" s="16" t="s">
        <v>134</v>
      </c>
      <c r="F122" s="16" t="s">
        <v>10</v>
      </c>
      <c r="G122" s="8">
        <f>C55</f>
        <v>17630.794433902593</v>
      </c>
      <c r="H122" s="9">
        <f t="shared" si="11"/>
        <v>6.0484357397408789E-2</v>
      </c>
    </row>
    <row r="123" spans="5:8">
      <c r="E123" s="5" t="s">
        <v>135</v>
      </c>
      <c r="F123" s="16" t="s">
        <v>11</v>
      </c>
      <c r="G123" s="8">
        <f>C59</f>
        <v>12.875</v>
      </c>
      <c r="H123" s="9">
        <f t="shared" si="11"/>
        <v>4.4169087468582334E-5</v>
      </c>
    </row>
    <row r="124" spans="5:8">
      <c r="E124" s="16" t="s">
        <v>136</v>
      </c>
      <c r="F124" s="16" t="s">
        <v>12</v>
      </c>
      <c r="G124" s="8">
        <f>C61</f>
        <v>63233.868750000009</v>
      </c>
      <c r="H124" s="9">
        <f t="shared" si="11"/>
        <v>0.21693066250839652</v>
      </c>
    </row>
    <row r="125" spans="5:8">
      <c r="E125" s="5" t="s">
        <v>137</v>
      </c>
      <c r="F125" s="16" t="s">
        <v>13</v>
      </c>
      <c r="G125" s="28">
        <v>0</v>
      </c>
      <c r="H125" s="9">
        <f t="shared" si="11"/>
        <v>0</v>
      </c>
    </row>
    <row r="126" spans="5:8">
      <c r="E126" s="5" t="s">
        <v>138</v>
      </c>
      <c r="F126" s="12" t="s">
        <v>14</v>
      </c>
      <c r="G126" s="8">
        <f>C65</f>
        <v>2895.0000000000005</v>
      </c>
      <c r="H126" s="9">
        <f t="shared" si="11"/>
        <v>9.9316122890521063E-3</v>
      </c>
    </row>
    <row r="127" spans="5:8">
      <c r="E127" s="16" t="s">
        <v>139</v>
      </c>
      <c r="F127" s="16" t="s">
        <v>15</v>
      </c>
      <c r="G127" s="8">
        <f>C69</f>
        <v>1798.348</v>
      </c>
      <c r="H127" s="9">
        <f t="shared" si="11"/>
        <v>6.1694283581320468E-3</v>
      </c>
    </row>
    <row r="128" spans="5:8">
      <c r="E128" s="5" t="s">
        <v>140</v>
      </c>
      <c r="F128" s="19" t="s">
        <v>2</v>
      </c>
      <c r="G128" s="8">
        <f>C89</f>
        <v>7840</v>
      </c>
      <c r="H128" s="9">
        <f t="shared" si="11"/>
        <v>2.6895972485723143E-2</v>
      </c>
    </row>
    <row r="129" spans="5:9">
      <c r="E129" s="16" t="s">
        <v>141</v>
      </c>
      <c r="F129" s="16" t="s">
        <v>479</v>
      </c>
      <c r="G129" s="28">
        <f>C92</f>
        <v>10</v>
      </c>
      <c r="H129" s="9">
        <f t="shared" si="11"/>
        <v>3.4306087354238704E-5</v>
      </c>
    </row>
    <row r="130" spans="5:9" ht="14.25" thickBot="1">
      <c r="E130" s="5" t="s">
        <v>142</v>
      </c>
      <c r="F130" s="80" t="s">
        <v>1</v>
      </c>
      <c r="G130" s="6">
        <f>C94</f>
        <v>4736.1796399423383</v>
      </c>
      <c r="H130" s="81">
        <f t="shared" si="11"/>
        <v>1.6247979245322869E-2</v>
      </c>
    </row>
    <row r="131" spans="5:9" ht="14.25" thickTop="1">
      <c r="E131" s="375" t="s">
        <v>18</v>
      </c>
      <c r="F131" s="376"/>
      <c r="G131" s="7">
        <f>SUM(G114:G130)</f>
        <v>291493.45702824503</v>
      </c>
      <c r="H131" s="9">
        <f>G131/G131</f>
        <v>1</v>
      </c>
      <c r="I131" s="51"/>
    </row>
  </sheetData>
  <mergeCells count="34">
    <mergeCell ref="A47:B50"/>
    <mergeCell ref="M9:M19"/>
    <mergeCell ref="A9:B30"/>
    <mergeCell ref="M47:M49"/>
    <mergeCell ref="A66:B68"/>
    <mergeCell ref="A62:B63"/>
    <mergeCell ref="C64:M64"/>
    <mergeCell ref="A56:B58"/>
    <mergeCell ref="A60:B60"/>
    <mergeCell ref="A35:B40"/>
    <mergeCell ref="A42:B45"/>
    <mergeCell ref="A52:B54"/>
    <mergeCell ref="A32:B33"/>
    <mergeCell ref="M6:M7"/>
    <mergeCell ref="A6:B7"/>
    <mergeCell ref="C6:C7"/>
    <mergeCell ref="D6:E6"/>
    <mergeCell ref="F6:F7"/>
    <mergeCell ref="J6:L6"/>
    <mergeCell ref="G6:I6"/>
    <mergeCell ref="A95:B106"/>
    <mergeCell ref="A108:B108"/>
    <mergeCell ref="A70:B88"/>
    <mergeCell ref="E113:F113"/>
    <mergeCell ref="E131:F131"/>
    <mergeCell ref="C107:L107"/>
    <mergeCell ref="A110:B110"/>
    <mergeCell ref="A111:B111"/>
    <mergeCell ref="A109:B109"/>
    <mergeCell ref="A93:B93"/>
    <mergeCell ref="I85:I86"/>
    <mergeCell ref="A90:B91"/>
    <mergeCell ref="I70:I80"/>
    <mergeCell ref="I81:I84"/>
  </mergeCells>
  <phoneticPr fontId="3"/>
  <pageMargins left="0.70866141732283472" right="0.70866141732283472" top="0.74803149606299213" bottom="0.74803149606299213" header="0.31496062992125984" footer="0.31496062992125984"/>
  <pageSetup paperSize="8" scale="44" fitToHeight="2" orientation="landscape" r:id="rId1"/>
  <rowBreaks count="1" manualBreakCount="1">
    <brk id="63"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はじめに</vt:lpstr>
      <vt:lpstr>1_素材</vt:lpstr>
      <vt:lpstr>2_部品</vt:lpstr>
      <vt:lpstr>3_組立機械</vt:lpstr>
      <vt:lpstr>4_食品</vt:lpstr>
      <vt:lpstr>5_物流</vt:lpstr>
      <vt:lpstr>6_建設</vt:lpstr>
      <vt:lpstr>7_情報通信</vt:lpstr>
      <vt:lpstr>8_小売</vt:lpstr>
      <vt:lpstr>9_銀行</vt:lpstr>
      <vt:lpstr>10_宿泊</vt:lpstr>
      <vt:lpstr>'1_素材'!Print_Area</vt:lpstr>
      <vt:lpstr>'10_宿泊'!Print_Area</vt:lpstr>
      <vt:lpstr>'2_部品'!Print_Area</vt:lpstr>
      <vt:lpstr>'3_組立機械'!Print_Area</vt:lpstr>
      <vt:lpstr>'4_食品'!Print_Area</vt:lpstr>
      <vt:lpstr>'5_物流'!Print_Area</vt:lpstr>
      <vt:lpstr>'6_建設'!Print_Area</vt:lpstr>
      <vt:lpstr>'7_情報通信'!Print_Area</vt:lpstr>
      <vt:lpstr>'8_小売'!Print_Area</vt:lpstr>
      <vt:lpstr>'9_銀行'!Print_Area</vt:lpstr>
      <vt:lpstr>はじめに!Print_Area</vt:lpstr>
      <vt:lpstr>'1_素材'!Print_Titles</vt:lpstr>
      <vt:lpstr>'10_宿泊'!Print_Titles</vt:lpstr>
      <vt:lpstr>'2_部品'!Print_Titles</vt:lpstr>
      <vt:lpstr>'3_組立機械'!Print_Titles</vt:lpstr>
      <vt:lpstr>'4_食品'!Print_Titles</vt:lpstr>
      <vt:lpstr>'5_物流'!Print_Titles</vt:lpstr>
      <vt:lpstr>'6_建設'!Print_Titles</vt:lpstr>
      <vt:lpstr>'7_情報通信'!Print_Titles</vt:lpstr>
      <vt:lpstr>'8_小売'!Print_Titles</vt:lpstr>
      <vt:lpstr>'9_銀行'!Print_Titles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2016-04-25T01:07:28Z</dcterms:created>
  <dcterms:modified xsi:type="dcterms:W3CDTF">2019-10-10T06:34:58Z</dcterms:modified>
</cp:coreProperties>
</file>