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91" yWindow="750" windowWidth="15480" windowHeight="7590" activeTab="0"/>
  </bookViews>
  <sheets>
    <sheet name="第１段階（水田）" sheetId="1" r:id="rId1"/>
    <sheet name="第２段階（水田）地上防除 " sheetId="2" r:id="rId2"/>
    <sheet name="第２段階（水田）航空防除" sheetId="3" r:id="rId3"/>
    <sheet name="非水田専用" sheetId="4" r:id="rId4"/>
  </sheets>
  <externalReferences>
    <externalReference r:id="rId7"/>
  </externalReferences>
  <definedNames>
    <definedName name="Ap" localSheetId="2">'第２段階（水田）航空防除'!$M$4</definedName>
    <definedName name="Ap" localSheetId="1">'第２段階（水田）地上防除 '!$M$4</definedName>
    <definedName name="Ap">#REF!</definedName>
    <definedName name="C0" localSheetId="2">'第２段階（水田）航空防除'!$H$17</definedName>
    <definedName name="C0">'第２段階（水田）地上防除 '!$H$17</definedName>
    <definedName name="CalcC14" localSheetId="2">'第２段階（水田）航空防除'!$G$38</definedName>
    <definedName name="CalcC14">'第２段階（水田）地上防除 '!$G$38</definedName>
    <definedName name="Ctinit" localSheetId="2">'第２段階（水田）航空防除'!$G$37</definedName>
    <definedName name="Ctinit">'第２段階（水田）地上防除 '!$G$37</definedName>
    <definedName name="Dditch" localSheetId="2">'第２段階（水田）航空防除'!$I$18</definedName>
    <definedName name="Dditch">'第２段階（水田）地上防除 '!$I$18</definedName>
    <definedName name="dr">#REF!</definedName>
    <definedName name="Driver" localSheetId="2">'第２段階（水田）航空防除'!$G$18</definedName>
    <definedName name="Driver">'第２段階（水田）地上防除 '!$G$18</definedName>
    <definedName name="ds">#REF!</definedName>
    <definedName name="dt">#REF!</definedName>
    <definedName name="dth">#REF!</definedName>
    <definedName name="dtp">#REF!</definedName>
    <definedName name="ffp" localSheetId="2">'第２段階（水田）航空防除'!$H$14</definedName>
    <definedName name="ffp">'第２段階（水田）地上防除 '!$H$14</definedName>
    <definedName name="ffpp" localSheetId="2">'第２段階（水田）航空防除'!$H$14</definedName>
    <definedName name="ffpp" localSheetId="1">'第２段階（水田）地上防除 '!$H$14</definedName>
    <definedName name="ffpp">#REF!</definedName>
    <definedName name="ｆｐ" localSheetId="2">'第２段階（水田）航空防除'!$H$13</definedName>
    <definedName name="ｆｐ" localSheetId="1">'第２段階（水田）地上防除 '!$H$13</definedName>
    <definedName name="fp">#REF!</definedName>
    <definedName name="fpp">#REF!</definedName>
    <definedName name="fu">#REF!</definedName>
    <definedName name="fua">#REF!</definedName>
    <definedName name="HL">'[1]2回散布'!$J$1</definedName>
    <definedName name="I" localSheetId="2">'第２段階（水田）航空防除'!$C$11</definedName>
    <definedName name="I" localSheetId="1">'第２段階（水田）地上防除 '!$C$11</definedName>
    <definedName name="I">#REF!</definedName>
    <definedName name="k" localSheetId="2">'第２段階（水田）航空防除'!$H$16</definedName>
    <definedName name="k">'第２段階（水田）地上防除 '!$H$16</definedName>
    <definedName name="kk" localSheetId="2">'第２段階（水田）航空防除'!#REF!</definedName>
    <definedName name="kk" localSheetId="1">'第２段階（水田）地上防除 '!#REF!</definedName>
    <definedName name="kk">#REF!</definedName>
    <definedName name="kkk">#REF!</definedName>
    <definedName name="Klevee" localSheetId="2">'第２段階（水田）航空防除'!$C$16</definedName>
    <definedName name="Klevee" localSheetId="1">'第２段階（水田）地上防除 '!$C$16</definedName>
    <definedName name="Klevee">#REF!</definedName>
    <definedName name="Koc" localSheetId="2">'第２段階（水田）航空防除'!$C$15</definedName>
    <definedName name="Koc" localSheetId="1">'第２段階（水田）地上防除 '!$C$15</definedName>
    <definedName name="Koc">#REF!</definedName>
    <definedName name="MDd" localSheetId="2">'第２段階（水田）航空防除'!$M$22</definedName>
    <definedName name="MDd">'第２段階（水田）地上防除 '!$M$22</definedName>
    <definedName name="MDr" localSheetId="2">'第２段階（水田）航空防除'!$L$22</definedName>
    <definedName name="MDr">'第２段階（水田）地上防除 '!$L$22</definedName>
    <definedName name="Oclevee" localSheetId="2">'第２段階（水田）航空防除'!$L$7</definedName>
    <definedName name="Oclevee" localSheetId="1">'第２段階（水田）地上防除 '!$L$7</definedName>
    <definedName name="Oclevee">#REF!</definedName>
    <definedName name="Ocse" localSheetId="2">'第２段階（水田）航空防除'!#REF!</definedName>
    <definedName name="Ocse" localSheetId="1">'第２段階（水田）地上防除 '!#REF!</definedName>
    <definedName name="Ocse">#REF!</definedName>
    <definedName name="Plevee" localSheetId="2">'第２段階（水田）航空防除'!$L$5</definedName>
    <definedName name="Plevee" localSheetId="1">'第２段階（水田）地上防除 '!$L$5</definedName>
    <definedName name="Plevee">#REF!</definedName>
    <definedName name="_xlnm.Print_Area" localSheetId="2">'第２段階（水田）航空防除'!$A$1:$O$42</definedName>
    <definedName name="_xlnm.Print_Area" localSheetId="1">'第２段階（水田）地上防除 '!$A$1:$O$42</definedName>
    <definedName name="_xlnm.Print_Area" localSheetId="3">'非水田専用'!$A$1:$U$29</definedName>
    <definedName name="Pse" localSheetId="2">'第２段階（水田）航空防除'!#REF!</definedName>
    <definedName name="Pse" localSheetId="1">'第２段階（水田）地上防除 '!#REF!</definedName>
    <definedName name="Pse">#REF!</definedName>
    <definedName name="rws" localSheetId="2">'第２段階（水田）航空防除'!$L$6</definedName>
    <definedName name="rws" localSheetId="1">'第２段階（水田）地上防除 '!$L$6</definedName>
    <definedName name="rws">#REF!</definedName>
    <definedName name="tinit" localSheetId="2">'第２段階（水田）航空防除'!$C$14</definedName>
    <definedName name="tinit">'第２段階（水田）地上防除 '!$C$14</definedName>
    <definedName name="V" localSheetId="2">'第２段階（水田）航空防除'!$G$38</definedName>
    <definedName name="V">'第２段階（水田）地上防除 '!$G$38</definedName>
    <definedName name="Vse" localSheetId="2">'第２段階（水田）航空防除'!#REF!</definedName>
    <definedName name="Vse" localSheetId="1">'第２段階（水田）地上防除 '!#REF!</definedName>
    <definedName name="Vse">#REF!</definedName>
    <definedName name="散布回数" localSheetId="2">'第２段階（水田）航空防除'!$C$18</definedName>
    <definedName name="散布回数">'第２段階（水田）地上防除 '!$C$18</definedName>
  </definedNames>
  <calcPr fullCalcOnLoad="1"/>
</workbook>
</file>

<file path=xl/comments4.xml><?xml version="1.0" encoding="utf-8"?>
<comments xmlns="http://schemas.openxmlformats.org/spreadsheetml/2006/main">
  <authors>
    <author>安科研</author>
  </authors>
  <commentList>
    <comment ref="P5" authorId="0">
      <text>
        <r>
          <rPr>
            <b/>
            <sz val="12"/>
            <rFont val="ＭＳ Ｐゴシック"/>
            <family val="3"/>
          </rPr>
          <t>必ず最初に入力するセル(最大値=10回)</t>
        </r>
      </text>
    </comment>
    <comment ref="D15" authorId="0">
      <text>
        <r>
          <rPr>
            <b/>
            <sz val="9"/>
            <rFont val="ＭＳ Ｐゴシック"/>
            <family val="3"/>
          </rPr>
          <t>単位がhaなので注意する</t>
        </r>
      </text>
    </comment>
  </commentList>
</comments>
</file>

<file path=xl/sharedStrings.xml><?xml version="1.0" encoding="utf-8"?>
<sst xmlns="http://schemas.openxmlformats.org/spreadsheetml/2006/main" count="275" uniqueCount="161">
  <si>
    <t>ｆｐ（使用方法に係る補正係数　0.2,0.5 or 1）</t>
  </si>
  <si>
    <t>mg/l</t>
  </si>
  <si>
    <t>水質汚濁に係るPEC計算シート</t>
  </si>
  <si>
    <t>水田（地上防除、第２段階）</t>
  </si>
  <si>
    <t>環境条件</t>
  </si>
  <si>
    <t>農薬名：</t>
  </si>
  <si>
    <t>パラメータ</t>
  </si>
  <si>
    <t>値</t>
  </si>
  <si>
    <t>単位</t>
  </si>
  <si>
    <t>試験条件：</t>
  </si>
  <si>
    <r>
      <t>ρ</t>
    </r>
    <r>
      <rPr>
        <vertAlign val="subscript"/>
        <sz val="11"/>
        <rFont val="ＭＳ Ｐゴシック"/>
        <family val="3"/>
      </rPr>
      <t>levee</t>
    </r>
  </si>
  <si>
    <r>
      <t>g/cm</t>
    </r>
    <r>
      <rPr>
        <vertAlign val="superscript"/>
        <sz val="11"/>
        <rFont val="ＭＳ Ｐゴシック"/>
        <family val="3"/>
      </rPr>
      <t>3</t>
    </r>
  </si>
  <si>
    <r>
      <t>r</t>
    </r>
    <r>
      <rPr>
        <vertAlign val="subscript"/>
        <sz val="11"/>
        <rFont val="ＭＳ Ｐゴシック"/>
        <family val="3"/>
      </rPr>
      <t>ws</t>
    </r>
  </si>
  <si>
    <t>-</t>
  </si>
  <si>
    <r>
      <t>OC</t>
    </r>
    <r>
      <rPr>
        <vertAlign val="subscript"/>
        <sz val="11"/>
        <rFont val="ＭＳ Ｐゴシック"/>
        <family val="3"/>
      </rPr>
      <t>levee</t>
    </r>
  </si>
  <si>
    <t>%</t>
  </si>
  <si>
    <t>農薬散布面積=50ha</t>
  </si>
  <si>
    <t>農薬の条件</t>
  </si>
  <si>
    <t>表面流出量Qout=30(m3/ha/day)</t>
  </si>
  <si>
    <t>パラメータ</t>
  </si>
  <si>
    <t>畦畔流出量Qseepage=20(m3/ha/day)</t>
  </si>
  <si>
    <t>I</t>
  </si>
  <si>
    <t>g/ha</t>
  </si>
  <si>
    <t xml:space="preserve">←単位がha当たりなので注意する。 </t>
  </si>
  <si>
    <t>試験時の作物栽培・農薬使用条件（適用通り＝１、作物無し＝０）</t>
  </si>
  <si>
    <t>河川ドリフト面積＝5000m×0.10×3m=0.150ha</t>
  </si>
  <si>
    <t>（作物の有無にかかわらず入力する）</t>
  </si>
  <si>
    <t>止水期間tinit</t>
  </si>
  <si>
    <t>(0～14日)</t>
  </si>
  <si>
    <t>ffp=</t>
  </si>
  <si>
    <t>Koc</t>
  </si>
  <si>
    <t>水田水中半減期(day)＝</t>
  </si>
  <si>
    <t>Klevee</t>
  </si>
  <si>
    <t>水田水中減衰速度定数k＝</t>
  </si>
  <si>
    <t>ドリフト（有り＝１、無し＝０）</t>
  </si>
  <si>
    <t>散布回数</t>
  </si>
  <si>
    <t>Driver(%)=</t>
  </si>
  <si>
    <t>Dditch(%)=</t>
  </si>
  <si>
    <t>水田水中減衰速度定数・半減期の算出</t>
  </si>
  <si>
    <t>経過日数</t>
  </si>
  <si>
    <t>水質汚濁性試験結果(mg/l)</t>
  </si>
  <si>
    <t>Ci(mg/l)</t>
  </si>
  <si>
    <r>
      <t>M</t>
    </r>
    <r>
      <rPr>
        <vertAlign val="subscript"/>
        <sz val="11"/>
        <rFont val="ＭＳ Ｐゴシック"/>
        <family val="3"/>
      </rPr>
      <t>out</t>
    </r>
    <r>
      <rPr>
        <sz val="11"/>
        <rFont val="ＭＳ Ｐゴシック"/>
        <family val="3"/>
      </rPr>
      <t>(g)</t>
    </r>
  </si>
  <si>
    <r>
      <t>M</t>
    </r>
    <r>
      <rPr>
        <vertAlign val="subscript"/>
        <sz val="11"/>
        <rFont val="ＭＳ Ｐゴシック"/>
        <family val="3"/>
      </rPr>
      <t>seepagr</t>
    </r>
    <r>
      <rPr>
        <sz val="11"/>
        <rFont val="ＭＳ Ｐゴシック"/>
        <family val="3"/>
      </rPr>
      <t>(g)</t>
    </r>
  </si>
  <si>
    <r>
      <t>M</t>
    </r>
    <r>
      <rPr>
        <vertAlign val="subscript"/>
        <sz val="11"/>
        <rFont val="ＭＳ Ｐゴシック"/>
        <family val="3"/>
      </rPr>
      <t>Dr</t>
    </r>
    <r>
      <rPr>
        <sz val="11"/>
        <rFont val="ＭＳ Ｐゴシック"/>
        <family val="3"/>
      </rPr>
      <t>(g)</t>
    </r>
  </si>
  <si>
    <r>
      <t>M</t>
    </r>
    <r>
      <rPr>
        <vertAlign val="subscript"/>
        <sz val="11"/>
        <rFont val="ＭＳ Ｐゴシック"/>
        <family val="3"/>
      </rPr>
      <t>Dｄ</t>
    </r>
    <r>
      <rPr>
        <sz val="11"/>
        <rFont val="ＭＳ Ｐゴシック"/>
        <family val="3"/>
      </rPr>
      <t>(g)</t>
    </r>
  </si>
  <si>
    <r>
      <t>M</t>
    </r>
    <r>
      <rPr>
        <vertAlign val="subscript"/>
        <sz val="11"/>
        <rFont val="ＭＳ Ｐゴシック"/>
        <family val="3"/>
      </rPr>
      <t>total</t>
    </r>
    <r>
      <rPr>
        <sz val="11"/>
        <rFont val="ＭＳ Ｐゴシック"/>
        <family val="3"/>
      </rPr>
      <t>(g)</t>
    </r>
  </si>
  <si>
    <t>測定値</t>
  </si>
  <si>
    <t>補間値</t>
  </si>
  <si>
    <t>田面水中濃度</t>
  </si>
  <si>
    <t>止水期間中濃度積算</t>
  </si>
  <si>
    <t>非止水期間中濃度積算</t>
  </si>
  <si>
    <t>水尻からの流出量</t>
  </si>
  <si>
    <t>畦畔浸透による流出量</t>
  </si>
  <si>
    <t>河川へのドリフト量</t>
  </si>
  <si>
    <t>排水路へのドリフト量</t>
  </si>
  <si>
    <t>減衰速度定数(1/d)</t>
  </si>
  <si>
    <t>半減期(d)</t>
  </si>
  <si>
    <t>止水終了日
(理論値)</t>
  </si>
  <si>
    <t>14(理論値)</t>
  </si>
  <si>
    <t>15～150</t>
  </si>
  <si>
    <t>PEC(ppb)</t>
  </si>
  <si>
    <t>ｆｐ（使用方法に係る補正係数　0.3 or 1）</t>
  </si>
  <si>
    <t>ffp=</t>
  </si>
  <si>
    <t>Koc</t>
  </si>
  <si>
    <r>
      <t>R</t>
    </r>
    <r>
      <rPr>
        <vertAlign val="subscript"/>
        <sz val="11"/>
        <rFont val="ＭＳ Ｐゴシック"/>
        <family val="3"/>
      </rPr>
      <t>ws</t>
    </r>
  </si>
  <si>
    <t>分析値は、０，１，３，７，１４日後の値は必ず入力する。その他の日について、測定している場合には、入力する。分析値がある場合にはその値を用い、欠測日のみ補間値を計算します。</t>
  </si>
  <si>
    <r>
      <t>水田水理論最高濃度C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=</t>
    </r>
  </si>
  <si>
    <t>水田（航空防除、第２段階）</t>
  </si>
  <si>
    <t>排水路ドリフト面積＝(50ha÷150)=0.33ha</t>
  </si>
  <si>
    <t>(自動計算値を利用しない場合のみ入力、入力しない場合は、Back Spaceで空白にする)</t>
  </si>
  <si>
    <t>【記載例】</t>
  </si>
  <si>
    <t>☆☆☆</t>
  </si>
  <si>
    <t>☆☆</t>
  </si>
  <si>
    <t>【記載例】</t>
  </si>
  <si>
    <t>水田（第１段階）</t>
  </si>
  <si>
    <t>×</t>
  </si>
  <si>
    <t>使用回数</t>
  </si>
  <si>
    <t>（有効成分）g/ha</t>
  </si>
  <si>
    <t>　河川予測濃度＝</t>
  </si>
  <si>
    <t>１回当たり農薬使用量</t>
  </si>
  <si>
    <t>入力欄：この色のセルに数値を入力する。</t>
  </si>
  <si>
    <t>入力欄；この色のセルに数値を入力する。</t>
  </si>
  <si>
    <t>水質汚濁に係るPEC計算シート</t>
  </si>
  <si>
    <r>
      <t>3,756,000ｍ</t>
    </r>
    <r>
      <rPr>
        <vertAlign val="superscript"/>
        <sz val="11"/>
        <rFont val="ＭＳ Ｐゴシック"/>
        <family val="3"/>
      </rPr>
      <t>３</t>
    </r>
  </si>
  <si>
    <t>50ha</t>
  </si>
  <si>
    <t>年間合計水量＝3,756,000ｍ３</t>
  </si>
  <si>
    <t>バックデータ計算表</t>
  </si>
  <si>
    <t>非水田（第１段階・第２段階）</t>
  </si>
  <si>
    <t>共通パラメータ</t>
  </si>
  <si>
    <r>
      <t>総使用回数N</t>
    </r>
    <r>
      <rPr>
        <vertAlign val="subscript"/>
        <sz val="11"/>
        <rFont val="ＭＳ Ｐゴシック"/>
        <family val="3"/>
      </rPr>
      <t>app</t>
    </r>
  </si>
  <si>
    <t>回</t>
  </si>
  <si>
    <r>
      <t>→散布間隔Δt</t>
    </r>
    <r>
      <rPr>
        <vertAlign val="subscript"/>
        <sz val="11"/>
        <rFont val="ＭＳ Ｐゴシック"/>
        <family val="3"/>
      </rPr>
      <t>app</t>
    </r>
  </si>
  <si>
    <t>日</t>
  </si>
  <si>
    <t>土壌中半減期</t>
  </si>
  <si>
    <t>day</t>
  </si>
  <si>
    <t>→圃場中減少速度定数</t>
  </si>
  <si>
    <t>1/日</t>
  </si>
  <si>
    <t>農薬散布面積=37.5ha</t>
  </si>
  <si>
    <t>この色のセルに数値を入力する。</t>
  </si>
  <si>
    <t>農薬流出率=流出率0.2%×寄与率10%=0.02%</t>
  </si>
  <si>
    <t>この色のセルは算出値。</t>
  </si>
  <si>
    <t>河川ドリフト面積＝7500m×0.05×3m=0.113ha</t>
  </si>
  <si>
    <t>この色のセルはバックデータ(算出値)。</t>
  </si>
  <si>
    <r>
      <t>定期的降雨間隔Δt</t>
    </r>
    <r>
      <rPr>
        <vertAlign val="subscript"/>
        <sz val="11"/>
        <rFont val="ＭＳ Ｐゴシック"/>
        <family val="3"/>
      </rPr>
      <t>rainA</t>
    </r>
    <r>
      <rPr>
        <sz val="11"/>
        <rFont val="ＭＳ Ｐゴシック"/>
        <family val="3"/>
      </rPr>
      <t>=15日</t>
    </r>
  </si>
  <si>
    <r>
      <t>T</t>
    </r>
    <r>
      <rPr>
        <sz val="11"/>
        <rFont val="ＭＳ Ｐゴシック"/>
        <family val="3"/>
      </rPr>
      <t>ier1・2共通</t>
    </r>
  </si>
  <si>
    <t>Tier2用</t>
  </si>
  <si>
    <r>
      <t>最終回降雨間隔Δt</t>
    </r>
    <r>
      <rPr>
        <vertAlign val="subscript"/>
        <sz val="11"/>
        <rFont val="ＭＳ Ｐゴシック"/>
        <family val="3"/>
      </rPr>
      <t>rainB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120</t>
    </r>
    <r>
      <rPr>
        <sz val="11"/>
        <rFont val="ＭＳ Ｐゴシック"/>
        <family val="3"/>
      </rPr>
      <t>日</t>
    </r>
  </si>
  <si>
    <r>
      <t>中間算出値 
α=(</t>
    </r>
    <r>
      <rPr>
        <sz val="11"/>
        <rFont val="ＭＳ Ｐゴシック"/>
        <family val="3"/>
      </rPr>
      <t>1-(r</t>
    </r>
    <r>
      <rPr>
        <vertAlign val="subscript"/>
        <sz val="11"/>
        <rFont val="ＭＳ Ｐゴシック"/>
        <family val="3"/>
      </rPr>
      <t>u</t>
    </r>
    <r>
      <rPr>
        <sz val="11"/>
        <rFont val="ＭＳ Ｐゴシック"/>
        <family val="3"/>
      </rPr>
      <t xml:space="preserve"> /100)*f</t>
    </r>
    <r>
      <rPr>
        <vertAlign val="subscript"/>
        <sz val="11"/>
        <rFont val="ＭＳ Ｐゴシック"/>
        <family val="3"/>
      </rPr>
      <t>u</t>
    </r>
    <r>
      <rPr>
        <sz val="11"/>
        <rFont val="ＭＳ Ｐゴシック"/>
        <family val="3"/>
      </rPr>
      <t>)</t>
    </r>
  </si>
  <si>
    <t>定期的降雨評価期間</t>
  </si>
  <si>
    <t>最終降雨までの日数</t>
  </si>
  <si>
    <t>降雨流出時の圃場中濃度積算の総和</t>
  </si>
  <si>
    <t>降雨流出発生時の圃場中濃度積算 (最終降雨前まで)</t>
  </si>
  <si>
    <t>降雨流出発生時の圃場中濃度 (最終降雨時)</t>
  </si>
  <si>
    <t>最終降雨から1回前の降雨時の圃場中濃度</t>
  </si>
  <si>
    <r>
      <t>定期的降雨流出発生日の圃場中濃度：U</t>
    </r>
    <r>
      <rPr>
        <vertAlign val="subscript"/>
        <sz val="11"/>
        <rFont val="ＭＳ Ｐゴシック"/>
        <family val="3"/>
      </rPr>
      <t>tinit+Δtr･k　</t>
    </r>
    <r>
      <rPr>
        <sz val="11"/>
        <rFont val="ＭＳ Ｐゴシック"/>
        <family val="3"/>
      </rPr>
      <t>（定期的降雨回数=&lt;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0回）</t>
    </r>
  </si>
  <si>
    <t>使用回別の条件</t>
  </si>
  <si>
    <t>使用回数</t>
  </si>
  <si>
    <t>単回使用量</t>
  </si>
  <si>
    <t>使用方法フラグ</t>
  </si>
  <si>
    <t>使用方法に係る補正係数ｆuのリスト</t>
  </si>
  <si>
    <t>使用方法に係る補正係数</t>
  </si>
  <si>
    <t>ドリフト率</t>
  </si>
  <si>
    <t xml:space="preserve">農薬散布日 </t>
  </si>
  <si>
    <t>各散布日から初回降雨日まで</t>
  </si>
  <si>
    <t>総定期的降雨回数</t>
  </si>
  <si>
    <t>最終降雨回数</t>
  </si>
  <si>
    <t>圃場中初濃度</t>
  </si>
  <si>
    <t>降雨流出量</t>
  </si>
  <si>
    <t>流出量</t>
  </si>
  <si>
    <t>回目降雨流出時圃場中濃度</t>
  </si>
  <si>
    <r>
      <t>I</t>
    </r>
    <r>
      <rPr>
        <sz val="11"/>
        <rFont val="ＭＳ Ｐゴシック"/>
        <family val="3"/>
      </rPr>
      <t xml:space="preserve"> (g/ha)</t>
    </r>
  </si>
  <si>
    <t>地上防除＝0
航空防除＝1</t>
  </si>
  <si>
    <t>参照専用リスト</t>
  </si>
  <si>
    <r>
      <t>ｆ</t>
    </r>
    <r>
      <rPr>
        <vertAlign val="subscript"/>
        <sz val="11"/>
        <rFont val="ＭＳ Ｐゴシック"/>
        <family val="3"/>
      </rPr>
      <t>u</t>
    </r>
    <r>
      <rPr>
        <sz val="11"/>
        <rFont val="ＭＳ Ｐゴシック"/>
        <family val="3"/>
      </rPr>
      <t xml:space="preserve"> (-) </t>
    </r>
  </si>
  <si>
    <r>
      <t>D</t>
    </r>
    <r>
      <rPr>
        <vertAlign val="subscript"/>
        <sz val="11"/>
        <rFont val="ＭＳ Ｐゴシック"/>
        <family val="3"/>
      </rPr>
      <t>river-u</t>
    </r>
    <r>
      <rPr>
        <sz val="11"/>
        <rFont val="ＭＳ Ｐゴシック"/>
        <family val="3"/>
      </rPr>
      <t xml:space="preserve"> (%)</t>
    </r>
  </si>
  <si>
    <t>(日)</t>
  </si>
  <si>
    <r>
      <t>ｔ</t>
    </r>
    <r>
      <rPr>
        <vertAlign val="subscript"/>
        <sz val="11"/>
        <rFont val="ＭＳ Ｐゴシック"/>
        <family val="3"/>
      </rPr>
      <t xml:space="preserve">ｒain-1 </t>
    </r>
    <r>
      <rPr>
        <sz val="11"/>
        <rFont val="ＭＳ Ｐゴシック"/>
        <family val="3"/>
      </rPr>
      <t>(日)</t>
    </r>
  </si>
  <si>
    <r>
      <t>M</t>
    </r>
    <r>
      <rPr>
        <vertAlign val="subscript"/>
        <sz val="11"/>
        <rFont val="ＭＳ Ｐゴシック"/>
        <family val="3"/>
      </rPr>
      <t>rain-定期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</si>
  <si>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r>
      <t>M</t>
    </r>
    <r>
      <rPr>
        <vertAlign val="subscript"/>
        <sz val="11"/>
        <rFont val="ＭＳ Ｐゴシック"/>
        <family val="3"/>
      </rPr>
      <t>rain-最終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</si>
  <si>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r>
      <t>U</t>
    </r>
    <r>
      <rPr>
        <vertAlign val="subscript"/>
        <sz val="11"/>
        <rFont val="ＭＳ Ｐゴシック"/>
        <family val="3"/>
      </rPr>
      <t xml:space="preserve">0 </t>
    </r>
    <r>
      <rPr>
        <sz val="11"/>
        <rFont val="ＭＳ Ｐゴシック"/>
        <family val="3"/>
      </rPr>
      <t>(g/ha)</t>
    </r>
  </si>
  <si>
    <r>
      <t>Tier1・2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M</t>
    </r>
    <r>
      <rPr>
        <vertAlign val="subscript"/>
        <sz val="11"/>
        <rFont val="ＭＳ Ｐゴシック"/>
        <family val="3"/>
      </rPr>
      <t xml:space="preserve">dr-u </t>
    </r>
    <r>
      <rPr>
        <sz val="11"/>
        <rFont val="ＭＳ Ｐゴシック"/>
        <family val="3"/>
      </rPr>
      <t>(g)</t>
    </r>
  </si>
  <si>
    <r>
      <t>Tier1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M</t>
    </r>
    <r>
      <rPr>
        <vertAlign val="subscript"/>
        <sz val="11"/>
        <rFont val="ＭＳ Ｐゴシック"/>
        <family val="3"/>
      </rPr>
      <t xml:space="preserve">out-u </t>
    </r>
    <r>
      <rPr>
        <sz val="11"/>
        <rFont val="ＭＳ Ｐゴシック"/>
        <family val="3"/>
      </rPr>
      <t>(g)</t>
    </r>
  </si>
  <si>
    <r>
      <t>Tier2</t>
    </r>
    <r>
      <rPr>
        <sz val="11"/>
        <rFont val="ＭＳ Ｐゴシック"/>
        <family val="3"/>
      </rPr>
      <t xml:space="preserve">
M</t>
    </r>
    <r>
      <rPr>
        <vertAlign val="subscript"/>
        <sz val="11"/>
        <rFont val="ＭＳ Ｐゴシック"/>
        <family val="3"/>
      </rPr>
      <t xml:space="preserve">out-u </t>
    </r>
    <r>
      <rPr>
        <sz val="11"/>
        <rFont val="ＭＳ Ｐゴシック"/>
        <family val="3"/>
      </rPr>
      <t>(g)</t>
    </r>
  </si>
  <si>
    <r>
      <t>Tier1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M</t>
    </r>
    <r>
      <rPr>
        <vertAlign val="subscript"/>
        <sz val="11"/>
        <rFont val="ＭＳ Ｐゴシック"/>
        <family val="3"/>
      </rPr>
      <t xml:space="preserve">total-u </t>
    </r>
    <r>
      <rPr>
        <sz val="11"/>
        <rFont val="ＭＳ Ｐゴシック"/>
        <family val="3"/>
      </rPr>
      <t>(g)</t>
    </r>
  </si>
  <si>
    <r>
      <t>Tier2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M</t>
    </r>
    <r>
      <rPr>
        <vertAlign val="subscript"/>
        <sz val="11"/>
        <rFont val="ＭＳ Ｐゴシック"/>
        <family val="3"/>
      </rPr>
      <t xml:space="preserve">total-u </t>
    </r>
    <r>
      <rPr>
        <sz val="11"/>
        <rFont val="ＭＳ Ｐゴシック"/>
        <family val="3"/>
      </rPr>
      <t>(g)</t>
    </r>
  </si>
  <si>
    <t>α(-)</t>
  </si>
  <si>
    <r>
      <t>T</t>
    </r>
    <r>
      <rPr>
        <vertAlign val="subscript"/>
        <sz val="11"/>
        <rFont val="ＭＳ Ｐゴシック"/>
        <family val="3"/>
      </rPr>
      <t>e</t>
    </r>
    <r>
      <rPr>
        <sz val="11"/>
        <rFont val="ＭＳ Ｐゴシック"/>
        <family val="3"/>
      </rPr>
      <t xml:space="preserve"> (d)</t>
    </r>
  </si>
  <si>
    <t>(d)</t>
  </si>
  <si>
    <r>
      <t>ΣU</t>
    </r>
    <r>
      <rPr>
        <vertAlign val="subscript"/>
        <sz val="11"/>
        <rFont val="ＭＳ Ｐゴシック"/>
        <family val="3"/>
      </rPr>
      <t>m,Wrain</t>
    </r>
    <r>
      <rPr>
        <sz val="11"/>
        <rFont val="ＭＳ Ｐゴシック"/>
        <family val="3"/>
      </rPr>
      <t xml:space="preserve"> (g/ha)</t>
    </r>
  </si>
  <si>
    <r>
      <t>ΣU</t>
    </r>
    <r>
      <rPr>
        <vertAlign val="subscript"/>
        <sz val="11"/>
        <rFont val="ＭＳ Ｐゴシック"/>
        <family val="3"/>
      </rPr>
      <t>m,Wrain-1</t>
    </r>
    <r>
      <rPr>
        <sz val="11"/>
        <rFont val="ＭＳ Ｐゴシック"/>
        <family val="3"/>
      </rPr>
      <t xml:space="preserve"> (g/ha)</t>
    </r>
  </si>
  <si>
    <r>
      <t>U</t>
    </r>
    <r>
      <rPr>
        <vertAlign val="subscript"/>
        <sz val="11"/>
        <rFont val="ＭＳ Ｐゴシック"/>
        <family val="3"/>
      </rPr>
      <t>m,Wrain</t>
    </r>
    <r>
      <rPr>
        <sz val="11"/>
        <rFont val="ＭＳ Ｐゴシック"/>
        <family val="3"/>
      </rPr>
      <t xml:space="preserve"> (g/ha)</t>
    </r>
  </si>
  <si>
    <r>
      <t>U</t>
    </r>
    <r>
      <rPr>
        <vertAlign val="subscript"/>
        <sz val="11"/>
        <rFont val="ＭＳ Ｐゴシック"/>
        <family val="3"/>
      </rPr>
      <t>m,Wrain-1</t>
    </r>
    <r>
      <rPr>
        <sz val="11"/>
        <rFont val="ＭＳ Ｐゴシック"/>
        <family val="3"/>
      </rPr>
      <t xml:space="preserve"> (g/ha)</t>
    </r>
  </si>
  <si>
    <r>
      <t>U</t>
    </r>
    <r>
      <rPr>
        <vertAlign val="subscript"/>
        <sz val="11"/>
        <rFont val="ＭＳ Ｐゴシック"/>
        <family val="3"/>
      </rPr>
      <t>tinit+Δtr×k</t>
    </r>
    <r>
      <rPr>
        <sz val="11"/>
        <rFont val="ＭＳ Ｐゴシック"/>
        <family val="3"/>
      </rPr>
      <t xml:space="preserve"> (g/ha)</t>
    </r>
  </si>
  <si>
    <t>施用法法フラグにより自動変更</t>
  </si>
  <si>
    <t>地上防除:土壌混和or潅注0.1, 航空防除:茎葉散布0.3orそれ以外1</t>
  </si>
  <si>
    <t>果樹以外0.2, 果樹5.8, 航空防除2.0,くん蒸剤･土壌処理剤0%</t>
  </si>
  <si>
    <t>回目</t>
  </si>
  <si>
    <t>総和</t>
  </si>
  <si>
    <t>Tier1</t>
  </si>
  <si>
    <t>Tier2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</si>
</sst>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_ "/>
    <numFmt numFmtId="179" formatCode="0.000_ "/>
    <numFmt numFmtId="180" formatCode="0.0000_);[Red]\(0.0000\)"/>
    <numFmt numFmtId="181" formatCode="0.0000"/>
    <numFmt numFmtId="182" formatCode="0.0000_ 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_);[Red]\(0.0000000000\)"/>
    <numFmt numFmtId="189" formatCode="0_);[Red]\(0\)"/>
    <numFmt numFmtId="190" formatCode="0.00000_);[Red]\(0.00000\)"/>
    <numFmt numFmtId="191" formatCode="0.00000_ "/>
    <numFmt numFmtId="192" formatCode="0.0000000_ "/>
    <numFmt numFmtId="193" formatCode="0.000_);[Red]\(0.000\)"/>
    <numFmt numFmtId="194" formatCode="0_ "/>
    <numFmt numFmtId="195" formatCode="0.0"/>
    <numFmt numFmtId="196" formatCode="0.000"/>
    <numFmt numFmtId="197" formatCode="0.00000000"/>
    <numFmt numFmtId="198" formatCode="0.0000000"/>
    <numFmt numFmtId="199" formatCode="0.000000"/>
    <numFmt numFmtId="200" formatCode="0.00000"/>
    <numFmt numFmtId="201" formatCode="0.0000000000000_ "/>
    <numFmt numFmtId="202" formatCode="0.000000000000_ "/>
    <numFmt numFmtId="203" formatCode="0.00000000000_ "/>
    <numFmt numFmtId="204" formatCode="0.0000000000_ "/>
    <numFmt numFmtId="205" formatCode="0.000000000_ "/>
    <numFmt numFmtId="206" formatCode="0.00000000_ "/>
    <numFmt numFmtId="207" formatCode="0.000000_ "/>
    <numFmt numFmtId="208" formatCode="0.00_);[Red]\(0.00\)"/>
    <numFmt numFmtId="209" formatCode="0.000000000"/>
    <numFmt numFmtId="210" formatCode="0.0000000000"/>
    <numFmt numFmtId="211" formatCode="#,##0.0;[Red]\-#,##0.0"/>
    <numFmt numFmtId="212" formatCode="0.0000E+00"/>
    <numFmt numFmtId="213" formatCode="0.000E+00"/>
    <numFmt numFmtId="214" formatCode="0.0E+00"/>
    <numFmt numFmtId="215" formatCode="0.00000E+00"/>
    <numFmt numFmtId="216" formatCode="#,##0.000;[Red]\-#,##0.000"/>
    <numFmt numFmtId="217" formatCode="#,##0.0000;[Red]\-#,##0.0000"/>
    <numFmt numFmtId="218" formatCode="#,##0.00000;[Red]\-#,##0.00000"/>
    <numFmt numFmtId="219" formatCode="#,##0.000000;[Red]\-#,##0.000000"/>
    <numFmt numFmtId="220" formatCode="#,##0.0000000;[Red]\-#,##0.0000000"/>
    <numFmt numFmtId="221" formatCode="#,##0.00000000;[Red]\-#,##0.00000000"/>
    <numFmt numFmtId="222" formatCode="#,##0.000000000;[Red]\-#,##0.000000000"/>
    <numFmt numFmtId="223" formatCode="#,##0.0000000000;[Red]\-#,##0.0000000000"/>
    <numFmt numFmtId="224" formatCode="0.00000000000"/>
    <numFmt numFmtId="225" formatCode="0.000000000000"/>
    <numFmt numFmtId="226" formatCode="0.0000000_);[Red]\(0.0000000\)"/>
    <numFmt numFmtId="227" formatCode="0.000000_);[Red]\(0.000000\)"/>
    <numFmt numFmtId="228" formatCode="0.00000000_);[Red]\(0.00000000\)"/>
    <numFmt numFmtId="229" formatCode="0.000000000_);[Red]\(0.000000000\)"/>
    <numFmt numFmtId="230" formatCode="0.0000000000000_);[Red]\(0.0000000000000\)"/>
    <numFmt numFmtId="231" formatCode="0.000000000000_);[Red]\(0.000000000000\)"/>
    <numFmt numFmtId="232" formatCode="0.00000000000_);[Red]\(0.00000000000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b/>
      <i/>
      <u val="single"/>
      <sz val="11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5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/>
    </xf>
    <xf numFmtId="0" fontId="0" fillId="34" borderId="19" xfId="0" applyFill="1" applyBorder="1" applyAlignment="1">
      <alignment/>
    </xf>
    <xf numFmtId="179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182" fontId="0" fillId="0" borderId="13" xfId="0" applyNumberFormat="1" applyBorder="1" applyAlignment="1" quotePrefix="1">
      <alignment/>
    </xf>
    <xf numFmtId="178" fontId="8" fillId="0" borderId="13" xfId="0" applyNumberFormat="1" applyFont="1" applyBorder="1" applyAlignment="1">
      <alignment/>
    </xf>
    <xf numFmtId="181" fontId="0" fillId="33" borderId="13" xfId="0" applyNumberFormat="1" applyFill="1" applyBorder="1" applyAlignment="1">
      <alignment/>
    </xf>
    <xf numFmtId="0" fontId="8" fillId="0" borderId="13" xfId="0" applyFont="1" applyBorder="1" applyAlignment="1">
      <alignment/>
    </xf>
    <xf numFmtId="0" fontId="0" fillId="33" borderId="19" xfId="0" applyFill="1" applyBorder="1" applyAlignment="1">
      <alignment/>
    </xf>
    <xf numFmtId="181" fontId="0" fillId="33" borderId="19" xfId="0" applyNumberFormat="1" applyFill="1" applyBorder="1" applyAlignment="1">
      <alignment/>
    </xf>
    <xf numFmtId="0" fontId="0" fillId="33" borderId="22" xfId="0" applyFill="1" applyBorder="1" applyAlignment="1">
      <alignment/>
    </xf>
    <xf numFmtId="196" fontId="0" fillId="33" borderId="23" xfId="0" applyNumberFormat="1" applyFill="1" applyBorder="1" applyAlignment="1">
      <alignment/>
    </xf>
    <xf numFmtId="0" fontId="0" fillId="33" borderId="24" xfId="0" applyFill="1" applyBorder="1" applyAlignment="1">
      <alignment/>
    </xf>
    <xf numFmtId="2" fontId="0" fillId="33" borderId="25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26" xfId="0" applyBorder="1" applyAlignment="1">
      <alignment/>
    </xf>
    <xf numFmtId="182" fontId="0" fillId="33" borderId="2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6" xfId="0" applyBorder="1" applyAlignment="1">
      <alignment horizontal="center" vertical="center"/>
    </xf>
    <xf numFmtId="199" fontId="0" fillId="0" borderId="13" xfId="0" applyNumberFormat="1" applyBorder="1" applyAlignment="1">
      <alignment horizontal="center" vertical="center"/>
    </xf>
    <xf numFmtId="0" fontId="0" fillId="0" borderId="27" xfId="0" applyBorder="1" applyAlignment="1">
      <alignment shrinkToFi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178" fontId="8" fillId="0" borderId="13" xfId="0" applyNumberFormat="1" applyFont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82" fontId="0" fillId="35" borderId="30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179" fontId="0" fillId="0" borderId="28" xfId="0" applyNumberFormat="1" applyBorder="1" applyAlignment="1">
      <alignment/>
    </xf>
    <xf numFmtId="179" fontId="0" fillId="33" borderId="28" xfId="0" applyNumberFormat="1" applyFill="1" applyBorder="1" applyAlignment="1">
      <alignment horizontal="center" vertical="center"/>
    </xf>
    <xf numFmtId="0" fontId="12" fillId="0" borderId="0" xfId="0" applyFont="1" applyAlignment="1">
      <alignment/>
    </xf>
    <xf numFmtId="209" fontId="0" fillId="36" borderId="31" xfId="0" applyNumberFormat="1" applyFill="1" applyBorder="1" applyAlignment="1" quotePrefix="1">
      <alignment horizontal="center" vertical="center"/>
    </xf>
    <xf numFmtId="205" fontId="0" fillId="36" borderId="31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6" fontId="0" fillId="0" borderId="0" xfId="58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182" fontId="0" fillId="35" borderId="33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35" borderId="33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shrinkToFit="1"/>
    </xf>
    <xf numFmtId="0" fontId="0" fillId="33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29" xfId="0" applyFont="1" applyBorder="1" applyAlignment="1">
      <alignment shrinkToFit="1"/>
    </xf>
    <xf numFmtId="11" fontId="0" fillId="33" borderId="13" xfId="49" applyNumberFormat="1" applyFont="1" applyFill="1" applyBorder="1" applyAlignment="1">
      <alignment/>
    </xf>
    <xf numFmtId="217" fontId="0" fillId="0" borderId="13" xfId="49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7" borderId="13" xfId="0" applyFont="1" applyFill="1" applyBorder="1" applyAlignment="1">
      <alignment vertical="top" wrapText="1"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top"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/>
    </xf>
    <xf numFmtId="0" fontId="0" fillId="0" borderId="13" xfId="0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37" borderId="13" xfId="0" applyFont="1" applyFill="1" applyBorder="1" applyAlignment="1">
      <alignment horizontal="center" vertical="top" shrinkToFit="1"/>
    </xf>
    <xf numFmtId="0" fontId="0" fillId="37" borderId="13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shrinkToFit="1"/>
    </xf>
    <xf numFmtId="0" fontId="0" fillId="0" borderId="13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7" borderId="13" xfId="0" applyFont="1" applyFill="1" applyBorder="1" applyAlignment="1">
      <alignment vertical="center" wrapText="1"/>
    </xf>
    <xf numFmtId="0" fontId="0" fillId="37" borderId="13" xfId="0" applyFont="1" applyFill="1" applyBorder="1" applyAlignment="1">
      <alignment horizontal="center" shrinkToFit="1"/>
    </xf>
    <xf numFmtId="0" fontId="0" fillId="37" borderId="13" xfId="0" applyFont="1" applyFill="1" applyBorder="1" applyAlignment="1">
      <alignment/>
    </xf>
    <xf numFmtId="194" fontId="0" fillId="33" borderId="29" xfId="0" applyNumberFormat="1" applyFont="1" applyFill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0" borderId="42" xfId="0" applyFont="1" applyFill="1" applyBorder="1" applyAlignment="1">
      <alignment shrinkToFit="1"/>
    </xf>
    <xf numFmtId="0" fontId="15" fillId="0" borderId="33" xfId="0" applyFont="1" applyFill="1" applyBorder="1" applyAlignment="1">
      <alignment/>
    </xf>
    <xf numFmtId="0" fontId="15" fillId="0" borderId="33" xfId="0" applyFont="1" applyFill="1" applyBorder="1" applyAlignment="1">
      <alignment horizontal="right"/>
    </xf>
    <xf numFmtId="195" fontId="15" fillId="0" borderId="33" xfId="0" applyNumberFormat="1" applyFont="1" applyFill="1" applyBorder="1" applyAlignment="1">
      <alignment shrinkToFit="1"/>
    </xf>
    <xf numFmtId="0" fontId="15" fillId="0" borderId="28" xfId="0" applyFont="1" applyFill="1" applyBorder="1" applyAlignment="1">
      <alignment/>
    </xf>
    <xf numFmtId="0" fontId="15" fillId="0" borderId="13" xfId="0" applyFont="1" applyFill="1" applyBorder="1" applyAlignment="1">
      <alignment shrinkToFit="1"/>
    </xf>
    <xf numFmtId="1" fontId="15" fillId="0" borderId="13" xfId="0" applyNumberFormat="1" applyFont="1" applyFill="1" applyBorder="1" applyAlignment="1">
      <alignment shrinkToFit="1"/>
    </xf>
    <xf numFmtId="196" fontId="15" fillId="0" borderId="13" xfId="0" applyNumberFormat="1" applyFont="1" applyFill="1" applyBorder="1" applyAlignment="1">
      <alignment shrinkToFit="1"/>
    </xf>
    <xf numFmtId="195" fontId="15" fillId="0" borderId="13" xfId="0" applyNumberFormat="1" applyFont="1" applyFill="1" applyBorder="1" applyAlignment="1">
      <alignment shrinkToFit="1"/>
    </xf>
    <xf numFmtId="0" fontId="16" fillId="0" borderId="0" xfId="0" applyFont="1" applyFill="1" applyAlignment="1">
      <alignment/>
    </xf>
    <xf numFmtId="196" fontId="0" fillId="37" borderId="13" xfId="0" applyNumberFormat="1" applyFont="1" applyFill="1" applyBorder="1" applyAlignment="1">
      <alignment shrinkToFit="1"/>
    </xf>
    <xf numFmtId="38" fontId="0" fillId="37" borderId="13" xfId="0" applyNumberFormat="1" applyFont="1" applyFill="1" applyBorder="1" applyAlignment="1">
      <alignment shrinkToFit="1"/>
    </xf>
    <xf numFmtId="0" fontId="0" fillId="37" borderId="13" xfId="0" applyFont="1" applyFill="1" applyBorder="1" applyAlignment="1">
      <alignment shrinkToFit="1"/>
    </xf>
    <xf numFmtId="1" fontId="0" fillId="37" borderId="13" xfId="0" applyNumberFormat="1" applyFont="1" applyFill="1" applyBorder="1" applyAlignment="1">
      <alignment/>
    </xf>
    <xf numFmtId="195" fontId="0" fillId="37" borderId="13" xfId="0" applyNumberFormat="1" applyFont="1" applyFill="1" applyBorder="1" applyAlignment="1">
      <alignment/>
    </xf>
    <xf numFmtId="0" fontId="0" fillId="37" borderId="13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43" xfId="0" applyFont="1" applyFill="1" applyBorder="1" applyAlignment="1">
      <alignment shrinkToFit="1"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 horizontal="right"/>
    </xf>
    <xf numFmtId="195" fontId="15" fillId="0" borderId="44" xfId="0" applyNumberFormat="1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45" xfId="0" applyFont="1" applyFill="1" applyBorder="1" applyAlignment="1">
      <alignment shrinkToFit="1"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right"/>
    </xf>
    <xf numFmtId="195" fontId="15" fillId="0" borderId="46" xfId="0" applyNumberFormat="1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15" fillId="0" borderId="47" xfId="0" applyFont="1" applyFill="1" applyBorder="1" applyAlignment="1">
      <alignment/>
    </xf>
    <xf numFmtId="0" fontId="15" fillId="0" borderId="48" xfId="0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195" fontId="15" fillId="0" borderId="25" xfId="0" applyNumberFormat="1" applyFont="1" applyFill="1" applyBorder="1" applyAlignment="1">
      <alignment shrinkToFit="1"/>
    </xf>
    <xf numFmtId="0" fontId="15" fillId="0" borderId="19" xfId="0" applyFont="1" applyFill="1" applyBorder="1" applyAlignment="1">
      <alignment shrinkToFit="1"/>
    </xf>
    <xf numFmtId="195" fontId="15" fillId="0" borderId="19" xfId="0" applyNumberFormat="1" applyFont="1" applyFill="1" applyBorder="1" applyAlignment="1">
      <alignment shrinkToFit="1"/>
    </xf>
    <xf numFmtId="0" fontId="0" fillId="0" borderId="41" xfId="0" applyFont="1" applyBorder="1" applyAlignment="1">
      <alignment/>
    </xf>
    <xf numFmtId="1" fontId="0" fillId="33" borderId="30" xfId="0" applyNumberFormat="1" applyFont="1" applyFill="1" applyBorder="1" applyAlignment="1">
      <alignment shrinkToFit="1"/>
    </xf>
    <xf numFmtId="196" fontId="0" fillId="33" borderId="30" xfId="0" applyNumberFormat="1" applyFont="1" applyFill="1" applyBorder="1" applyAlignment="1">
      <alignment shrinkToFit="1"/>
    </xf>
    <xf numFmtId="1" fontId="0" fillId="33" borderId="35" xfId="0" applyNumberFormat="1" applyFont="1" applyFill="1" applyBorder="1" applyAlignment="1">
      <alignment shrinkToFit="1"/>
    </xf>
    <xf numFmtId="195" fontId="0" fillId="33" borderId="30" xfId="0" applyNumberFormat="1" applyFont="1" applyFill="1" applyBorder="1" applyAlignment="1">
      <alignment shrinkToFit="1"/>
    </xf>
    <xf numFmtId="196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49" xfId="0" applyFont="1" applyFill="1" applyBorder="1" applyAlignment="1">
      <alignment/>
    </xf>
    <xf numFmtId="0" fontId="0" fillId="33" borderId="49" xfId="0" applyFont="1" applyFill="1" applyBorder="1" applyAlignment="1">
      <alignment horizontal="right"/>
    </xf>
    <xf numFmtId="181" fontId="0" fillId="33" borderId="49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Alignment="1">
      <alignment shrinkToFit="1"/>
    </xf>
    <xf numFmtId="0" fontId="0" fillId="38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200" fontId="0" fillId="0" borderId="0" xfId="0" applyNumberFormat="1" applyFont="1" applyFill="1" applyBorder="1" applyAlignment="1">
      <alignment shrinkToFit="1"/>
    </xf>
    <xf numFmtId="181" fontId="0" fillId="0" borderId="0" xfId="0" applyNumberFormat="1" applyFont="1" applyAlignment="1">
      <alignment/>
    </xf>
    <xf numFmtId="0" fontId="0" fillId="0" borderId="32" xfId="0" applyBorder="1" applyAlignment="1">
      <alignment horizontal="center"/>
    </xf>
    <xf numFmtId="38" fontId="0" fillId="0" borderId="50" xfId="49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29" xfId="0" applyFont="1" applyFill="1" applyBorder="1" applyAlignment="1">
      <alignment shrinkToFit="1"/>
    </xf>
    <xf numFmtId="0" fontId="0" fillId="0" borderId="17" xfId="0" applyFont="1" applyFill="1" applyBorder="1" applyAlignment="1">
      <alignment shrinkToFit="1"/>
    </xf>
    <xf numFmtId="0" fontId="0" fillId="0" borderId="41" xfId="0" applyFont="1" applyFill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0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3" xfId="0" applyNumberFormat="1" applyBorder="1" applyAlignment="1" quotePrefix="1">
      <alignment horizontal="center" vertical="center"/>
    </xf>
    <xf numFmtId="0" fontId="0" fillId="0" borderId="12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9" fontId="0" fillId="35" borderId="56" xfId="0" applyNumberFormat="1" applyFill="1" applyBorder="1" applyAlignment="1">
      <alignment horizontal="center" vertical="center"/>
    </xf>
    <xf numFmtId="189" fontId="0" fillId="35" borderId="49" xfId="0" applyNumberFormat="1" applyFill="1" applyBorder="1" applyAlignment="1">
      <alignment horizontal="center" vertical="center"/>
    </xf>
    <xf numFmtId="189" fontId="0" fillId="35" borderId="57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Alignment="1">
      <alignment horizontal="left" shrinkToFit="1"/>
    </xf>
    <xf numFmtId="0" fontId="0" fillId="0" borderId="58" xfId="0" applyBorder="1" applyAlignment="1">
      <alignment/>
    </xf>
    <xf numFmtId="0" fontId="0" fillId="0" borderId="26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vertical="top" wrapText="1"/>
    </xf>
    <xf numFmtId="0" fontId="0" fillId="37" borderId="13" xfId="0" applyFont="1" applyFill="1" applyBorder="1" applyAlignment="1">
      <alignment vertical="top" wrapText="1"/>
    </xf>
    <xf numFmtId="0" fontId="9" fillId="37" borderId="29" xfId="0" applyFont="1" applyFill="1" applyBorder="1" applyAlignment="1">
      <alignment horizontal="center" vertical="top" wrapText="1"/>
    </xf>
    <xf numFmtId="0" fontId="9" fillId="37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37" borderId="29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22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47"/>
        </patternFill>
      </fill>
    </dxf>
    <dxf>
      <font>
        <color auto="1"/>
      </font>
      <fill>
        <patternFill>
          <bgColor indexed="41"/>
        </patternFill>
      </fill>
    </dxf>
    <dxf>
      <font>
        <color rgb="FF000000"/>
      </font>
      <fill>
        <patternFill>
          <bgColor rgb="FFFFCC99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C0C0C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'第２段階（水田）地上防除 '!$Q$22:$Q$26</c:f>
              <c:numCache/>
            </c:numRef>
          </c:xVal>
          <c:yVal>
            <c:numRef>
              <c:f>'第２段階（水田）地上防除 '!$R$22:$R$26</c:f>
              <c:numCache/>
            </c:numRef>
          </c:yVal>
          <c:smooth val="0"/>
        </c:ser>
        <c:axId val="9788808"/>
        <c:axId val="20990409"/>
      </c:scatterChart>
      <c:valAx>
        <c:axId val="9788808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90409"/>
        <c:crosses val="autoZero"/>
        <c:crossBetween val="midCat"/>
        <c:dispUnits/>
      </c:valAx>
      <c:valAx>
        <c:axId val="20990409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880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'第２段階（水田）航空防除'!$Q$22:$Q$26</c:f>
              <c:numCache/>
            </c:numRef>
          </c:xVal>
          <c:yVal>
            <c:numRef>
              <c:f>'第２段階（水田）航空防除'!$R$22:$R$26</c:f>
              <c:numCache/>
            </c:numRef>
          </c:yVal>
          <c:smooth val="0"/>
        </c:ser>
        <c:axId val="54695954"/>
        <c:axId val="22501539"/>
      </c:scatterChart>
      <c:valAx>
        <c:axId val="54695954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1539"/>
        <c:crosses val="autoZero"/>
        <c:crossBetween val="midCat"/>
        <c:dispUnits/>
      </c:valAx>
      <c:valAx>
        <c:axId val="22501539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59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2</xdr:row>
      <xdr:rowOff>161925</xdr:rowOff>
    </xdr:from>
    <xdr:to>
      <xdr:col>18</xdr:col>
      <xdr:colOff>638175</xdr:colOff>
      <xdr:row>17</xdr:row>
      <xdr:rowOff>19050</xdr:rowOff>
    </xdr:to>
    <xdr:graphicFrame>
      <xdr:nvGraphicFramePr>
        <xdr:cNvPr id="1" name="Chart 5"/>
        <xdr:cNvGraphicFramePr/>
      </xdr:nvGraphicFramePr>
      <xdr:xfrm>
        <a:off x="11258550" y="600075"/>
        <a:ext cx="2962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2</xdr:row>
      <xdr:rowOff>161925</xdr:rowOff>
    </xdr:from>
    <xdr:to>
      <xdr:col>18</xdr:col>
      <xdr:colOff>638175</xdr:colOff>
      <xdr:row>17</xdr:row>
      <xdr:rowOff>19050</xdr:rowOff>
    </xdr:to>
    <xdr:graphicFrame>
      <xdr:nvGraphicFramePr>
        <xdr:cNvPr id="1" name="Chart 5"/>
        <xdr:cNvGraphicFramePr/>
      </xdr:nvGraphicFramePr>
      <xdr:xfrm>
        <a:off x="11087100" y="600075"/>
        <a:ext cx="2962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30465;&#65420;&#65383;&#65394;&#65433;\&#36786;&#34220;&#26908;&#26619;&#25152;&#20316;&#25104;\&#27700;&#28609;PEC&#12398;&#35336;&#31639;&#12288;&#31532;&#65298;&#27573;&#38542;&#12288;&#34220;&#26908;&#35430;&#20316;&#12471;&#12540;&#12488;&#12288;H18-7-1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残半減期の計算（一次反応）"/>
      <sheetName val="1回散布"/>
      <sheetName val="2回散布"/>
      <sheetName val="3回散布"/>
      <sheetName val="4回散布"/>
      <sheetName val="5回散布"/>
      <sheetName val="6回散布"/>
      <sheetName val="7回散布"/>
      <sheetName val="8回散布"/>
      <sheetName val="第２段階（水田）地上防除 "/>
      <sheetName val="水田水中半減期の計算"/>
      <sheetName val="第２段階（水田）航空防除"/>
    </sheetNames>
    <sheetDataSet>
      <sheetData sheetId="2">
        <row r="1">
          <cell r="J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2" max="2" width="7.125" style="0" customWidth="1"/>
    <col min="4" max="4" width="9.25390625" style="0" bestFit="1" customWidth="1"/>
    <col min="5" max="5" width="4.875" style="0" customWidth="1"/>
    <col min="7" max="7" width="4.875" style="0" customWidth="1"/>
    <col min="8" max="8" width="6.875" style="0" customWidth="1"/>
  </cols>
  <sheetData>
    <row r="1" spans="1:3" ht="13.5">
      <c r="A1" s="71" t="s">
        <v>83</v>
      </c>
      <c r="B1" s="71"/>
      <c r="C1" s="71"/>
    </row>
    <row r="2" ht="13.5">
      <c r="A2" t="s">
        <v>75</v>
      </c>
    </row>
    <row r="4" ht="13.5">
      <c r="F4" s="69"/>
    </row>
    <row r="5" spans="1:3" ht="13.5">
      <c r="A5" s="66"/>
      <c r="B5" s="66"/>
      <c r="C5" t="s">
        <v>80</v>
      </c>
    </row>
    <row r="6" spans="1:9" ht="14.25" thickBot="1">
      <c r="A6" s="201" t="s">
        <v>79</v>
      </c>
      <c r="B6" s="201"/>
      <c r="C6" s="199" t="s">
        <v>78</v>
      </c>
      <c r="D6" s="199"/>
      <c r="E6" s="67" t="s">
        <v>76</v>
      </c>
      <c r="F6" s="68" t="s">
        <v>77</v>
      </c>
      <c r="G6" s="67" t="s">
        <v>76</v>
      </c>
      <c r="H6" s="68" t="s">
        <v>85</v>
      </c>
      <c r="I6" s="65"/>
    </row>
    <row r="7" spans="1:8" ht="15.75">
      <c r="A7" s="201"/>
      <c r="B7" s="201"/>
      <c r="C7" s="200" t="s">
        <v>84</v>
      </c>
      <c r="D7" s="200"/>
      <c r="E7" s="200"/>
      <c r="F7" s="200"/>
      <c r="G7" s="200"/>
      <c r="H7" s="200"/>
    </row>
  </sheetData>
  <sheetProtection/>
  <mergeCells count="3">
    <mergeCell ref="C6:D6"/>
    <mergeCell ref="C7:H7"/>
    <mergeCell ref="A6:B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3.5" outlineLevelRow="1" outlineLevelCol="1"/>
  <cols>
    <col min="1" max="1" width="2.375" style="0" customWidth="1"/>
    <col min="2" max="2" width="11.25390625" style="0" customWidth="1"/>
    <col min="3" max="3" width="6.75390625" style="0" customWidth="1"/>
    <col min="4" max="4" width="7.00390625" style="0" customWidth="1"/>
    <col min="5" max="5" width="6.75390625" style="0" customWidth="1"/>
    <col min="6" max="6" width="13.50390625" style="0" customWidth="1"/>
    <col min="7" max="7" width="11.875" style="0" customWidth="1"/>
    <col min="8" max="13" width="11.625" style="0" customWidth="1"/>
    <col min="14" max="14" width="12.75390625" style="0" customWidth="1"/>
    <col min="15" max="15" width="2.375" style="0" customWidth="1"/>
    <col min="16" max="16" width="2.50390625" style="0" customWidth="1"/>
    <col min="17" max="17" width="22.375" style="0" customWidth="1" outlineLevel="1"/>
    <col min="18" max="19" width="9.00390625" style="0" customWidth="1" outlineLevel="1"/>
  </cols>
  <sheetData>
    <row r="1" spans="2:5" ht="17.25">
      <c r="B1" s="70" t="s">
        <v>2</v>
      </c>
      <c r="C1" s="71"/>
      <c r="D1" s="71"/>
      <c r="E1" s="71"/>
    </row>
    <row r="2" spans="2:14" ht="17.25">
      <c r="B2" s="62" t="s">
        <v>3</v>
      </c>
      <c r="F2" s="1"/>
      <c r="K2" s="2"/>
      <c r="N2" s="2"/>
    </row>
    <row r="3" spans="2:11" ht="13.5">
      <c r="B3" t="s">
        <v>71</v>
      </c>
      <c r="K3" t="s">
        <v>4</v>
      </c>
    </row>
    <row r="4" spans="2:13" ht="13.5">
      <c r="B4" s="3" t="s">
        <v>5</v>
      </c>
      <c r="C4" s="4" t="s">
        <v>72</v>
      </c>
      <c r="D4" s="4"/>
      <c r="E4" s="4"/>
      <c r="F4" s="4"/>
      <c r="G4" s="4"/>
      <c r="H4" s="4"/>
      <c r="I4" s="5"/>
      <c r="K4" s="6" t="s">
        <v>6</v>
      </c>
      <c r="L4" s="6" t="s">
        <v>7</v>
      </c>
      <c r="M4" s="6" t="s">
        <v>8</v>
      </c>
    </row>
    <row r="5" spans="2:13" ht="17.25">
      <c r="B5" s="7" t="s">
        <v>9</v>
      </c>
      <c r="C5" s="8"/>
      <c r="D5" s="8"/>
      <c r="E5" s="8"/>
      <c r="F5" s="8"/>
      <c r="G5" s="8"/>
      <c r="H5" s="8"/>
      <c r="I5" s="9"/>
      <c r="K5" s="10" t="s">
        <v>10</v>
      </c>
      <c r="L5" s="10">
        <v>1</v>
      </c>
      <c r="M5" s="54" t="s">
        <v>11</v>
      </c>
    </row>
    <row r="6" spans="2:13" ht="16.5">
      <c r="B6" s="7"/>
      <c r="C6" s="8"/>
      <c r="D6" s="8"/>
      <c r="E6" s="8"/>
      <c r="F6" s="8"/>
      <c r="G6" s="8"/>
      <c r="H6" s="8"/>
      <c r="I6" s="9"/>
      <c r="K6" s="11" t="s">
        <v>12</v>
      </c>
      <c r="L6" s="10">
        <v>2.4</v>
      </c>
      <c r="M6" s="54" t="s">
        <v>13</v>
      </c>
    </row>
    <row r="7" spans="2:13" ht="16.5">
      <c r="B7" s="12"/>
      <c r="C7" s="13"/>
      <c r="D7" s="13"/>
      <c r="E7" s="13"/>
      <c r="F7" s="13"/>
      <c r="G7" s="13"/>
      <c r="H7" s="13"/>
      <c r="I7" s="14"/>
      <c r="K7" s="11" t="s">
        <v>14</v>
      </c>
      <c r="L7" s="10">
        <v>2.9</v>
      </c>
      <c r="M7" s="54" t="s">
        <v>15</v>
      </c>
    </row>
    <row r="8" spans="2:13" ht="13.5">
      <c r="B8" s="8"/>
      <c r="C8" s="8"/>
      <c r="D8" s="8"/>
      <c r="E8" s="8"/>
      <c r="F8" s="8"/>
      <c r="G8" s="8"/>
      <c r="H8" s="8"/>
      <c r="I8" s="8"/>
      <c r="K8" s="15" t="s">
        <v>16</v>
      </c>
      <c r="L8" s="16"/>
      <c r="M8" s="8"/>
    </row>
    <row r="9" spans="2:12" ht="14.25" thickBot="1">
      <c r="B9" t="s">
        <v>17</v>
      </c>
      <c r="K9" s="15" t="s">
        <v>18</v>
      </c>
      <c r="L9" s="15"/>
    </row>
    <row r="10" spans="2:12" ht="15" thickBot="1" thickTop="1">
      <c r="B10" s="6" t="s">
        <v>19</v>
      </c>
      <c r="C10" s="17" t="s">
        <v>7</v>
      </c>
      <c r="D10" s="6" t="s">
        <v>8</v>
      </c>
      <c r="F10" s="72"/>
      <c r="G10" t="s">
        <v>81</v>
      </c>
      <c r="K10" s="15" t="s">
        <v>20</v>
      </c>
      <c r="L10" s="15"/>
    </row>
    <row r="11" spans="2:12" ht="15" thickBot="1" thickTop="1">
      <c r="B11" s="3" t="s">
        <v>21</v>
      </c>
      <c r="C11" s="72">
        <v>1500</v>
      </c>
      <c r="D11" s="5" t="s">
        <v>22</v>
      </c>
      <c r="E11" s="18" t="s">
        <v>23</v>
      </c>
      <c r="K11" s="15" t="s">
        <v>86</v>
      </c>
      <c r="L11" s="15"/>
    </row>
    <row r="12" spans="2:12" ht="15" thickBot="1" thickTop="1">
      <c r="B12" s="205" t="s">
        <v>24</v>
      </c>
      <c r="C12" s="206"/>
      <c r="D12" s="207"/>
      <c r="E12" s="207"/>
      <c r="F12" s="207"/>
      <c r="G12" s="207"/>
      <c r="H12" s="72">
        <v>1</v>
      </c>
      <c r="K12" s="15" t="s">
        <v>25</v>
      </c>
      <c r="L12" s="15"/>
    </row>
    <row r="13" spans="2:12" ht="15" thickBot="1" thickTop="1">
      <c r="B13" s="202" t="s">
        <v>0</v>
      </c>
      <c r="C13" s="203"/>
      <c r="D13" s="204"/>
      <c r="E13" s="204"/>
      <c r="F13" s="204"/>
      <c r="G13" s="204"/>
      <c r="H13" s="72">
        <v>1</v>
      </c>
      <c r="I13" s="19" t="s">
        <v>26</v>
      </c>
      <c r="K13" s="15" t="s">
        <v>69</v>
      </c>
      <c r="L13" s="15"/>
    </row>
    <row r="14" spans="2:8" ht="15" thickBot="1" thickTop="1">
      <c r="B14" s="55" t="s">
        <v>27</v>
      </c>
      <c r="C14" s="72">
        <v>1</v>
      </c>
      <c r="D14" s="53" t="s">
        <v>28</v>
      </c>
      <c r="E14" s="21"/>
      <c r="F14" s="218" t="s">
        <v>29</v>
      </c>
      <c r="G14" s="219"/>
      <c r="H14" s="57">
        <f>IF(H12=0,H13,1)</f>
        <v>1</v>
      </c>
    </row>
    <row r="15" spans="2:9" ht="15" thickBot="1" thickTop="1">
      <c r="B15" s="55" t="s">
        <v>30</v>
      </c>
      <c r="C15" s="72">
        <v>135</v>
      </c>
      <c r="D15" s="14"/>
      <c r="E15" s="24"/>
      <c r="F15" s="220" t="s">
        <v>31</v>
      </c>
      <c r="G15" s="221"/>
      <c r="H15" s="58">
        <v>2</v>
      </c>
      <c r="I15" s="25" t="s">
        <v>70</v>
      </c>
    </row>
    <row r="16" spans="2:8" ht="15" thickBot="1" thickTop="1">
      <c r="B16" s="6" t="s">
        <v>32</v>
      </c>
      <c r="C16" s="23">
        <f>(Plevee/rws)*Koc*(Oclevee/100)+1</f>
        <v>2.6312499999999996</v>
      </c>
      <c r="D16" s="6"/>
      <c r="E16" s="24"/>
      <c r="F16" s="208" t="s">
        <v>33</v>
      </c>
      <c r="G16" s="208"/>
      <c r="H16" s="56">
        <f>IF(H15="",LN(2)/R28,LN(2)/H15)</f>
        <v>0.34657359027997264</v>
      </c>
    </row>
    <row r="17" spans="2:9" ht="18" thickBot="1" thickTop="1">
      <c r="B17" s="20" t="s">
        <v>34</v>
      </c>
      <c r="C17" s="17"/>
      <c r="D17" s="3"/>
      <c r="E17" s="73">
        <v>0</v>
      </c>
      <c r="F17" s="235" t="s">
        <v>67</v>
      </c>
      <c r="G17" s="236"/>
      <c r="H17" s="26">
        <f>((I*50-MDr-MDd)*ｆｐ)/(500*0.1*0.05*10000)</f>
        <v>3</v>
      </c>
      <c r="I17" t="s">
        <v>1</v>
      </c>
    </row>
    <row r="18" spans="2:9" ht="15" thickBot="1" thickTop="1">
      <c r="B18" s="59" t="s">
        <v>35</v>
      </c>
      <c r="C18" s="240">
        <v>3</v>
      </c>
      <c r="D18" s="241"/>
      <c r="E18" s="242"/>
      <c r="F18" s="60" t="s">
        <v>36</v>
      </c>
      <c r="G18" s="6">
        <f>IF(E17=0,0,0.5)</f>
        <v>0</v>
      </c>
      <c r="H18" s="6" t="s">
        <v>37</v>
      </c>
      <c r="I18" s="6">
        <f>IF(E17=0,0,4)</f>
        <v>0</v>
      </c>
    </row>
    <row r="19" spans="9:17" ht="14.25" thickTop="1">
      <c r="I19" s="27"/>
      <c r="Q19" t="s">
        <v>38</v>
      </c>
    </row>
    <row r="20" spans="2:18" ht="27">
      <c r="B20" s="210" t="s">
        <v>39</v>
      </c>
      <c r="C20" s="243" t="s">
        <v>40</v>
      </c>
      <c r="D20" s="244"/>
      <c r="E20" s="244"/>
      <c r="F20" s="245"/>
      <c r="G20" s="49" t="s">
        <v>49</v>
      </c>
      <c r="H20" s="49" t="s">
        <v>50</v>
      </c>
      <c r="I20" s="49" t="s">
        <v>51</v>
      </c>
      <c r="J20" s="50" t="s">
        <v>52</v>
      </c>
      <c r="K20" s="50" t="s">
        <v>53</v>
      </c>
      <c r="L20" s="49" t="s">
        <v>54</v>
      </c>
      <c r="M20" s="49" t="s">
        <v>55</v>
      </c>
      <c r="N20" s="251" t="s">
        <v>46</v>
      </c>
      <c r="Q20" s="210" t="s">
        <v>39</v>
      </c>
      <c r="R20" s="30" t="s">
        <v>40</v>
      </c>
    </row>
    <row r="21" spans="2:18" ht="17.25" thickBot="1">
      <c r="B21" s="210"/>
      <c r="C21" s="212" t="s">
        <v>47</v>
      </c>
      <c r="D21" s="213"/>
      <c r="E21" s="214"/>
      <c r="F21" s="29" t="s">
        <v>48</v>
      </c>
      <c r="G21" s="28" t="s">
        <v>41</v>
      </c>
      <c r="H21" s="28"/>
      <c r="I21" s="28"/>
      <c r="J21" s="28" t="s">
        <v>42</v>
      </c>
      <c r="K21" s="28" t="s">
        <v>43</v>
      </c>
      <c r="L21" s="28" t="s">
        <v>44</v>
      </c>
      <c r="M21" s="28" t="s">
        <v>45</v>
      </c>
      <c r="N21" s="252"/>
      <c r="Q21" s="210"/>
      <c r="R21" s="29" t="s">
        <v>47</v>
      </c>
    </row>
    <row r="22" spans="2:18" ht="15" thickBot="1" thickTop="1">
      <c r="B22" s="55">
        <v>0</v>
      </c>
      <c r="C22" s="215">
        <v>3</v>
      </c>
      <c r="D22" s="216"/>
      <c r="E22" s="217"/>
      <c r="F22" s="61">
        <f>C22</f>
        <v>3</v>
      </c>
      <c r="G22" s="31">
        <f aca="true" t="shared" si="0" ref="G22:G36">IF(B22&lt;=tinit,F22*EXP(-0.04*B22),F22*EXP(-1*(0.04*tinit+0.1*((B22-tinit)))))</f>
        <v>3</v>
      </c>
      <c r="H22" s="233">
        <f ca="1">IF(tinit=0,0,IF(tinit=1,(G22+G23)/2*散布回数,(SUM(G23:OFFSET(G22,tinit-1,0,1,1))+(G22+OFFSET(G22,tinit,0,1,1))/2)*散布回数))</f>
        <v>9.11178930793115</v>
      </c>
      <c r="I22" s="233">
        <f ca="1">(SUM(OFFSET(G22,tinit+1,0,,1):G35)+(OFFSET(G22,tinit,0,,1)+G36)/2)*散布回数</f>
        <v>26.60892854962588</v>
      </c>
      <c r="J22" s="222">
        <f>(I22*30*50*ffp)+(I39*30*50)</f>
        <v>39975.23377508878</v>
      </c>
      <c r="K22" s="253">
        <f>((H22*20*50*ffp)/Klevee)+((I22*20*50*ffp)/Klevee)+((I39*20*50)/Klevee)</f>
        <v>13591.23806479443</v>
      </c>
      <c r="L22" s="32">
        <f>I*(Driver/100)*0.15*1*散布回数</f>
        <v>0</v>
      </c>
      <c r="M22" s="32">
        <f>I*(Dditch/100)*0.33*1*散布回数</f>
        <v>0</v>
      </c>
      <c r="N22" s="225">
        <f>J22+K22+L22+M22</f>
        <v>53566.47183988321</v>
      </c>
      <c r="Q22" s="22">
        <v>0</v>
      </c>
      <c r="R22" s="33">
        <f>$C$22</f>
        <v>3</v>
      </c>
    </row>
    <row r="23" spans="2:18" ht="15" thickBot="1" thickTop="1">
      <c r="B23" s="55">
        <v>1</v>
      </c>
      <c r="C23" s="215">
        <v>3.2</v>
      </c>
      <c r="D23" s="216"/>
      <c r="E23" s="217"/>
      <c r="F23" s="61">
        <f>C23</f>
        <v>3.2</v>
      </c>
      <c r="G23" s="31">
        <f t="shared" si="0"/>
        <v>3.0745262052874343</v>
      </c>
      <c r="H23" s="234"/>
      <c r="I23" s="234"/>
      <c r="J23" s="223"/>
      <c r="K23" s="254"/>
      <c r="L23" s="34"/>
      <c r="M23" s="34"/>
      <c r="N23" s="226"/>
      <c r="Q23" s="22">
        <v>1</v>
      </c>
      <c r="R23" s="33">
        <f>$C$23</f>
        <v>3.2</v>
      </c>
    </row>
    <row r="24" spans="2:18" ht="15" thickBot="1" thickTop="1">
      <c r="B24" s="55">
        <v>2</v>
      </c>
      <c r="C24" s="249"/>
      <c r="D24" s="226"/>
      <c r="E24" s="250"/>
      <c r="F24" s="61">
        <f>IF(C24&lt;&gt;"",C24,(C23+C25)/2)</f>
        <v>2.45</v>
      </c>
      <c r="G24" s="31">
        <f t="shared" si="0"/>
        <v>2.1299276767270743</v>
      </c>
      <c r="H24" s="234"/>
      <c r="I24" s="234"/>
      <c r="J24" s="223"/>
      <c r="K24" s="254"/>
      <c r="L24" s="34"/>
      <c r="M24" s="34"/>
      <c r="N24" s="226"/>
      <c r="Q24" s="22">
        <v>3</v>
      </c>
      <c r="R24" s="33">
        <f>$C$25</f>
        <v>1.7</v>
      </c>
    </row>
    <row r="25" spans="2:18" ht="15" thickBot="1" thickTop="1">
      <c r="B25" s="55">
        <v>3</v>
      </c>
      <c r="C25" s="215">
        <v>1.7</v>
      </c>
      <c r="D25" s="216"/>
      <c r="E25" s="217"/>
      <c r="F25" s="61">
        <f>C25</f>
        <v>1.7</v>
      </c>
      <c r="G25" s="31">
        <f t="shared" si="0"/>
        <v>1.3372673638131407</v>
      </c>
      <c r="H25" s="234"/>
      <c r="I25" s="234"/>
      <c r="J25" s="223"/>
      <c r="K25" s="254"/>
      <c r="L25" s="34"/>
      <c r="M25" s="34"/>
      <c r="N25" s="226"/>
      <c r="Q25" s="22">
        <v>7</v>
      </c>
      <c r="R25" s="33">
        <f>$C$29</f>
        <v>0.804</v>
      </c>
    </row>
    <row r="26" spans="2:18" ht="15" thickBot="1" thickTop="1">
      <c r="B26" s="55">
        <v>4</v>
      </c>
      <c r="C26" s="230"/>
      <c r="D26" s="231"/>
      <c r="E26" s="232"/>
      <c r="F26" s="61">
        <f>IF(C26&lt;&gt;"",C26,IF(C27&lt;&gt;"",F25-(F25-C27)/2,IF(C28&lt;&gt;"",F25-(F25-C28)/3,F25-(F25-C29)/4)))</f>
        <v>1.476</v>
      </c>
      <c r="G26" s="31">
        <f t="shared" si="0"/>
        <v>1.0505729963976118</v>
      </c>
      <c r="H26" s="234"/>
      <c r="I26" s="234"/>
      <c r="J26" s="223"/>
      <c r="K26" s="254"/>
      <c r="L26" s="34"/>
      <c r="M26" s="34"/>
      <c r="N26" s="226"/>
      <c r="Q26" s="35">
        <v>14</v>
      </c>
      <c r="R26" s="36">
        <f>$C$36</f>
        <v>0.0005</v>
      </c>
    </row>
    <row r="27" spans="2:18" ht="13.5">
      <c r="B27" s="55">
        <v>5</v>
      </c>
      <c r="C27" s="209"/>
      <c r="D27" s="210"/>
      <c r="E27" s="211"/>
      <c r="F27" s="61">
        <f>IF(C27&lt;&gt;"",C27,IF(C28&lt;&gt;"",F26-(F26-C28)/2,F26-(F26-C29)/3))</f>
        <v>1.252</v>
      </c>
      <c r="G27" s="31">
        <f t="shared" si="0"/>
        <v>0.806333599196093</v>
      </c>
      <c r="H27" s="234"/>
      <c r="I27" s="234"/>
      <c r="J27" s="223"/>
      <c r="K27" s="254"/>
      <c r="L27" s="34"/>
      <c r="M27" s="34"/>
      <c r="N27" s="226"/>
      <c r="Q27" s="37" t="s">
        <v>56</v>
      </c>
      <c r="R27" s="38">
        <f>-(SLOPE(LN(R22:R26),Q22:Q26))</f>
        <v>0.6157796564628669</v>
      </c>
    </row>
    <row r="28" spans="2:18" ht="14.25" thickBot="1">
      <c r="B28" s="55">
        <v>6</v>
      </c>
      <c r="C28" s="237"/>
      <c r="D28" s="238"/>
      <c r="E28" s="239"/>
      <c r="F28" s="61">
        <f>IF(C28&lt;&gt;"",C28,F27-(F27-C29)/2)</f>
        <v>1.028</v>
      </c>
      <c r="G28" s="31">
        <f t="shared" si="0"/>
        <v>0.5990652034404613</v>
      </c>
      <c r="H28" s="234"/>
      <c r="I28" s="234"/>
      <c r="J28" s="223"/>
      <c r="K28" s="254"/>
      <c r="L28" s="34"/>
      <c r="M28" s="34"/>
      <c r="N28" s="226"/>
      <c r="Q28" s="39" t="s">
        <v>57</v>
      </c>
      <c r="R28" s="40">
        <f>LN(2)/R27</f>
        <v>1.125641572086823</v>
      </c>
    </row>
    <row r="29" spans="2:14" ht="15" thickBot="1" thickTop="1">
      <c r="B29" s="55">
        <v>7</v>
      </c>
      <c r="C29" s="215">
        <v>0.804</v>
      </c>
      <c r="D29" s="216"/>
      <c r="E29" s="217"/>
      <c r="F29" s="61">
        <f>C29</f>
        <v>0.804</v>
      </c>
      <c r="G29" s="31">
        <f t="shared" si="0"/>
        <v>0.42394310893061105</v>
      </c>
      <c r="H29" s="234"/>
      <c r="I29" s="234"/>
      <c r="J29" s="223"/>
      <c r="K29" s="254"/>
      <c r="L29" s="34"/>
      <c r="M29" s="34"/>
      <c r="N29" s="226"/>
    </row>
    <row r="30" spans="2:14" ht="14.25" thickTop="1">
      <c r="B30" s="55">
        <v>8</v>
      </c>
      <c r="C30" s="230"/>
      <c r="D30" s="231"/>
      <c r="E30" s="232"/>
      <c r="F30" s="61">
        <f>IF(C30&lt;&gt;"",C30,IF(C31&lt;&gt;"",F29-(F29-C31)/2,IF(C32&lt;&gt;"",F29-(F29-C32)/3,IF(C33&lt;&gt;"",F29-(F29-C33)/4,IF(C34&lt;&gt;"",F29-(F29-C34)/5,IF(C35&lt;&gt;"",F29-(F29-C35)/6,F29-(F29-C36)/7))))))</f>
        <v>0.6892142857142858</v>
      </c>
      <c r="G30" s="31">
        <f t="shared" si="0"/>
        <v>0.3288337264901758</v>
      </c>
      <c r="H30" s="234"/>
      <c r="I30" s="234"/>
      <c r="J30" s="223"/>
      <c r="K30" s="254"/>
      <c r="L30" s="34"/>
      <c r="M30" s="34"/>
      <c r="N30" s="226"/>
    </row>
    <row r="31" spans="2:14" ht="13.5">
      <c r="B31" s="55">
        <v>9</v>
      </c>
      <c r="C31" s="209"/>
      <c r="D31" s="210"/>
      <c r="E31" s="211"/>
      <c r="F31" s="61">
        <f>IF(C31&lt;&gt;"",C31,IF(C32&lt;&gt;"",F30-(F30-C32)/2,IF(C33&lt;&gt;"",F30-(F30-C33)/3,IF(C34&lt;&gt;"",F30-(F30-C34)/4,IF(C35&lt;&gt;"",F30-(F30-C35)/5,F30-(F30-C36)/6)))))</f>
        <v>0.5744285714285715</v>
      </c>
      <c r="G31" s="31">
        <f t="shared" si="0"/>
        <v>0.2479868592440471</v>
      </c>
      <c r="H31" s="234"/>
      <c r="I31" s="234"/>
      <c r="J31" s="223"/>
      <c r="K31" s="254"/>
      <c r="L31" s="34"/>
      <c r="M31" s="34"/>
      <c r="N31" s="226"/>
    </row>
    <row r="32" spans="2:14" ht="13.5">
      <c r="B32" s="55">
        <v>10</v>
      </c>
      <c r="C32" s="209"/>
      <c r="D32" s="210"/>
      <c r="E32" s="211"/>
      <c r="F32" s="61">
        <f>IF(C32&lt;&gt;"",C32,IF(C33&lt;&gt;"",F31-(F31-C33)/2,IF(C34&lt;&gt;"",F31-(F31-C34)/3,IF(C35&lt;&gt;"",F31-(F31-C35)/4,F31-(F31-C36)/5))))</f>
        <v>0.4596428571428572</v>
      </c>
      <c r="G32" s="31">
        <f t="shared" si="0"/>
        <v>0.17954929432372024</v>
      </c>
      <c r="H32" s="234"/>
      <c r="I32" s="234"/>
      <c r="J32" s="223"/>
      <c r="K32" s="254"/>
      <c r="L32" s="34"/>
      <c r="M32" s="34"/>
      <c r="N32" s="226"/>
    </row>
    <row r="33" spans="2:14" ht="13.5">
      <c r="B33" s="55">
        <v>11</v>
      </c>
      <c r="C33" s="209"/>
      <c r="D33" s="210"/>
      <c r="E33" s="211"/>
      <c r="F33" s="61">
        <f>IF(C33&lt;&gt;"",C33,IF(C34&lt;&gt;"",F32-(F32-C34)/2,IF(C35&lt;&gt;"",F32-(F32-C35)/3,F32-(F32-C36)/4)))</f>
        <v>0.34485714285714286</v>
      </c>
      <c r="G33" s="31">
        <f t="shared" si="0"/>
        <v>0.12189137174978505</v>
      </c>
      <c r="H33" s="234"/>
      <c r="I33" s="234"/>
      <c r="J33" s="223"/>
      <c r="K33" s="254"/>
      <c r="L33" s="34"/>
      <c r="M33" s="34"/>
      <c r="N33" s="226"/>
    </row>
    <row r="34" spans="2:14" ht="13.5">
      <c r="B34" s="55">
        <v>12</v>
      </c>
      <c r="C34" s="209"/>
      <c r="D34" s="210"/>
      <c r="E34" s="211"/>
      <c r="F34" s="61">
        <f>IF(C34&lt;&gt;"",C34,IF(C35&lt;&gt;"",F33-(F33-C35)/2,F33-(F33-C36)/3))</f>
        <v>0.2300714285714286</v>
      </c>
      <c r="G34" s="31">
        <f t="shared" si="0"/>
        <v>0.07358121923359391</v>
      </c>
      <c r="H34" s="234"/>
      <c r="I34" s="234"/>
      <c r="J34" s="223"/>
      <c r="K34" s="254"/>
      <c r="L34" s="34"/>
      <c r="M34" s="34"/>
      <c r="N34" s="226"/>
    </row>
    <row r="35" spans="2:14" ht="13.5">
      <c r="B35" s="55">
        <v>13</v>
      </c>
      <c r="C35" s="209"/>
      <c r="D35" s="210"/>
      <c r="E35" s="211"/>
      <c r="F35" s="61">
        <f>IF(C35&lt;&gt;"",C35,F34-(F34-C36)/2)</f>
        <v>0.1152857142857143</v>
      </c>
      <c r="G35" s="31">
        <f t="shared" si="0"/>
        <v>0.03336186626811626</v>
      </c>
      <c r="H35" s="234"/>
      <c r="I35" s="234"/>
      <c r="J35" s="223"/>
      <c r="K35" s="254"/>
      <c r="L35" s="34"/>
      <c r="M35" s="34"/>
      <c r="N35" s="226"/>
    </row>
    <row r="36" spans="2:14" ht="14.25" thickBot="1">
      <c r="B36" s="55">
        <v>14</v>
      </c>
      <c r="C36" s="227">
        <v>0.0005</v>
      </c>
      <c r="D36" s="228"/>
      <c r="E36" s="229"/>
      <c r="F36" s="61">
        <f>C36</f>
        <v>0.0005</v>
      </c>
      <c r="G36" s="31">
        <f t="shared" si="0"/>
        <v>0.000130922834290163</v>
      </c>
      <c r="H36" s="234"/>
      <c r="I36" s="234"/>
      <c r="J36" s="223"/>
      <c r="K36" s="254"/>
      <c r="L36" s="34"/>
      <c r="M36" s="34"/>
      <c r="N36" s="226"/>
    </row>
    <row r="37" spans="2:14" ht="27" customHeight="1" hidden="1" outlineLevel="1">
      <c r="B37" s="41" t="s">
        <v>58</v>
      </c>
      <c r="C37" s="247"/>
      <c r="D37" s="247"/>
      <c r="E37" s="247"/>
      <c r="F37" s="43"/>
      <c r="G37" s="31">
        <f>C0*EXP(-1*(k+0.04)*tinit)</f>
        <v>2.0381421831510824</v>
      </c>
      <c r="H37" s="42"/>
      <c r="I37" s="42"/>
      <c r="J37" s="223"/>
      <c r="K37" s="254"/>
      <c r="L37" s="34"/>
      <c r="M37" s="34"/>
      <c r="N37" s="226"/>
    </row>
    <row r="38" spans="2:14" ht="13.5" customHeight="1" hidden="1" outlineLevel="1">
      <c r="B38" s="44" t="s">
        <v>59</v>
      </c>
      <c r="C38" s="248"/>
      <c r="D38" s="248"/>
      <c r="E38" s="248"/>
      <c r="F38" s="43"/>
      <c r="G38" s="31">
        <f>Ctinit*EXP(-(k+0.1)*(14-tinit))</f>
        <v>0.006137007857351388</v>
      </c>
      <c r="H38" s="42"/>
      <c r="I38" s="45"/>
      <c r="J38" s="223"/>
      <c r="K38" s="254"/>
      <c r="L38" s="34"/>
      <c r="M38" s="34"/>
      <c r="N38" s="226"/>
    </row>
    <row r="39" spans="2:14" ht="13.5" customHeight="1" collapsed="1" thickBot="1">
      <c r="B39" s="44" t="s">
        <v>60</v>
      </c>
      <c r="C39" s="248"/>
      <c r="D39" s="248"/>
      <c r="E39" s="248"/>
      <c r="F39" s="43"/>
      <c r="G39" s="42"/>
      <c r="H39" s="42"/>
      <c r="I39" s="46">
        <f>CalcC14/(k+0.1)*(1-EXP(-1*(k+0.1)*(150-14)))*散布回数</f>
        <v>0.04122730043330965</v>
      </c>
      <c r="J39" s="224"/>
      <c r="K39" s="255"/>
      <c r="L39" s="34"/>
      <c r="M39" s="34"/>
      <c r="N39" s="226"/>
    </row>
    <row r="40" spans="13:14" ht="15" thickBot="1" thickTop="1">
      <c r="M40" s="47" t="s">
        <v>61</v>
      </c>
      <c r="N40" s="63">
        <f>(N22)/(3756000)*1000</f>
        <v>14.261573972279876</v>
      </c>
    </row>
    <row r="41" spans="3:12" ht="14.25" customHeight="1" thickTop="1"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4" ht="13.5">
      <c r="B42" s="246" t="s">
        <v>66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</row>
    <row r="43" spans="2:11" ht="13.5">
      <c r="B43" s="48"/>
      <c r="C43" s="48"/>
      <c r="D43" s="48"/>
      <c r="E43" s="48"/>
      <c r="F43" s="48"/>
      <c r="G43" s="48"/>
      <c r="H43" s="48"/>
      <c r="I43" s="48"/>
      <c r="J43" s="48"/>
      <c r="K43" s="48"/>
    </row>
  </sheetData>
  <sheetProtection/>
  <mergeCells count="36">
    <mergeCell ref="B42:N42"/>
    <mergeCell ref="Q20:Q21"/>
    <mergeCell ref="C37:E37"/>
    <mergeCell ref="C38:E38"/>
    <mergeCell ref="C39:E39"/>
    <mergeCell ref="C24:E24"/>
    <mergeCell ref="C35:E35"/>
    <mergeCell ref="N20:N21"/>
    <mergeCell ref="K22:K39"/>
    <mergeCell ref="H22:H36"/>
    <mergeCell ref="F17:G17"/>
    <mergeCell ref="C29:E29"/>
    <mergeCell ref="C25:E25"/>
    <mergeCell ref="C26:E26"/>
    <mergeCell ref="C27:E27"/>
    <mergeCell ref="C28:E28"/>
    <mergeCell ref="C18:E18"/>
    <mergeCell ref="C20:F20"/>
    <mergeCell ref="J22:J39"/>
    <mergeCell ref="N22:N39"/>
    <mergeCell ref="C32:E32"/>
    <mergeCell ref="C36:E36"/>
    <mergeCell ref="C30:E30"/>
    <mergeCell ref="C33:E33"/>
    <mergeCell ref="C34:E34"/>
    <mergeCell ref="I22:I36"/>
    <mergeCell ref="B13:G13"/>
    <mergeCell ref="B12:G12"/>
    <mergeCell ref="F16:G16"/>
    <mergeCell ref="C31:E31"/>
    <mergeCell ref="B20:B21"/>
    <mergeCell ref="C21:E21"/>
    <mergeCell ref="C22:E22"/>
    <mergeCell ref="C23:E23"/>
    <mergeCell ref="F14:G14"/>
    <mergeCell ref="F15:G15"/>
  </mergeCells>
  <dataValidations count="3">
    <dataValidation type="list" allowBlank="1" showInputMessage="1" showErrorMessage="1" sqref="H13">
      <formula1>"0.2,0.5,1"</formula1>
    </dataValidation>
    <dataValidation type="list" allowBlank="1" showInputMessage="1" showErrorMessage="1" sqref="H12 E17">
      <formula1>"0,1"</formula1>
    </dataValidation>
    <dataValidation type="whole" allowBlank="1" showInputMessage="1" showErrorMessage="1" errorTitle="入力値が範囲外です" error="0～14の整数を入れてください。" sqref="C14">
      <formula1>0</formula1>
      <formula2>14</formula2>
    </dataValidation>
  </dataValidations>
  <printOptions/>
  <pageMargins left="0.1968503937007874" right="0.1968503937007874" top="0.5118110236220472" bottom="0.5118110236220472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3.5" outlineLevelRow="1" outlineLevelCol="1"/>
  <cols>
    <col min="1" max="1" width="2.375" style="0" customWidth="1"/>
    <col min="2" max="2" width="11.25390625" style="0" customWidth="1"/>
    <col min="3" max="3" width="6.75390625" style="0" customWidth="1"/>
    <col min="4" max="4" width="7.00390625" style="0" customWidth="1"/>
    <col min="5" max="5" width="6.75390625" style="0" customWidth="1"/>
    <col min="6" max="6" width="12.25390625" style="0" customWidth="1"/>
    <col min="7" max="7" width="10.875" style="0" customWidth="1"/>
    <col min="8" max="8" width="10.75390625" style="0" customWidth="1"/>
    <col min="9" max="13" width="11.625" style="0" customWidth="1"/>
    <col min="14" max="14" width="13.625" style="0" customWidth="1"/>
    <col min="15" max="15" width="2.375" style="0" customWidth="1"/>
    <col min="16" max="16" width="2.50390625" style="0" customWidth="1"/>
    <col min="17" max="17" width="22.375" style="0" customWidth="1" outlineLevel="1"/>
    <col min="18" max="19" width="9.00390625" style="0" customWidth="1" outlineLevel="1"/>
  </cols>
  <sheetData>
    <row r="1" spans="1:5" ht="17.25">
      <c r="A1" s="71"/>
      <c r="B1" s="70" t="s">
        <v>2</v>
      </c>
      <c r="C1" s="71"/>
      <c r="D1" s="71"/>
      <c r="E1" s="71"/>
    </row>
    <row r="2" spans="2:14" ht="17.25">
      <c r="B2" s="62" t="s">
        <v>68</v>
      </c>
      <c r="F2" s="1"/>
      <c r="K2" s="2"/>
      <c r="N2" s="2"/>
    </row>
    <row r="3" spans="2:11" ht="13.5">
      <c r="B3" t="s">
        <v>74</v>
      </c>
      <c r="K3" t="s">
        <v>4</v>
      </c>
    </row>
    <row r="4" spans="2:13" ht="13.5">
      <c r="B4" s="3" t="s">
        <v>5</v>
      </c>
      <c r="C4" s="4" t="s">
        <v>73</v>
      </c>
      <c r="D4" s="4"/>
      <c r="E4" s="4"/>
      <c r="F4" s="4"/>
      <c r="G4" s="4"/>
      <c r="H4" s="4"/>
      <c r="I4" s="5"/>
      <c r="K4" s="6" t="s">
        <v>6</v>
      </c>
      <c r="L4" s="6" t="s">
        <v>7</v>
      </c>
      <c r="M4" s="6" t="s">
        <v>8</v>
      </c>
    </row>
    <row r="5" spans="2:13" ht="17.25">
      <c r="B5" s="7" t="s">
        <v>9</v>
      </c>
      <c r="C5" s="8"/>
      <c r="D5" s="8"/>
      <c r="E5" s="8"/>
      <c r="F5" s="8"/>
      <c r="G5" s="8"/>
      <c r="H5" s="8"/>
      <c r="I5" s="9"/>
      <c r="K5" s="10" t="s">
        <v>10</v>
      </c>
      <c r="L5" s="10">
        <v>1</v>
      </c>
      <c r="M5" s="54" t="s">
        <v>11</v>
      </c>
    </row>
    <row r="6" spans="2:13" ht="16.5">
      <c r="B6" s="7"/>
      <c r="C6" s="8"/>
      <c r="D6" s="8"/>
      <c r="E6" s="8"/>
      <c r="F6" s="8"/>
      <c r="G6" s="8"/>
      <c r="H6" s="8"/>
      <c r="I6" s="9"/>
      <c r="K6" s="11" t="s">
        <v>65</v>
      </c>
      <c r="L6" s="10">
        <v>2.4</v>
      </c>
      <c r="M6" s="54" t="s">
        <v>13</v>
      </c>
    </row>
    <row r="7" spans="2:13" ht="16.5">
      <c r="B7" s="12"/>
      <c r="C7" s="13"/>
      <c r="D7" s="13"/>
      <c r="E7" s="13"/>
      <c r="F7" s="13"/>
      <c r="G7" s="13"/>
      <c r="H7" s="13"/>
      <c r="I7" s="14"/>
      <c r="K7" s="11" t="s">
        <v>14</v>
      </c>
      <c r="L7" s="10">
        <v>2.9</v>
      </c>
      <c r="M7" s="54" t="s">
        <v>15</v>
      </c>
    </row>
    <row r="8" spans="2:13" ht="13.5">
      <c r="B8" s="8"/>
      <c r="C8" s="8"/>
      <c r="D8" s="8"/>
      <c r="E8" s="8"/>
      <c r="F8" s="8"/>
      <c r="G8" s="8"/>
      <c r="H8" s="8"/>
      <c r="I8" s="8"/>
      <c r="K8" s="15" t="s">
        <v>16</v>
      </c>
      <c r="L8" s="16"/>
      <c r="M8" s="8"/>
    </row>
    <row r="9" spans="2:12" ht="14.25" thickBot="1">
      <c r="B9" t="s">
        <v>17</v>
      </c>
      <c r="K9" s="15" t="s">
        <v>18</v>
      </c>
      <c r="L9" s="15"/>
    </row>
    <row r="10" spans="2:12" ht="15" thickBot="1" thickTop="1">
      <c r="B10" s="6" t="s">
        <v>19</v>
      </c>
      <c r="C10" s="17" t="s">
        <v>7</v>
      </c>
      <c r="D10" s="6" t="s">
        <v>8</v>
      </c>
      <c r="F10" s="72"/>
      <c r="G10" t="s">
        <v>82</v>
      </c>
      <c r="K10" s="15" t="s">
        <v>20</v>
      </c>
      <c r="L10" s="15"/>
    </row>
    <row r="11" spans="2:12" ht="15" thickBot="1" thickTop="1">
      <c r="B11" s="3" t="s">
        <v>21</v>
      </c>
      <c r="C11" s="72">
        <v>1500</v>
      </c>
      <c r="D11" s="5" t="s">
        <v>22</v>
      </c>
      <c r="E11" s="18" t="s">
        <v>23</v>
      </c>
      <c r="K11" s="15" t="s">
        <v>86</v>
      </c>
      <c r="L11" s="15"/>
    </row>
    <row r="12" spans="2:12" ht="15" thickBot="1" thickTop="1">
      <c r="B12" s="205" t="s">
        <v>24</v>
      </c>
      <c r="C12" s="206"/>
      <c r="D12" s="207"/>
      <c r="E12" s="207"/>
      <c r="F12" s="207"/>
      <c r="G12" s="207"/>
      <c r="H12" s="72">
        <v>1</v>
      </c>
      <c r="K12" s="15" t="s">
        <v>25</v>
      </c>
      <c r="L12" s="15"/>
    </row>
    <row r="13" spans="2:12" ht="15" thickBot="1" thickTop="1">
      <c r="B13" s="202" t="s">
        <v>62</v>
      </c>
      <c r="C13" s="203"/>
      <c r="D13" s="204"/>
      <c r="E13" s="204"/>
      <c r="F13" s="204"/>
      <c r="G13" s="204"/>
      <c r="H13" s="72">
        <v>0.3</v>
      </c>
      <c r="I13" s="19" t="s">
        <v>26</v>
      </c>
      <c r="K13" s="15" t="s">
        <v>69</v>
      </c>
      <c r="L13" s="15"/>
    </row>
    <row r="14" spans="2:8" ht="15" thickBot="1" thickTop="1">
      <c r="B14" s="55" t="s">
        <v>27</v>
      </c>
      <c r="C14" s="72">
        <v>0</v>
      </c>
      <c r="D14" s="53" t="s">
        <v>28</v>
      </c>
      <c r="E14" s="21"/>
      <c r="F14" s="218" t="s">
        <v>63</v>
      </c>
      <c r="G14" s="219"/>
      <c r="H14" s="57">
        <f>IF(H12=0,H13,1)</f>
        <v>1</v>
      </c>
    </row>
    <row r="15" spans="2:9" ht="15" thickBot="1" thickTop="1">
      <c r="B15" s="55" t="s">
        <v>64</v>
      </c>
      <c r="C15" s="72">
        <v>135</v>
      </c>
      <c r="D15" s="14"/>
      <c r="E15" s="24"/>
      <c r="F15" s="220" t="s">
        <v>31</v>
      </c>
      <c r="G15" s="221"/>
      <c r="H15" s="74"/>
      <c r="I15" s="25" t="s">
        <v>70</v>
      </c>
    </row>
    <row r="16" spans="2:8" ht="15" thickBot="1" thickTop="1">
      <c r="B16" s="6" t="s">
        <v>32</v>
      </c>
      <c r="C16" s="23">
        <f>(Plevee/rws)*Koc*(Oclevee/100)+1</f>
        <v>2.6312499999999996</v>
      </c>
      <c r="D16" s="6"/>
      <c r="E16" s="24"/>
      <c r="F16" s="208" t="s">
        <v>33</v>
      </c>
      <c r="G16" s="208"/>
      <c r="H16" s="56">
        <f>IF(H15="",LN(2)/R28,LN(2)/H15)</f>
        <v>0.5780658280636212</v>
      </c>
    </row>
    <row r="17" spans="2:9" ht="18" thickBot="1" thickTop="1">
      <c r="B17" s="20" t="s">
        <v>34</v>
      </c>
      <c r="C17" s="17"/>
      <c r="D17" s="3"/>
      <c r="E17" s="73">
        <v>1</v>
      </c>
      <c r="F17" s="235" t="s">
        <v>67</v>
      </c>
      <c r="G17" s="236"/>
      <c r="H17" s="26">
        <f>((I*50-MDr-MDd)*ｆｐ)/(500*0.1*0.05*10000)</f>
        <v>0.8819855999999999</v>
      </c>
      <c r="I17" t="s">
        <v>1</v>
      </c>
    </row>
    <row r="18" spans="2:9" ht="15" thickBot="1" thickTop="1">
      <c r="B18" s="59" t="s">
        <v>35</v>
      </c>
      <c r="C18" s="240">
        <v>3</v>
      </c>
      <c r="D18" s="241"/>
      <c r="E18" s="242"/>
      <c r="F18" s="60" t="s">
        <v>36</v>
      </c>
      <c r="G18" s="6">
        <f>IF(E17=0,0,2.4)</f>
        <v>2.4</v>
      </c>
      <c r="H18" s="6" t="s">
        <v>37</v>
      </c>
      <c r="I18" s="6">
        <f>IF(E17=0,0,100)</f>
        <v>100</v>
      </c>
    </row>
    <row r="19" spans="9:17" ht="14.25" thickTop="1">
      <c r="I19" s="27"/>
      <c r="Q19" t="s">
        <v>38</v>
      </c>
    </row>
    <row r="20" spans="2:18" ht="27">
      <c r="B20" s="210" t="s">
        <v>39</v>
      </c>
      <c r="C20" s="243" t="s">
        <v>40</v>
      </c>
      <c r="D20" s="244"/>
      <c r="E20" s="244"/>
      <c r="F20" s="245"/>
      <c r="G20" s="49" t="s">
        <v>49</v>
      </c>
      <c r="H20" s="49" t="s">
        <v>50</v>
      </c>
      <c r="I20" s="51" t="s">
        <v>51</v>
      </c>
      <c r="J20" s="50" t="s">
        <v>52</v>
      </c>
      <c r="K20" s="50" t="s">
        <v>53</v>
      </c>
      <c r="L20" s="49" t="s">
        <v>54</v>
      </c>
      <c r="M20" s="51" t="s">
        <v>55</v>
      </c>
      <c r="N20" s="256" t="s">
        <v>46</v>
      </c>
      <c r="Q20" s="210" t="s">
        <v>39</v>
      </c>
      <c r="R20" s="30" t="s">
        <v>40</v>
      </c>
    </row>
    <row r="21" spans="2:18" ht="17.25" thickBot="1">
      <c r="B21" s="210"/>
      <c r="C21" s="212" t="s">
        <v>47</v>
      </c>
      <c r="D21" s="213"/>
      <c r="E21" s="214"/>
      <c r="F21" s="29" t="s">
        <v>48</v>
      </c>
      <c r="G21" s="28" t="s">
        <v>41</v>
      </c>
      <c r="H21" s="28"/>
      <c r="I21" s="28"/>
      <c r="J21" s="28" t="s">
        <v>42</v>
      </c>
      <c r="K21" s="28" t="s">
        <v>43</v>
      </c>
      <c r="L21" s="28" t="s">
        <v>44</v>
      </c>
      <c r="M21" s="28" t="s">
        <v>45</v>
      </c>
      <c r="N21" s="256"/>
      <c r="Q21" s="210"/>
      <c r="R21" s="29" t="s">
        <v>47</v>
      </c>
    </row>
    <row r="22" spans="2:18" ht="15" thickBot="1" thickTop="1">
      <c r="B22" s="55">
        <v>0</v>
      </c>
      <c r="C22" s="215">
        <v>2.06</v>
      </c>
      <c r="D22" s="216"/>
      <c r="E22" s="217"/>
      <c r="F22" s="61">
        <f>C22</f>
        <v>2.06</v>
      </c>
      <c r="G22" s="31">
        <f aca="true" t="shared" si="0" ref="G22:G36">IF(B22&lt;=tinit,F22*EXP(-0.04*B22),F22*EXP(-1*(0.04*tinit+0.1*((B22-tinit)))))</f>
        <v>2.06</v>
      </c>
      <c r="H22" s="233">
        <f ca="1">IF(tinit=0,0,IF(tinit=1,(G22+G23)/2*散布回数,(SUM(G23:OFFSET(G22,tinit-1,0,1,1))+(G22+OFFSET(G22,tinit,0,1,1))/2)*散布回数))</f>
        <v>0</v>
      </c>
      <c r="I22" s="233">
        <f ca="1">(SUM(OFFSET(G22,tinit+1,0,,1):G35)+(OFFSET(G22,tinit,0,,1)+G36)/2)*散布回数</f>
        <v>25.767338490341842</v>
      </c>
      <c r="J22" s="222">
        <f>(I22*30*50*ffp)+(I39*30*50)</f>
        <v>38651.44897938304</v>
      </c>
      <c r="K22" s="253">
        <f>((H22*20*50*ffp)/Klevee)+((I22*20*50*ffp)/Klevee)+((I39*20*50)/Klevee)</f>
        <v>9792.92452367583</v>
      </c>
      <c r="L22" s="52">
        <f>I*(Driver/100)*0.15*1*散布回数</f>
        <v>16.2</v>
      </c>
      <c r="M22" s="32">
        <f>I*(Dditch/100)*0.33*1*散布回数</f>
        <v>1485</v>
      </c>
      <c r="N22" s="225">
        <f>J22+K22+L22+M22</f>
        <v>49945.57350305887</v>
      </c>
      <c r="Q22" s="22">
        <v>0</v>
      </c>
      <c r="R22" s="33">
        <f>$C$22</f>
        <v>2.06</v>
      </c>
    </row>
    <row r="23" spans="2:18" ht="13.5" customHeight="1" thickBot="1" thickTop="1">
      <c r="B23" s="55">
        <v>1</v>
      </c>
      <c r="C23" s="215">
        <v>1.5</v>
      </c>
      <c r="D23" s="216"/>
      <c r="E23" s="217"/>
      <c r="F23" s="61">
        <f>C23</f>
        <v>1.5</v>
      </c>
      <c r="G23" s="31">
        <f t="shared" si="0"/>
        <v>1.3572561270539394</v>
      </c>
      <c r="H23" s="234"/>
      <c r="I23" s="234"/>
      <c r="J23" s="223"/>
      <c r="K23" s="254"/>
      <c r="L23" s="52"/>
      <c r="M23" s="34"/>
      <c r="N23" s="226"/>
      <c r="Q23" s="22">
        <v>1</v>
      </c>
      <c r="R23" s="33">
        <f>$C$23</f>
        <v>1.5</v>
      </c>
    </row>
    <row r="24" spans="2:18" ht="15" thickBot="1" thickTop="1">
      <c r="B24" s="55">
        <v>2</v>
      </c>
      <c r="C24" s="249"/>
      <c r="D24" s="226"/>
      <c r="E24" s="250"/>
      <c r="F24" s="61">
        <f>IF(C24&lt;&gt;"",C24,(C23+C25)/2)</f>
        <v>1.6</v>
      </c>
      <c r="G24" s="31">
        <f t="shared" si="0"/>
        <v>1.309969204924771</v>
      </c>
      <c r="H24" s="234"/>
      <c r="I24" s="234"/>
      <c r="J24" s="223"/>
      <c r="K24" s="254"/>
      <c r="L24" s="52"/>
      <c r="M24" s="34"/>
      <c r="N24" s="226"/>
      <c r="Q24" s="22">
        <v>3</v>
      </c>
      <c r="R24" s="33">
        <f>$C$25</f>
        <v>1.7</v>
      </c>
    </row>
    <row r="25" spans="2:18" ht="15" thickBot="1" thickTop="1">
      <c r="B25" s="55">
        <v>3</v>
      </c>
      <c r="C25" s="215">
        <v>1.7</v>
      </c>
      <c r="D25" s="216"/>
      <c r="E25" s="217"/>
      <c r="F25" s="61">
        <f>C25</f>
        <v>1.7</v>
      </c>
      <c r="G25" s="31">
        <f t="shared" si="0"/>
        <v>1.2593909751589203</v>
      </c>
      <c r="H25" s="234"/>
      <c r="I25" s="234"/>
      <c r="J25" s="223"/>
      <c r="K25" s="254"/>
      <c r="L25" s="52"/>
      <c r="M25" s="34"/>
      <c r="N25" s="226"/>
      <c r="Q25" s="22">
        <v>7</v>
      </c>
      <c r="R25" s="33">
        <f>$C$29</f>
        <v>0.801</v>
      </c>
    </row>
    <row r="26" spans="2:18" ht="15" thickBot="1" thickTop="1">
      <c r="B26" s="55">
        <v>4</v>
      </c>
      <c r="C26" s="230"/>
      <c r="D26" s="231"/>
      <c r="E26" s="232"/>
      <c r="F26" s="61">
        <f>IF(C26&lt;&gt;"",C26,IF(C27&lt;&gt;"",F25-(F25-C27)/2,IF(C28&lt;&gt;"",F25-(F25-C28)/3,F25-(F25-C29)/4)))</f>
        <v>1.47525</v>
      </c>
      <c r="G26" s="31">
        <f t="shared" si="0"/>
        <v>0.9888896479140769</v>
      </c>
      <c r="H26" s="234"/>
      <c r="I26" s="234"/>
      <c r="J26" s="223"/>
      <c r="K26" s="254"/>
      <c r="L26" s="52"/>
      <c r="M26" s="34"/>
      <c r="N26" s="226"/>
      <c r="Q26" s="35">
        <v>14</v>
      </c>
      <c r="R26" s="36">
        <f>$C$36</f>
        <v>0.0005</v>
      </c>
    </row>
    <row r="27" spans="2:18" ht="13.5">
      <c r="B27" s="55">
        <v>5</v>
      </c>
      <c r="C27" s="209"/>
      <c r="D27" s="210"/>
      <c r="E27" s="211"/>
      <c r="F27" s="61">
        <f>IF(C27&lt;&gt;"",C27,IF(C28&lt;&gt;"",F26-(F26-C28)/2,F26-(F26-C29)/3))</f>
        <v>1.2505</v>
      </c>
      <c r="G27" s="31">
        <f t="shared" si="0"/>
        <v>0.7584665899706481</v>
      </c>
      <c r="H27" s="234"/>
      <c r="I27" s="234"/>
      <c r="J27" s="223"/>
      <c r="K27" s="254"/>
      <c r="L27" s="52"/>
      <c r="M27" s="34"/>
      <c r="N27" s="226"/>
      <c r="Q27" s="37" t="s">
        <v>56</v>
      </c>
      <c r="R27" s="38">
        <f>-(SLOPE(LN(R22:R26),Q22:Q26))</f>
        <v>0.5780658280636212</v>
      </c>
    </row>
    <row r="28" spans="2:18" ht="14.25" thickBot="1">
      <c r="B28" s="55">
        <v>6</v>
      </c>
      <c r="C28" s="237"/>
      <c r="D28" s="238"/>
      <c r="E28" s="239"/>
      <c r="F28" s="61">
        <f>IF(C28&lt;&gt;"",C28,F27-(F27-C29)/2)</f>
        <v>1.02575</v>
      </c>
      <c r="G28" s="31">
        <f t="shared" si="0"/>
        <v>0.5629435357234476</v>
      </c>
      <c r="H28" s="234"/>
      <c r="I28" s="234"/>
      <c r="J28" s="223"/>
      <c r="K28" s="254"/>
      <c r="L28" s="52"/>
      <c r="M28" s="34"/>
      <c r="N28" s="226"/>
      <c r="Q28" s="39" t="s">
        <v>57</v>
      </c>
      <c r="R28" s="40">
        <f>LN(2)/R27</f>
        <v>1.1990800128798798</v>
      </c>
    </row>
    <row r="29" spans="2:14" ht="15" thickBot="1" thickTop="1">
      <c r="B29" s="55">
        <v>7</v>
      </c>
      <c r="C29" s="215">
        <v>0.801</v>
      </c>
      <c r="D29" s="216"/>
      <c r="E29" s="217"/>
      <c r="F29" s="61">
        <f>C29</f>
        <v>0.801</v>
      </c>
      <c r="G29" s="31">
        <f t="shared" si="0"/>
        <v>0.397764828336919</v>
      </c>
      <c r="H29" s="234"/>
      <c r="I29" s="234"/>
      <c r="J29" s="223"/>
      <c r="K29" s="254"/>
      <c r="L29" s="52"/>
      <c r="M29" s="34"/>
      <c r="N29" s="226"/>
    </row>
    <row r="30" spans="2:14" ht="14.25" thickTop="1">
      <c r="B30" s="55">
        <v>8</v>
      </c>
      <c r="C30" s="230"/>
      <c r="D30" s="231"/>
      <c r="E30" s="232"/>
      <c r="F30" s="61">
        <f>IF(C30&lt;&gt;"",C30,IF(C31&lt;&gt;"",F29-(F29-C31)/2,IF(C32&lt;&gt;"",F29-(F29-C32)/3,IF(C33&lt;&gt;"",F29-(F29-C33)/4,IF(C34&lt;&gt;"",F29-(F29-C34)/5,IF(C35&lt;&gt;"",F29-(F29-C35)/6,F29-(F29-C36)/7))))))</f>
        <v>0.6866428571428572</v>
      </c>
      <c r="G30" s="31">
        <f t="shared" si="0"/>
        <v>0.3085285237184894</v>
      </c>
      <c r="H30" s="234"/>
      <c r="I30" s="234"/>
      <c r="J30" s="223"/>
      <c r="K30" s="254"/>
      <c r="L30" s="52"/>
      <c r="M30" s="34"/>
      <c r="N30" s="226"/>
    </row>
    <row r="31" spans="2:14" ht="13.5">
      <c r="B31" s="55">
        <v>9</v>
      </c>
      <c r="C31" s="209"/>
      <c r="D31" s="210"/>
      <c r="E31" s="211"/>
      <c r="F31" s="61">
        <f>IF(C31&lt;&gt;"",C31,IF(C32&lt;&gt;"",F30-(F30-C32)/2,IF(C33&lt;&gt;"",F30-(F30-C33)/3,IF(C34&lt;&gt;"",F30-(F30-C34)/4,IF(C35&lt;&gt;"",F30-(F30-C35)/5,F30-(F30-C36)/6)))))</f>
        <v>0.5722857142857143</v>
      </c>
      <c r="G31" s="31">
        <f t="shared" si="0"/>
        <v>0.23267400813154857</v>
      </c>
      <c r="H31" s="234"/>
      <c r="I31" s="234"/>
      <c r="J31" s="223"/>
      <c r="K31" s="254"/>
      <c r="L31" s="52"/>
      <c r="M31" s="34"/>
      <c r="N31" s="226"/>
    </row>
    <row r="32" spans="2:14" ht="13.5">
      <c r="B32" s="55">
        <v>10</v>
      </c>
      <c r="C32" s="209"/>
      <c r="D32" s="210"/>
      <c r="E32" s="211"/>
      <c r="F32" s="61">
        <f>IF(C32&lt;&gt;"",C32,IF(C33&lt;&gt;"",F31-(F31-C33)/2,IF(C34&lt;&gt;"",F31-(F31-C34)/3,IF(C35&lt;&gt;"",F31-(F31-C35)/4,F31-(F31-C36)/5))))</f>
        <v>0.4579285714285714</v>
      </c>
      <c r="G32" s="31">
        <f t="shared" si="0"/>
        <v>0.16846250695357975</v>
      </c>
      <c r="H32" s="234"/>
      <c r="I32" s="234"/>
      <c r="J32" s="223"/>
      <c r="K32" s="254"/>
      <c r="L32" s="52"/>
      <c r="M32" s="34"/>
      <c r="N32" s="226"/>
    </row>
    <row r="33" spans="2:14" ht="13.5">
      <c r="B33" s="55">
        <v>11</v>
      </c>
      <c r="C33" s="209"/>
      <c r="D33" s="210"/>
      <c r="E33" s="211"/>
      <c r="F33" s="61">
        <f>IF(C33&lt;&gt;"",C33,IF(C34&lt;&gt;"",F32-(F32-C34)/2,IF(C35&lt;&gt;"",F32-(F32-C35)/3,F32-(F32-C36)/4)))</f>
        <v>0.3435714285714285</v>
      </c>
      <c r="G33" s="31">
        <f t="shared" si="0"/>
        <v>0.11436499375626874</v>
      </c>
      <c r="H33" s="234"/>
      <c r="I33" s="234"/>
      <c r="J33" s="223"/>
      <c r="K33" s="254"/>
      <c r="L33" s="52"/>
      <c r="M33" s="34"/>
      <c r="N33" s="226"/>
    </row>
    <row r="34" spans="2:14" ht="13.5">
      <c r="B34" s="55">
        <v>12</v>
      </c>
      <c r="C34" s="209"/>
      <c r="D34" s="210"/>
      <c r="E34" s="211"/>
      <c r="F34" s="61">
        <f>IF(C34&lt;&gt;"",C34,IF(C35&lt;&gt;"",F33-(F33-C35)/2,F33-(F33-C36)/3))</f>
        <v>0.2292142857142857</v>
      </c>
      <c r="G34" s="31">
        <f t="shared" si="0"/>
        <v>0.0690380161447326</v>
      </c>
      <c r="H34" s="234"/>
      <c r="I34" s="234"/>
      <c r="J34" s="223"/>
      <c r="K34" s="254"/>
      <c r="L34" s="52"/>
      <c r="M34" s="34"/>
      <c r="N34" s="226"/>
    </row>
    <row r="35" spans="2:14" ht="14.25" thickBot="1">
      <c r="B35" s="55">
        <v>13</v>
      </c>
      <c r="C35" s="237"/>
      <c r="D35" s="238"/>
      <c r="E35" s="239"/>
      <c r="F35" s="61">
        <f>IF(C35&lt;&gt;"",C35,F34-(F34-C36)/2)</f>
        <v>0.11485714285714285</v>
      </c>
      <c r="G35" s="31">
        <f t="shared" si="0"/>
        <v>0.031302223085620876</v>
      </c>
      <c r="H35" s="234"/>
      <c r="I35" s="234"/>
      <c r="J35" s="223"/>
      <c r="K35" s="254"/>
      <c r="L35" s="52"/>
      <c r="M35" s="34"/>
      <c r="N35" s="226"/>
    </row>
    <row r="36" spans="2:14" ht="15" thickBot="1" thickTop="1">
      <c r="B36" s="55">
        <v>14</v>
      </c>
      <c r="C36" s="215">
        <v>0.0005</v>
      </c>
      <c r="D36" s="216"/>
      <c r="E36" s="217"/>
      <c r="F36" s="61">
        <f>C36</f>
        <v>0.0005</v>
      </c>
      <c r="G36" s="31">
        <f t="shared" si="0"/>
        <v>0.00012329848197080323</v>
      </c>
      <c r="H36" s="234"/>
      <c r="I36" s="234"/>
      <c r="J36" s="223"/>
      <c r="K36" s="254"/>
      <c r="L36" s="52"/>
      <c r="M36" s="34"/>
      <c r="N36" s="226"/>
    </row>
    <row r="37" spans="2:14" ht="27" customHeight="1" hidden="1" outlineLevel="1">
      <c r="B37" s="41" t="s">
        <v>58</v>
      </c>
      <c r="C37" s="247"/>
      <c r="D37" s="247"/>
      <c r="E37" s="247"/>
      <c r="F37" s="43"/>
      <c r="G37" s="31">
        <f>C0*EXP(-1*(k+0.04)*tinit)</f>
        <v>0.8819855999999999</v>
      </c>
      <c r="H37" s="42"/>
      <c r="I37" s="42"/>
      <c r="J37" s="223"/>
      <c r="K37" s="254"/>
      <c r="L37" s="52"/>
      <c r="M37" s="34"/>
      <c r="N37" s="226"/>
    </row>
    <row r="38" spans="2:14" ht="13.5" customHeight="1" hidden="1" outlineLevel="1">
      <c r="B38" s="44" t="s">
        <v>59</v>
      </c>
      <c r="C38" s="248"/>
      <c r="D38" s="248"/>
      <c r="E38" s="248"/>
      <c r="F38" s="43"/>
      <c r="G38" s="31">
        <f>Ctinit*EXP(-(k+0.1)*(14-tinit))</f>
        <v>6.648719783932723E-05</v>
      </c>
      <c r="H38" s="42"/>
      <c r="I38" s="45"/>
      <c r="J38" s="223"/>
      <c r="K38" s="254"/>
      <c r="L38" s="52"/>
      <c r="M38" s="34"/>
      <c r="N38" s="226"/>
    </row>
    <row r="39" spans="2:14" ht="13.5" customHeight="1" collapsed="1" thickBot="1" thickTop="1">
      <c r="B39" s="44" t="s">
        <v>60</v>
      </c>
      <c r="C39" s="248"/>
      <c r="D39" s="248"/>
      <c r="E39" s="248"/>
      <c r="F39" s="43"/>
      <c r="G39" s="42"/>
      <c r="H39" s="42"/>
      <c r="I39" s="46">
        <f>CalcC14/(k+0.1)*(1-EXP(-1*(k+0.1)*(150-14)))*散布回数</f>
        <v>0.0002941625801842748</v>
      </c>
      <c r="J39" s="224"/>
      <c r="K39" s="255"/>
      <c r="L39" s="52"/>
      <c r="M39" s="34"/>
      <c r="N39" s="226"/>
    </row>
    <row r="40" spans="13:14" ht="15" thickBot="1" thickTop="1">
      <c r="M40" s="47" t="s">
        <v>61</v>
      </c>
      <c r="N40" s="64">
        <f>(N22)/(3756000)*1000</f>
        <v>13.297543531165834</v>
      </c>
    </row>
    <row r="41" spans="2:12" ht="14.25" customHeight="1" thickTop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4" ht="13.5">
      <c r="B42" s="246" t="s">
        <v>66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</row>
    <row r="43" spans="2:11" ht="13.5">
      <c r="B43" s="48"/>
      <c r="C43" s="48"/>
      <c r="D43" s="48"/>
      <c r="E43" s="48"/>
      <c r="F43" s="48"/>
      <c r="G43" s="48"/>
      <c r="H43" s="48"/>
      <c r="I43" s="48"/>
      <c r="J43" s="48"/>
      <c r="K43" s="48"/>
    </row>
  </sheetData>
  <sheetProtection/>
  <mergeCells count="36">
    <mergeCell ref="B42:N42"/>
    <mergeCell ref="B13:G13"/>
    <mergeCell ref="B12:G12"/>
    <mergeCell ref="F16:G16"/>
    <mergeCell ref="C31:E31"/>
    <mergeCell ref="B20:B21"/>
    <mergeCell ref="C21:E21"/>
    <mergeCell ref="C22:E22"/>
    <mergeCell ref="C23:E23"/>
    <mergeCell ref="F14:G14"/>
    <mergeCell ref="C18:E18"/>
    <mergeCell ref="F15:G15"/>
    <mergeCell ref="F17:G17"/>
    <mergeCell ref="C29:E29"/>
    <mergeCell ref="C25:E25"/>
    <mergeCell ref="C26:E26"/>
    <mergeCell ref="C27:E27"/>
    <mergeCell ref="C28:E28"/>
    <mergeCell ref="Q20:Q21"/>
    <mergeCell ref="C37:E37"/>
    <mergeCell ref="C38:E38"/>
    <mergeCell ref="J22:J39"/>
    <mergeCell ref="N22:N39"/>
    <mergeCell ref="C32:E32"/>
    <mergeCell ref="C36:E36"/>
    <mergeCell ref="C30:E30"/>
    <mergeCell ref="C33:E33"/>
    <mergeCell ref="C34:E34"/>
    <mergeCell ref="C39:E39"/>
    <mergeCell ref="C24:E24"/>
    <mergeCell ref="C35:E35"/>
    <mergeCell ref="N20:N21"/>
    <mergeCell ref="K22:K39"/>
    <mergeCell ref="H22:H36"/>
    <mergeCell ref="I22:I36"/>
    <mergeCell ref="C20:F20"/>
  </mergeCells>
  <dataValidations count="3">
    <dataValidation type="list" allowBlank="1" showInputMessage="1" showErrorMessage="1" sqref="H12 E17">
      <formula1>"0,1"</formula1>
    </dataValidation>
    <dataValidation type="whole" allowBlank="1" showInputMessage="1" showErrorMessage="1" errorTitle="入力値が範囲外です" error="0～14の整数を入れてください。" sqref="C14">
      <formula1>0</formula1>
      <formula2>14</formula2>
    </dataValidation>
    <dataValidation type="list" allowBlank="1" showInputMessage="1" showErrorMessage="1" sqref="H13">
      <formula1>"0.3,1"</formula1>
    </dataValidation>
  </dataValidations>
  <printOptions/>
  <pageMargins left="0.1968503937007874" right="0.1968503937007874" top="0.5118110236220472" bottom="0.5118110236220472" header="0.31496062992125984" footer="0.31496062992125984"/>
  <pageSetup fitToHeight="1" fitToWidth="1" horizontalDpi="600" verticalDpi="600" orientation="landscape" paperSize="9" scale="94" r:id="rId2"/>
  <headerFooter alignWithMargins="0">
    <oddHeader>&amp;R&amp;F&amp;A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43"/>
  <sheetViews>
    <sheetView view="pageBreakPreview" zoomScale="70" zoomScaleNormal="80" zoomScaleSheetLayoutView="70" zoomScalePageLayoutView="0" workbookViewId="0" topLeftCell="A1">
      <selection activeCell="I6" sqref="I6"/>
    </sheetView>
  </sheetViews>
  <sheetFormatPr defaultColWidth="9.00390625" defaultRowHeight="13.5" outlineLevelRow="1" outlineLevelCol="1"/>
  <cols>
    <col min="1" max="1" width="2.375" style="15" customWidth="1"/>
    <col min="2" max="2" width="7.125" style="15" customWidth="1"/>
    <col min="3" max="3" width="5.375" style="15" customWidth="1"/>
    <col min="4" max="4" width="7.50390625" style="15" customWidth="1"/>
    <col min="5" max="5" width="9.375" style="15" customWidth="1"/>
    <col min="6" max="7" width="4.25390625" style="15" hidden="1" customWidth="1" outlineLevel="1"/>
    <col min="8" max="8" width="11.50390625" style="15" customWidth="1" collapsed="1"/>
    <col min="9" max="9" width="10.50390625" style="15" customWidth="1"/>
    <col min="10" max="10" width="7.25390625" style="15" customWidth="1"/>
    <col min="11" max="11" width="10.00390625" style="15" customWidth="1" outlineLevel="1"/>
    <col min="12" max="13" width="7.625" style="15" customWidth="1"/>
    <col min="14" max="14" width="8.00390625" style="15" customWidth="1"/>
    <col min="15" max="17" width="9.375" style="15" customWidth="1"/>
    <col min="18" max="18" width="12.00390625" style="94" customWidth="1"/>
    <col min="19" max="19" width="10.875" style="15" customWidth="1"/>
    <col min="20" max="20" width="4.625" style="75" customWidth="1"/>
    <col min="21" max="21" width="2.375" style="15" customWidth="1"/>
    <col min="22" max="22" width="9.375" style="15" customWidth="1" outlineLevel="1"/>
    <col min="23" max="24" width="6.625" style="15" customWidth="1" outlineLevel="1"/>
    <col min="25" max="25" width="8.375" style="15" customWidth="1" outlineLevel="1"/>
    <col min="26" max="28" width="9.375" style="15" customWidth="1" outlineLevel="1"/>
    <col min="29" max="38" width="8.375" style="15" customWidth="1" outlineLevel="1"/>
    <col min="39" max="16384" width="9.00390625" style="15" customWidth="1"/>
  </cols>
  <sheetData>
    <row r="1" spans="2:22" ht="17.25" customHeight="1">
      <c r="B1" s="70" t="s">
        <v>2</v>
      </c>
      <c r="R1" s="15"/>
      <c r="V1" s="62" t="s">
        <v>87</v>
      </c>
    </row>
    <row r="2" spans="2:18" ht="17.25" customHeight="1">
      <c r="B2" s="70" t="s">
        <v>88</v>
      </c>
      <c r="R2" s="15"/>
    </row>
    <row r="3" spans="2:18" ht="17.25" customHeight="1">
      <c r="B3" s="15" t="s">
        <v>74</v>
      </c>
      <c r="N3" s="15" t="s">
        <v>89</v>
      </c>
      <c r="R3" s="15"/>
    </row>
    <row r="4" spans="2:20" ht="17.25" customHeight="1" thickBot="1">
      <c r="B4" s="76" t="s">
        <v>5</v>
      </c>
      <c r="C4" s="4" t="s">
        <v>72</v>
      </c>
      <c r="D4" s="77"/>
      <c r="E4" s="77"/>
      <c r="F4" s="77"/>
      <c r="G4" s="77"/>
      <c r="H4" s="77"/>
      <c r="I4" s="77"/>
      <c r="J4" s="77"/>
      <c r="K4" s="77"/>
      <c r="L4" s="78"/>
      <c r="N4" s="76" t="s">
        <v>6</v>
      </c>
      <c r="O4" s="78"/>
      <c r="P4" s="78" t="s">
        <v>7</v>
      </c>
      <c r="Q4" s="76" t="s">
        <v>8</v>
      </c>
      <c r="R4" s="10" t="s">
        <v>6</v>
      </c>
      <c r="S4" s="78" t="s">
        <v>7</v>
      </c>
      <c r="T4" s="10" t="s">
        <v>8</v>
      </c>
    </row>
    <row r="5" spans="2:20" ht="17.25" customHeight="1" thickBot="1" thickTop="1">
      <c r="B5" s="79" t="s">
        <v>9</v>
      </c>
      <c r="C5" s="193"/>
      <c r="D5" s="194"/>
      <c r="E5"/>
      <c r="F5" s="16"/>
      <c r="G5" s="16"/>
      <c r="H5" s="195"/>
      <c r="I5" s="8"/>
      <c r="J5" s="16"/>
      <c r="K5" s="16"/>
      <c r="L5" s="80"/>
      <c r="N5" s="81" t="s">
        <v>90</v>
      </c>
      <c r="O5" s="82"/>
      <c r="P5" s="83">
        <v>4</v>
      </c>
      <c r="Q5" s="84" t="s">
        <v>91</v>
      </c>
      <c r="R5" s="85" t="s">
        <v>92</v>
      </c>
      <c r="S5" s="86">
        <f>ROUND(150/P5,0)</f>
        <v>38</v>
      </c>
      <c r="T5" s="87" t="s">
        <v>93</v>
      </c>
    </row>
    <row r="6" spans="2:21" ht="17.25" customHeight="1" thickBot="1" thickTop="1">
      <c r="B6" s="79"/>
      <c r="C6" s="193"/>
      <c r="D6" s="195"/>
      <c r="E6" s="8"/>
      <c r="F6" s="16"/>
      <c r="G6" s="16"/>
      <c r="H6" s="16"/>
      <c r="I6" s="8"/>
      <c r="J6" s="8"/>
      <c r="K6" s="16"/>
      <c r="L6" s="80"/>
      <c r="N6" s="88" t="s">
        <v>94</v>
      </c>
      <c r="O6" s="89"/>
      <c r="P6" s="83">
        <v>10</v>
      </c>
      <c r="Q6" s="90" t="s">
        <v>95</v>
      </c>
      <c r="R6" s="91" t="s">
        <v>96</v>
      </c>
      <c r="S6" s="92">
        <f>LN(2)/P6</f>
        <v>0.06931471805599453</v>
      </c>
      <c r="T6" s="93" t="s">
        <v>97</v>
      </c>
      <c r="U6" s="94"/>
    </row>
    <row r="7" spans="2:21" ht="17.25" customHeight="1" thickTop="1">
      <c r="B7" s="95"/>
      <c r="C7" s="268"/>
      <c r="D7" s="268"/>
      <c r="E7" s="13"/>
      <c r="F7" s="96"/>
      <c r="G7" s="96"/>
      <c r="H7" s="196"/>
      <c r="I7" s="13"/>
      <c r="J7" s="96"/>
      <c r="K7" s="96"/>
      <c r="L7" s="97"/>
      <c r="N7" s="15" t="s">
        <v>98</v>
      </c>
      <c r="O7" s="16"/>
      <c r="P7" s="16"/>
      <c r="Q7" s="16"/>
      <c r="R7" s="15"/>
      <c r="U7" s="94"/>
    </row>
    <row r="8" spans="14:21" ht="17.25" customHeight="1" thickBot="1">
      <c r="N8" s="15" t="s">
        <v>86</v>
      </c>
      <c r="P8" s="16"/>
      <c r="Q8" s="16"/>
      <c r="R8" s="16"/>
      <c r="U8" s="98"/>
    </row>
    <row r="9" spans="2:21" ht="17.25" customHeight="1" thickBot="1" thickTop="1">
      <c r="B9" s="83"/>
      <c r="C9" s="15" t="s">
        <v>99</v>
      </c>
      <c r="I9" s="16"/>
      <c r="J9" s="16"/>
      <c r="N9" s="98" t="s">
        <v>100</v>
      </c>
      <c r="R9" s="15"/>
      <c r="U9" s="99"/>
    </row>
    <row r="10" spans="2:38" ht="17.25" customHeight="1" thickTop="1">
      <c r="B10" s="100"/>
      <c r="C10" s="25" t="s">
        <v>101</v>
      </c>
      <c r="N10" s="15" t="s">
        <v>102</v>
      </c>
      <c r="R10" s="15"/>
      <c r="U10" s="99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</row>
    <row r="11" spans="2:38" ht="17.25" customHeight="1">
      <c r="B11" s="101"/>
      <c r="C11" s="25" t="s">
        <v>103</v>
      </c>
      <c r="N11" s="98" t="s">
        <v>104</v>
      </c>
      <c r="R11" s="15"/>
      <c r="T11" s="15"/>
      <c r="V11" s="102" t="s">
        <v>105</v>
      </c>
      <c r="W11" s="103" t="s">
        <v>106</v>
      </c>
      <c r="AL11" s="78"/>
    </row>
    <row r="12" spans="14:38" ht="17.25" customHeight="1">
      <c r="N12" s="98" t="s">
        <v>107</v>
      </c>
      <c r="R12" s="15"/>
      <c r="V12" s="259" t="s">
        <v>108</v>
      </c>
      <c r="W12" s="259" t="s">
        <v>109</v>
      </c>
      <c r="X12" s="259" t="s">
        <v>110</v>
      </c>
      <c r="Y12" s="259" t="s">
        <v>111</v>
      </c>
      <c r="Z12" s="259" t="s">
        <v>112</v>
      </c>
      <c r="AA12" s="259" t="s">
        <v>113</v>
      </c>
      <c r="AB12" s="259" t="s">
        <v>114</v>
      </c>
      <c r="AC12" s="105" t="s">
        <v>115</v>
      </c>
      <c r="AD12" s="106"/>
      <c r="AE12" s="106"/>
      <c r="AF12" s="106"/>
      <c r="AG12" s="106"/>
      <c r="AH12" s="106"/>
      <c r="AI12" s="106"/>
      <c r="AJ12" s="106"/>
      <c r="AK12" s="106"/>
      <c r="AL12" s="107"/>
    </row>
    <row r="13" spans="2:38" ht="17.25" customHeight="1">
      <c r="B13" s="15" t="s">
        <v>116</v>
      </c>
      <c r="R13" s="15"/>
      <c r="V13" s="259"/>
      <c r="W13" s="259"/>
      <c r="X13" s="259"/>
      <c r="Y13" s="259"/>
      <c r="Z13" s="259"/>
      <c r="AA13" s="259"/>
      <c r="AB13" s="259"/>
      <c r="AC13" s="108">
        <v>1</v>
      </c>
      <c r="AD13" s="108">
        <v>2</v>
      </c>
      <c r="AE13" s="108">
        <v>3</v>
      </c>
      <c r="AF13" s="108">
        <v>4</v>
      </c>
      <c r="AG13" s="108">
        <v>5</v>
      </c>
      <c r="AH13" s="108">
        <v>6</v>
      </c>
      <c r="AI13" s="108">
        <v>7</v>
      </c>
      <c r="AJ13" s="108">
        <v>8</v>
      </c>
      <c r="AK13" s="108">
        <v>9</v>
      </c>
      <c r="AL13" s="108">
        <v>10</v>
      </c>
    </row>
    <row r="14" spans="2:38" ht="43.5" customHeight="1">
      <c r="B14" s="109" t="s">
        <v>117</v>
      </c>
      <c r="C14" s="110"/>
      <c r="D14" s="111" t="s">
        <v>118</v>
      </c>
      <c r="E14" s="111" t="s">
        <v>119</v>
      </c>
      <c r="F14" s="260" t="s">
        <v>120</v>
      </c>
      <c r="G14" s="261"/>
      <c r="H14" s="111" t="s">
        <v>121</v>
      </c>
      <c r="I14" s="111" t="s">
        <v>122</v>
      </c>
      <c r="J14" s="112" t="s">
        <v>123</v>
      </c>
      <c r="K14" s="112" t="s">
        <v>124</v>
      </c>
      <c r="L14" s="112" t="s">
        <v>125</v>
      </c>
      <c r="M14" s="112" t="s">
        <v>126</v>
      </c>
      <c r="N14" s="112" t="s">
        <v>127</v>
      </c>
      <c r="O14" s="112" t="s">
        <v>54</v>
      </c>
      <c r="P14" s="262" t="s">
        <v>128</v>
      </c>
      <c r="Q14" s="263"/>
      <c r="R14" s="264" t="s">
        <v>129</v>
      </c>
      <c r="S14" s="265"/>
      <c r="T14" s="113"/>
      <c r="V14" s="259"/>
      <c r="W14" s="259"/>
      <c r="X14" s="259"/>
      <c r="Y14" s="259"/>
      <c r="Z14" s="259"/>
      <c r="AA14" s="259"/>
      <c r="AB14" s="259"/>
      <c r="AC14" s="104" t="s">
        <v>130</v>
      </c>
      <c r="AD14" s="104" t="s">
        <v>130</v>
      </c>
      <c r="AE14" s="104" t="s">
        <v>130</v>
      </c>
      <c r="AF14" s="104" t="s">
        <v>130</v>
      </c>
      <c r="AG14" s="104" t="s">
        <v>130</v>
      </c>
      <c r="AH14" s="104" t="s">
        <v>130</v>
      </c>
      <c r="AI14" s="104" t="s">
        <v>130</v>
      </c>
      <c r="AJ14" s="104" t="s">
        <v>130</v>
      </c>
      <c r="AK14" s="104" t="s">
        <v>130</v>
      </c>
      <c r="AL14" s="104" t="s">
        <v>130</v>
      </c>
    </row>
    <row r="15" spans="2:38" ht="33">
      <c r="B15" s="109"/>
      <c r="C15" s="110"/>
      <c r="D15" s="111" t="s">
        <v>131</v>
      </c>
      <c r="E15" s="114" t="s">
        <v>132</v>
      </c>
      <c r="F15" s="266" t="s">
        <v>133</v>
      </c>
      <c r="G15" s="267"/>
      <c r="H15" s="111" t="s">
        <v>134</v>
      </c>
      <c r="I15" s="111" t="s">
        <v>135</v>
      </c>
      <c r="J15" s="115" t="s">
        <v>136</v>
      </c>
      <c r="K15" s="112" t="s">
        <v>137</v>
      </c>
      <c r="L15" s="116" t="s">
        <v>138</v>
      </c>
      <c r="M15" s="116" t="s">
        <v>139</v>
      </c>
      <c r="N15" s="112" t="s">
        <v>140</v>
      </c>
      <c r="O15" s="117" t="s">
        <v>141</v>
      </c>
      <c r="P15" s="117" t="s">
        <v>142</v>
      </c>
      <c r="Q15" s="117" t="s">
        <v>143</v>
      </c>
      <c r="R15" s="117" t="s">
        <v>144</v>
      </c>
      <c r="S15" s="117" t="s">
        <v>145</v>
      </c>
      <c r="T15" s="118"/>
      <c r="V15" s="119" t="s">
        <v>146</v>
      </c>
      <c r="W15" s="119" t="s">
        <v>147</v>
      </c>
      <c r="X15" s="119" t="s">
        <v>148</v>
      </c>
      <c r="Y15" s="120" t="s">
        <v>149</v>
      </c>
      <c r="Z15" s="120" t="s">
        <v>150</v>
      </c>
      <c r="AA15" s="120" t="s">
        <v>151</v>
      </c>
      <c r="AB15" s="120" t="s">
        <v>152</v>
      </c>
      <c r="AC15" s="120" t="s">
        <v>153</v>
      </c>
      <c r="AD15" s="120" t="s">
        <v>153</v>
      </c>
      <c r="AE15" s="120" t="s">
        <v>153</v>
      </c>
      <c r="AF15" s="120" t="s">
        <v>153</v>
      </c>
      <c r="AG15" s="120" t="s">
        <v>153</v>
      </c>
      <c r="AH15" s="120" t="s">
        <v>153</v>
      </c>
      <c r="AI15" s="120" t="s">
        <v>153</v>
      </c>
      <c r="AJ15" s="120" t="s">
        <v>153</v>
      </c>
      <c r="AK15" s="120" t="s">
        <v>153</v>
      </c>
      <c r="AL15" s="120" t="s">
        <v>153</v>
      </c>
    </row>
    <row r="16" spans="2:38" ht="45" customHeight="1" outlineLevel="1" thickBot="1">
      <c r="B16" s="121"/>
      <c r="C16" s="122"/>
      <c r="D16" s="123"/>
      <c r="E16" s="124"/>
      <c r="F16" s="257" t="s">
        <v>154</v>
      </c>
      <c r="G16" s="258"/>
      <c r="H16" s="125" t="s">
        <v>155</v>
      </c>
      <c r="I16" s="125" t="s">
        <v>156</v>
      </c>
      <c r="J16" s="126"/>
      <c r="K16" s="126"/>
      <c r="L16" s="127"/>
      <c r="M16" s="127"/>
      <c r="N16" s="126"/>
      <c r="O16" s="126"/>
      <c r="P16" s="126"/>
      <c r="Q16" s="126"/>
      <c r="R16" s="128"/>
      <c r="S16" s="128"/>
      <c r="T16" s="129"/>
      <c r="V16" s="130"/>
      <c r="W16" s="130"/>
      <c r="X16" s="131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2:38" ht="17.25" customHeight="1" thickBot="1" thickTop="1">
      <c r="B17" s="133">
        <f>IF($P$5&gt;=1,1,)</f>
        <v>1</v>
      </c>
      <c r="C17" s="134" t="s">
        <v>157</v>
      </c>
      <c r="D17" s="135">
        <v>1000</v>
      </c>
      <c r="E17" s="136">
        <v>0</v>
      </c>
      <c r="F17" s="137" t="str">
        <f aca="true" t="shared" si="0" ref="F17:F26">IF(E17=0,"0.1","0.3")</f>
        <v>0.1</v>
      </c>
      <c r="G17" s="137">
        <v>1</v>
      </c>
      <c r="H17" s="137">
        <v>1</v>
      </c>
      <c r="I17" s="138">
        <v>0.2</v>
      </c>
      <c r="J17" s="139">
        <v>0</v>
      </c>
      <c r="K17" s="140">
        <f aca="true" t="shared" si="1" ref="K17:K26">IF(B17&gt;0,IF(W17&gt;0,MOD(W17,15)),)</f>
        <v>7</v>
      </c>
      <c r="L17" s="140">
        <f aca="true" t="shared" si="2" ref="L17:L26">IF(B17&gt;0,IF(W17&gt;0,INT((W17-K17)/15)+1,0),)</f>
        <v>10</v>
      </c>
      <c r="M17" s="140">
        <f aca="true" t="shared" si="3" ref="M17:M26">IF(B17&gt;0,IF(NOT(X17=FALSE),1,0),)</f>
        <v>1</v>
      </c>
      <c r="N17" s="141">
        <f aca="true" t="shared" si="4" ref="N17:N26">IF(B17&gt;0,(D17*37.5-O17)/37.5,)</f>
        <v>999.9941333333333</v>
      </c>
      <c r="O17" s="142">
        <f aca="true" t="shared" si="5" ref="O17:O26">IF(B17&gt;0,D17*I17/100*0.11,)</f>
        <v>0.22</v>
      </c>
      <c r="P17" s="143">
        <f aca="true" t="shared" si="6" ref="P17:P26">(D17*37.5-O17)*0.0002*H17*(L17+M17)</f>
        <v>82.499516</v>
      </c>
      <c r="Q17" s="143">
        <f aca="true" t="shared" si="7" ref="Q17:Q26">37.5*0.0002*H17*Y17</f>
        <v>7.133740116534243</v>
      </c>
      <c r="R17" s="143">
        <f aca="true" t="shared" si="8" ref="R17:R26">O17+P17</f>
        <v>82.719516</v>
      </c>
      <c r="S17" s="143">
        <f aca="true" t="shared" si="9" ref="S17:S26">O17+Q17</f>
        <v>7.353740116534243</v>
      </c>
      <c r="T17" s="144"/>
      <c r="V17" s="145">
        <f aca="true" t="shared" si="10" ref="V17:V26">1-(0.2/100)*H17</f>
        <v>0.998</v>
      </c>
      <c r="W17" s="146">
        <f aca="true" t="shared" si="11" ref="W17:W26">IF(J17&lt;142,142-J17,0)</f>
        <v>142</v>
      </c>
      <c r="X17" s="147">
        <f aca="true" t="shared" si="12" ref="X17:X26">IF(J17&lt;=142,120,IF(J17&lt;=262,262-J17))</f>
        <v>120</v>
      </c>
      <c r="Y17" s="148">
        <f aca="true" t="shared" si="13" ref="Y17:Y26">Z17+AA17</f>
        <v>951.1653488712324</v>
      </c>
      <c r="Z17" s="149">
        <f aca="true" t="shared" si="14" ref="Z17:Z26">SUM(AC17:AL17)</f>
        <v>951.1653361562144</v>
      </c>
      <c r="AA17" s="149">
        <f aca="true" t="shared" si="15" ref="AA17:AA26">IF(NOT(X17=FALSE),AB17*$V17*EXP(-1*$S$6*$X17))</f>
        <v>1.2715017979164565E-05</v>
      </c>
      <c r="AB17" s="149">
        <f aca="true" ca="1" t="shared" si="16" ref="AB17:AB26">IF(W17&gt;0,MIN(OFFSET(AC17,0,0,1,10-COUNTIF(AC17:AL17,0))),N17)</f>
        <v>0.05218508381027858</v>
      </c>
      <c r="AC17" s="150">
        <f aca="true" t="shared" si="17" ref="AC17:AC26">IF($K17&lt;=$W17,N17*EXP(-1*$S$6*K17),0)</f>
        <v>615.5685953155123</v>
      </c>
      <c r="AD17" s="150">
        <f aca="true" t="shared" si="18" ref="AD17:AL26">IF($K17+15*(AD$13-1)&lt;=$W17,AC17*$V17*EXP(-1*$S$6*15),0)</f>
        <v>217.20109128850515</v>
      </c>
      <c r="AE17" s="150">
        <f t="shared" si="18"/>
        <v>76.63859790107897</v>
      </c>
      <c r="AF17" s="150">
        <f t="shared" si="18"/>
        <v>27.04164446596454</v>
      </c>
      <c r="AG17" s="150">
        <f t="shared" si="18"/>
        <v>9.541543757983284</v>
      </c>
      <c r="AH17" s="150">
        <f t="shared" si="18"/>
        <v>3.3666982568348196</v>
      </c>
      <c r="AI17" s="150">
        <f t="shared" si="18"/>
        <v>1.187926968640798</v>
      </c>
      <c r="AJ17" s="150">
        <f t="shared" si="18"/>
        <v>0.4191556163250635</v>
      </c>
      <c r="AK17" s="150">
        <f t="shared" si="18"/>
        <v>0.1478975015592637</v>
      </c>
      <c r="AL17" s="150">
        <f t="shared" si="18"/>
        <v>0.05218508381027858</v>
      </c>
    </row>
    <row r="18" spans="2:38" ht="17.25" customHeight="1" thickBot="1" thickTop="1">
      <c r="B18" s="133">
        <f>IF($P$5&gt;=2,2,)</f>
        <v>2</v>
      </c>
      <c r="C18" s="134" t="s">
        <v>157</v>
      </c>
      <c r="D18" s="135">
        <v>1500</v>
      </c>
      <c r="E18" s="136">
        <v>0</v>
      </c>
      <c r="F18" s="137" t="str">
        <f t="shared" si="0"/>
        <v>0.1</v>
      </c>
      <c r="G18" s="137">
        <v>1</v>
      </c>
      <c r="H18" s="137">
        <v>1</v>
      </c>
      <c r="I18" s="138">
        <v>0.2</v>
      </c>
      <c r="J18" s="139">
        <f aca="true" t="shared" si="19" ref="J18:J26">IF($B18&gt;0,ROUND($S$5*($B18-1),0),)</f>
        <v>38</v>
      </c>
      <c r="K18" s="140">
        <f t="shared" si="1"/>
        <v>14</v>
      </c>
      <c r="L18" s="140">
        <f t="shared" si="2"/>
        <v>7</v>
      </c>
      <c r="M18" s="140">
        <f t="shared" si="3"/>
        <v>1</v>
      </c>
      <c r="N18" s="141">
        <f t="shared" si="4"/>
        <v>1499.9912</v>
      </c>
      <c r="O18" s="142">
        <f t="shared" si="5"/>
        <v>0.33</v>
      </c>
      <c r="P18" s="143">
        <f t="shared" si="6"/>
        <v>89.999472</v>
      </c>
      <c r="Q18" s="143">
        <f t="shared" si="7"/>
        <v>6.582711793879243</v>
      </c>
      <c r="R18" s="143">
        <f t="shared" si="8"/>
        <v>90.329472</v>
      </c>
      <c r="S18" s="143">
        <f t="shared" si="9"/>
        <v>6.912711793879243</v>
      </c>
      <c r="T18" s="151"/>
      <c r="V18" s="145">
        <f t="shared" si="10"/>
        <v>0.998</v>
      </c>
      <c r="W18" s="146">
        <f t="shared" si="11"/>
        <v>104</v>
      </c>
      <c r="X18" s="147">
        <f t="shared" si="12"/>
        <v>120</v>
      </c>
      <c r="Y18" s="148">
        <f t="shared" si="13"/>
        <v>877.6949058505656</v>
      </c>
      <c r="Z18" s="149">
        <f t="shared" si="14"/>
        <v>877.6946385926375</v>
      </c>
      <c r="AA18" s="149">
        <f t="shared" si="15"/>
        <v>0.00026725792814979364</v>
      </c>
      <c r="AB18" s="149">
        <f ca="1" t="shared" si="16"/>
        <v>1.09688223817791</v>
      </c>
      <c r="AC18" s="150">
        <f t="shared" si="17"/>
        <v>568.3903778649529</v>
      </c>
      <c r="AD18" s="150">
        <f t="shared" si="18"/>
        <v>200.5544325841967</v>
      </c>
      <c r="AE18" s="150">
        <f t="shared" si="18"/>
        <v>70.76488623937558</v>
      </c>
      <c r="AF18" s="150">
        <f t="shared" si="18"/>
        <v>24.969127133948785</v>
      </c>
      <c r="AG18" s="150">
        <f t="shared" si="18"/>
        <v>8.810263719245382</v>
      </c>
      <c r="AH18" s="150">
        <f t="shared" si="18"/>
        <v>3.108668812740192</v>
      </c>
      <c r="AI18" s="150">
        <f t="shared" si="18"/>
        <v>1.09688223817791</v>
      </c>
      <c r="AJ18" s="150">
        <f t="shared" si="18"/>
        <v>0</v>
      </c>
      <c r="AK18" s="150">
        <f t="shared" si="18"/>
        <v>0</v>
      </c>
      <c r="AL18" s="150">
        <f t="shared" si="18"/>
        <v>0</v>
      </c>
    </row>
    <row r="19" spans="2:38" ht="17.25" customHeight="1" thickBot="1" thickTop="1">
      <c r="B19" s="133">
        <f>IF($P$5&gt;=3,3,)</f>
        <v>3</v>
      </c>
      <c r="C19" s="134" t="s">
        <v>157</v>
      </c>
      <c r="D19" s="135">
        <v>1500</v>
      </c>
      <c r="E19" s="136">
        <v>0</v>
      </c>
      <c r="F19" s="137" t="str">
        <f t="shared" si="0"/>
        <v>0.1</v>
      </c>
      <c r="G19" s="137">
        <v>1</v>
      </c>
      <c r="H19" s="137">
        <v>1</v>
      </c>
      <c r="I19" s="138">
        <v>0.2</v>
      </c>
      <c r="J19" s="139">
        <f t="shared" si="19"/>
        <v>76</v>
      </c>
      <c r="K19" s="140">
        <f t="shared" si="1"/>
        <v>6</v>
      </c>
      <c r="L19" s="140">
        <f t="shared" si="2"/>
        <v>5</v>
      </c>
      <c r="M19" s="140">
        <f t="shared" si="3"/>
        <v>1</v>
      </c>
      <c r="N19" s="141">
        <f t="shared" si="4"/>
        <v>1499.9912</v>
      </c>
      <c r="O19" s="142">
        <f t="shared" si="5"/>
        <v>0.33</v>
      </c>
      <c r="P19" s="143">
        <f t="shared" si="6"/>
        <v>67.499604</v>
      </c>
      <c r="Q19" s="143">
        <f t="shared" si="7"/>
        <v>11.406274289285175</v>
      </c>
      <c r="R19" s="143">
        <f t="shared" si="8"/>
        <v>67.829604</v>
      </c>
      <c r="S19" s="143">
        <f t="shared" si="9"/>
        <v>11.736274289285175</v>
      </c>
      <c r="T19" s="152"/>
      <c r="V19" s="145">
        <f t="shared" si="10"/>
        <v>0.998</v>
      </c>
      <c r="W19" s="147">
        <f t="shared" si="11"/>
        <v>66</v>
      </c>
      <c r="X19" s="147">
        <f t="shared" si="12"/>
        <v>120</v>
      </c>
      <c r="Y19" s="148">
        <f t="shared" si="13"/>
        <v>1520.83657190469</v>
      </c>
      <c r="Z19" s="148">
        <f t="shared" si="14"/>
        <v>1520.8328343849225</v>
      </c>
      <c r="AA19" s="149">
        <f t="shared" si="15"/>
        <v>0.0037375197673287725</v>
      </c>
      <c r="AB19" s="149">
        <f ca="1" t="shared" si="16"/>
        <v>15.339560087152947</v>
      </c>
      <c r="AC19" s="150">
        <f t="shared" si="17"/>
        <v>989.6251272448634</v>
      </c>
      <c r="AD19" s="150">
        <f t="shared" si="18"/>
        <v>349.185548515414</v>
      </c>
      <c r="AE19" s="150">
        <f t="shared" si="18"/>
        <v>123.20882315454912</v>
      </c>
      <c r="AF19" s="150">
        <f t="shared" si="18"/>
        <v>43.47377538294331</v>
      </c>
      <c r="AG19" s="150">
        <f t="shared" si="18"/>
        <v>15.339560087152947</v>
      </c>
      <c r="AH19" s="150">
        <f t="shared" si="18"/>
        <v>0</v>
      </c>
      <c r="AI19" s="150">
        <f t="shared" si="18"/>
        <v>0</v>
      </c>
      <c r="AJ19" s="150">
        <f t="shared" si="18"/>
        <v>0</v>
      </c>
      <c r="AK19" s="150">
        <f t="shared" si="18"/>
        <v>0</v>
      </c>
      <c r="AL19" s="150">
        <f t="shared" si="18"/>
        <v>0</v>
      </c>
    </row>
    <row r="20" spans="2:38" ht="17.25" customHeight="1" thickBot="1" thickTop="1">
      <c r="B20" s="133">
        <f>IF($P$5&gt;=4,4,)</f>
        <v>4</v>
      </c>
      <c r="C20" s="134" t="s">
        <v>157</v>
      </c>
      <c r="D20" s="135">
        <v>1000</v>
      </c>
      <c r="E20" s="136">
        <v>0</v>
      </c>
      <c r="F20" s="137" t="str">
        <f t="shared" si="0"/>
        <v>0.1</v>
      </c>
      <c r="G20" s="137">
        <v>1</v>
      </c>
      <c r="H20" s="137">
        <v>1</v>
      </c>
      <c r="I20" s="138">
        <v>0.2</v>
      </c>
      <c r="J20" s="139">
        <f t="shared" si="19"/>
        <v>114</v>
      </c>
      <c r="K20" s="140">
        <f t="shared" si="1"/>
        <v>13</v>
      </c>
      <c r="L20" s="140">
        <f t="shared" si="2"/>
        <v>2</v>
      </c>
      <c r="M20" s="140">
        <f t="shared" si="3"/>
        <v>1</v>
      </c>
      <c r="N20" s="141">
        <f t="shared" si="4"/>
        <v>999.9941333333333</v>
      </c>
      <c r="O20" s="142">
        <f t="shared" si="5"/>
        <v>0.22</v>
      </c>
      <c r="P20" s="143">
        <f t="shared" si="6"/>
        <v>22.499868</v>
      </c>
      <c r="Q20" s="143">
        <f t="shared" si="7"/>
        <v>4.120935074011057</v>
      </c>
      <c r="R20" s="143">
        <f t="shared" si="8"/>
        <v>22.719867999999998</v>
      </c>
      <c r="S20" s="143">
        <f t="shared" si="9"/>
        <v>4.340935074011057</v>
      </c>
      <c r="V20" s="145">
        <f t="shared" si="10"/>
        <v>0.998</v>
      </c>
      <c r="W20" s="147">
        <f t="shared" si="11"/>
        <v>28</v>
      </c>
      <c r="X20" s="147">
        <f t="shared" si="12"/>
        <v>120</v>
      </c>
      <c r="Y20" s="148">
        <f t="shared" si="13"/>
        <v>549.458009868141</v>
      </c>
      <c r="Z20" s="148">
        <f t="shared" si="14"/>
        <v>549.4230946629325</v>
      </c>
      <c r="AA20" s="149">
        <f t="shared" si="15"/>
        <v>0.034915205208413194</v>
      </c>
      <c r="AB20" s="149">
        <f ca="1" t="shared" si="16"/>
        <v>143.29927909184406</v>
      </c>
      <c r="AC20" s="150">
        <f t="shared" si="17"/>
        <v>406.12381557108847</v>
      </c>
      <c r="AD20" s="150">
        <f t="shared" si="18"/>
        <v>143.29927909184406</v>
      </c>
      <c r="AE20" s="150">
        <f t="shared" si="18"/>
        <v>0</v>
      </c>
      <c r="AF20" s="150">
        <f t="shared" si="18"/>
        <v>0</v>
      </c>
      <c r="AG20" s="150">
        <f t="shared" si="18"/>
        <v>0</v>
      </c>
      <c r="AH20" s="150">
        <f t="shared" si="18"/>
        <v>0</v>
      </c>
      <c r="AI20" s="150">
        <f t="shared" si="18"/>
        <v>0</v>
      </c>
      <c r="AJ20" s="150">
        <f t="shared" si="18"/>
        <v>0</v>
      </c>
      <c r="AK20" s="150">
        <f t="shared" si="18"/>
        <v>0</v>
      </c>
      <c r="AL20" s="150">
        <f t="shared" si="18"/>
        <v>0</v>
      </c>
    </row>
    <row r="21" spans="2:38" ht="17.25" customHeight="1" thickTop="1">
      <c r="B21" s="133">
        <f>IF($P$5&gt;=5,5,)</f>
        <v>0</v>
      </c>
      <c r="C21" s="134" t="s">
        <v>157</v>
      </c>
      <c r="D21" s="153"/>
      <c r="E21" s="154">
        <v>0</v>
      </c>
      <c r="F21" s="155" t="str">
        <f t="shared" si="0"/>
        <v>0.1</v>
      </c>
      <c r="G21" s="155">
        <v>1</v>
      </c>
      <c r="H21" s="155">
        <v>1</v>
      </c>
      <c r="I21" s="156">
        <v>0.2</v>
      </c>
      <c r="J21" s="139">
        <f t="shared" si="19"/>
        <v>0</v>
      </c>
      <c r="K21" s="140">
        <f t="shared" si="1"/>
        <v>0</v>
      </c>
      <c r="L21" s="140">
        <f t="shared" si="2"/>
        <v>0</v>
      </c>
      <c r="M21" s="140">
        <f t="shared" si="3"/>
        <v>0</v>
      </c>
      <c r="N21" s="141">
        <f t="shared" si="4"/>
        <v>0</v>
      </c>
      <c r="O21" s="142">
        <f t="shared" si="5"/>
        <v>0</v>
      </c>
      <c r="P21" s="143">
        <f t="shared" si="6"/>
        <v>0</v>
      </c>
      <c r="Q21" s="143" t="e">
        <f t="shared" si="7"/>
        <v>#REF!</v>
      </c>
      <c r="R21" s="143">
        <f t="shared" si="8"/>
        <v>0</v>
      </c>
      <c r="S21" s="143" t="e">
        <f t="shared" si="9"/>
        <v>#REF!</v>
      </c>
      <c r="T21" s="157"/>
      <c r="V21" s="145">
        <f t="shared" si="10"/>
        <v>0.998</v>
      </c>
      <c r="W21" s="147">
        <f t="shared" si="11"/>
        <v>142</v>
      </c>
      <c r="X21" s="147">
        <f t="shared" si="12"/>
        <v>120</v>
      </c>
      <c r="Y21" s="148" t="e">
        <f t="shared" si="13"/>
        <v>#REF!</v>
      </c>
      <c r="Z21" s="148">
        <f t="shared" si="14"/>
        <v>0</v>
      </c>
      <c r="AA21" s="149" t="e">
        <f t="shared" si="15"/>
        <v>#REF!</v>
      </c>
      <c r="AB21" s="149" t="e">
        <f ca="1" t="shared" si="16"/>
        <v>#REF!</v>
      </c>
      <c r="AC21" s="150">
        <f t="shared" si="17"/>
        <v>0</v>
      </c>
      <c r="AD21" s="150">
        <f t="shared" si="18"/>
        <v>0</v>
      </c>
      <c r="AE21" s="150">
        <f t="shared" si="18"/>
        <v>0</v>
      </c>
      <c r="AF21" s="150">
        <f t="shared" si="18"/>
        <v>0</v>
      </c>
      <c r="AG21" s="150">
        <f t="shared" si="18"/>
        <v>0</v>
      </c>
      <c r="AH21" s="150">
        <f t="shared" si="18"/>
        <v>0</v>
      </c>
      <c r="AI21" s="150">
        <f t="shared" si="18"/>
        <v>0</v>
      </c>
      <c r="AJ21" s="150">
        <f t="shared" si="18"/>
        <v>0</v>
      </c>
      <c r="AK21" s="150">
        <f t="shared" si="18"/>
        <v>0</v>
      </c>
      <c r="AL21" s="150">
        <f t="shared" si="18"/>
        <v>0</v>
      </c>
    </row>
    <row r="22" spans="2:38" ht="17.25" customHeight="1">
      <c r="B22" s="133">
        <f>IF($P$5&gt;=6,6,)</f>
        <v>0</v>
      </c>
      <c r="C22" s="134" t="s">
        <v>157</v>
      </c>
      <c r="D22" s="158"/>
      <c r="E22" s="159">
        <v>0</v>
      </c>
      <c r="F22" s="155" t="str">
        <f t="shared" si="0"/>
        <v>0.1</v>
      </c>
      <c r="G22" s="155">
        <v>1</v>
      </c>
      <c r="H22" s="160">
        <v>1</v>
      </c>
      <c r="I22" s="161">
        <v>0.2</v>
      </c>
      <c r="J22" s="139">
        <f t="shared" si="19"/>
        <v>0</v>
      </c>
      <c r="K22" s="140">
        <f t="shared" si="1"/>
        <v>0</v>
      </c>
      <c r="L22" s="140">
        <f t="shared" si="2"/>
        <v>0</v>
      </c>
      <c r="M22" s="140">
        <f t="shared" si="3"/>
        <v>0</v>
      </c>
      <c r="N22" s="141">
        <f t="shared" si="4"/>
        <v>0</v>
      </c>
      <c r="O22" s="142">
        <f t="shared" si="5"/>
        <v>0</v>
      </c>
      <c r="P22" s="143">
        <f t="shared" si="6"/>
        <v>0</v>
      </c>
      <c r="Q22" s="143" t="e">
        <f t="shared" si="7"/>
        <v>#REF!</v>
      </c>
      <c r="R22" s="143">
        <f t="shared" si="8"/>
        <v>0</v>
      </c>
      <c r="S22" s="143" t="e">
        <f t="shared" si="9"/>
        <v>#REF!</v>
      </c>
      <c r="V22" s="145">
        <f t="shared" si="10"/>
        <v>0.998</v>
      </c>
      <c r="W22" s="147">
        <f t="shared" si="11"/>
        <v>142</v>
      </c>
      <c r="X22" s="147">
        <f t="shared" si="12"/>
        <v>120</v>
      </c>
      <c r="Y22" s="150" t="e">
        <f t="shared" si="13"/>
        <v>#REF!</v>
      </c>
      <c r="Z22" s="148">
        <f t="shared" si="14"/>
        <v>0</v>
      </c>
      <c r="AA22" s="149" t="e">
        <f t="shared" si="15"/>
        <v>#REF!</v>
      </c>
      <c r="AB22" s="149" t="e">
        <f ca="1" t="shared" si="16"/>
        <v>#REF!</v>
      </c>
      <c r="AC22" s="150">
        <f t="shared" si="17"/>
        <v>0</v>
      </c>
      <c r="AD22" s="150">
        <f t="shared" si="18"/>
        <v>0</v>
      </c>
      <c r="AE22" s="150">
        <f t="shared" si="18"/>
        <v>0</v>
      </c>
      <c r="AF22" s="150">
        <f t="shared" si="18"/>
        <v>0</v>
      </c>
      <c r="AG22" s="150">
        <f t="shared" si="18"/>
        <v>0</v>
      </c>
      <c r="AH22" s="150">
        <f t="shared" si="18"/>
        <v>0</v>
      </c>
      <c r="AI22" s="150">
        <f t="shared" si="18"/>
        <v>0</v>
      </c>
      <c r="AJ22" s="150">
        <f t="shared" si="18"/>
        <v>0</v>
      </c>
      <c r="AK22" s="150">
        <f t="shared" si="18"/>
        <v>0</v>
      </c>
      <c r="AL22" s="150">
        <f t="shared" si="18"/>
        <v>0</v>
      </c>
    </row>
    <row r="23" spans="2:38" ht="17.25" customHeight="1">
      <c r="B23" s="133">
        <f>IF($P$5&gt;=7,7,)</f>
        <v>0</v>
      </c>
      <c r="C23" s="134" t="s">
        <v>157</v>
      </c>
      <c r="D23" s="158"/>
      <c r="E23" s="159">
        <v>0</v>
      </c>
      <c r="F23" s="155" t="str">
        <f t="shared" si="0"/>
        <v>0.1</v>
      </c>
      <c r="G23" s="155">
        <v>1</v>
      </c>
      <c r="H23" s="160">
        <v>1</v>
      </c>
      <c r="I23" s="161">
        <v>0.2</v>
      </c>
      <c r="J23" s="139">
        <f t="shared" si="19"/>
        <v>0</v>
      </c>
      <c r="K23" s="140">
        <f t="shared" si="1"/>
        <v>0</v>
      </c>
      <c r="L23" s="140">
        <f t="shared" si="2"/>
        <v>0</v>
      </c>
      <c r="M23" s="140">
        <f t="shared" si="3"/>
        <v>0</v>
      </c>
      <c r="N23" s="141">
        <f t="shared" si="4"/>
        <v>0</v>
      </c>
      <c r="O23" s="142">
        <f t="shared" si="5"/>
        <v>0</v>
      </c>
      <c r="P23" s="143">
        <f t="shared" si="6"/>
        <v>0</v>
      </c>
      <c r="Q23" s="143" t="e">
        <f t="shared" si="7"/>
        <v>#REF!</v>
      </c>
      <c r="R23" s="143">
        <f t="shared" si="8"/>
        <v>0</v>
      </c>
      <c r="S23" s="143" t="e">
        <f t="shared" si="9"/>
        <v>#REF!</v>
      </c>
      <c r="V23" s="145">
        <f t="shared" si="10"/>
        <v>0.998</v>
      </c>
      <c r="W23" s="147">
        <f t="shared" si="11"/>
        <v>142</v>
      </c>
      <c r="X23" s="147">
        <f t="shared" si="12"/>
        <v>120</v>
      </c>
      <c r="Y23" s="150" t="e">
        <f t="shared" si="13"/>
        <v>#REF!</v>
      </c>
      <c r="Z23" s="148">
        <f t="shared" si="14"/>
        <v>0</v>
      </c>
      <c r="AA23" s="149" t="e">
        <f t="shared" si="15"/>
        <v>#REF!</v>
      </c>
      <c r="AB23" s="149" t="e">
        <f ca="1" t="shared" si="16"/>
        <v>#REF!</v>
      </c>
      <c r="AC23" s="150">
        <f t="shared" si="17"/>
        <v>0</v>
      </c>
      <c r="AD23" s="150">
        <f t="shared" si="18"/>
        <v>0</v>
      </c>
      <c r="AE23" s="150">
        <f t="shared" si="18"/>
        <v>0</v>
      </c>
      <c r="AF23" s="150">
        <f t="shared" si="18"/>
        <v>0</v>
      </c>
      <c r="AG23" s="150">
        <f t="shared" si="18"/>
        <v>0</v>
      </c>
      <c r="AH23" s="150">
        <f t="shared" si="18"/>
        <v>0</v>
      </c>
      <c r="AI23" s="150">
        <f t="shared" si="18"/>
        <v>0</v>
      </c>
      <c r="AJ23" s="150">
        <f t="shared" si="18"/>
        <v>0</v>
      </c>
      <c r="AK23" s="150">
        <f t="shared" si="18"/>
        <v>0</v>
      </c>
      <c r="AL23" s="150">
        <f t="shared" si="18"/>
        <v>0</v>
      </c>
    </row>
    <row r="24" spans="2:38" ht="17.25" customHeight="1">
      <c r="B24" s="133">
        <f>IF($P$5&gt;=8,8,)</f>
        <v>0</v>
      </c>
      <c r="C24" s="134" t="s">
        <v>157</v>
      </c>
      <c r="D24" s="158"/>
      <c r="E24" s="159">
        <v>0</v>
      </c>
      <c r="F24" s="155" t="str">
        <f t="shared" si="0"/>
        <v>0.1</v>
      </c>
      <c r="G24" s="155">
        <v>1</v>
      </c>
      <c r="H24" s="160">
        <v>1</v>
      </c>
      <c r="I24" s="161">
        <v>0.2</v>
      </c>
      <c r="J24" s="139">
        <f t="shared" si="19"/>
        <v>0</v>
      </c>
      <c r="K24" s="140">
        <f t="shared" si="1"/>
        <v>0</v>
      </c>
      <c r="L24" s="140">
        <f t="shared" si="2"/>
        <v>0</v>
      </c>
      <c r="M24" s="140">
        <f t="shared" si="3"/>
        <v>0</v>
      </c>
      <c r="N24" s="141">
        <f t="shared" si="4"/>
        <v>0</v>
      </c>
      <c r="O24" s="142">
        <f t="shared" si="5"/>
        <v>0</v>
      </c>
      <c r="P24" s="143">
        <f t="shared" si="6"/>
        <v>0</v>
      </c>
      <c r="Q24" s="143" t="e">
        <f t="shared" si="7"/>
        <v>#REF!</v>
      </c>
      <c r="R24" s="143">
        <f t="shared" si="8"/>
        <v>0</v>
      </c>
      <c r="S24" s="143" t="e">
        <f t="shared" si="9"/>
        <v>#REF!</v>
      </c>
      <c r="V24" s="145">
        <f t="shared" si="10"/>
        <v>0.998</v>
      </c>
      <c r="W24" s="147">
        <f t="shared" si="11"/>
        <v>142</v>
      </c>
      <c r="X24" s="147">
        <f t="shared" si="12"/>
        <v>120</v>
      </c>
      <c r="Y24" s="150" t="e">
        <f t="shared" si="13"/>
        <v>#REF!</v>
      </c>
      <c r="Z24" s="148">
        <f t="shared" si="14"/>
        <v>0</v>
      </c>
      <c r="AA24" s="149" t="e">
        <f t="shared" si="15"/>
        <v>#REF!</v>
      </c>
      <c r="AB24" s="149" t="e">
        <f ca="1" t="shared" si="16"/>
        <v>#REF!</v>
      </c>
      <c r="AC24" s="150">
        <f t="shared" si="17"/>
        <v>0</v>
      </c>
      <c r="AD24" s="150">
        <f t="shared" si="18"/>
        <v>0</v>
      </c>
      <c r="AE24" s="150">
        <f t="shared" si="18"/>
        <v>0</v>
      </c>
      <c r="AF24" s="150">
        <f t="shared" si="18"/>
        <v>0</v>
      </c>
      <c r="AG24" s="150">
        <f t="shared" si="18"/>
        <v>0</v>
      </c>
      <c r="AH24" s="150">
        <f t="shared" si="18"/>
        <v>0</v>
      </c>
      <c r="AI24" s="150">
        <f t="shared" si="18"/>
        <v>0</v>
      </c>
      <c r="AJ24" s="150">
        <f t="shared" si="18"/>
        <v>0</v>
      </c>
      <c r="AK24" s="150">
        <f t="shared" si="18"/>
        <v>0</v>
      </c>
      <c r="AL24" s="150">
        <f t="shared" si="18"/>
        <v>0</v>
      </c>
    </row>
    <row r="25" spans="2:38" ht="17.25" customHeight="1">
      <c r="B25" s="133">
        <f>IF($P$5&gt;=9,9,)</f>
        <v>0</v>
      </c>
      <c r="C25" s="134" t="s">
        <v>157</v>
      </c>
      <c r="D25" s="158"/>
      <c r="E25" s="159">
        <v>0</v>
      </c>
      <c r="F25" s="155" t="str">
        <f t="shared" si="0"/>
        <v>0.1</v>
      </c>
      <c r="G25" s="155">
        <v>1</v>
      </c>
      <c r="H25" s="160">
        <v>1</v>
      </c>
      <c r="I25" s="161">
        <v>0.2</v>
      </c>
      <c r="J25" s="139">
        <f t="shared" si="19"/>
        <v>0</v>
      </c>
      <c r="K25" s="140">
        <f t="shared" si="1"/>
        <v>0</v>
      </c>
      <c r="L25" s="140">
        <f t="shared" si="2"/>
        <v>0</v>
      </c>
      <c r="M25" s="140">
        <f t="shared" si="3"/>
        <v>0</v>
      </c>
      <c r="N25" s="141">
        <f t="shared" si="4"/>
        <v>0</v>
      </c>
      <c r="O25" s="142">
        <f t="shared" si="5"/>
        <v>0</v>
      </c>
      <c r="P25" s="143">
        <f t="shared" si="6"/>
        <v>0</v>
      </c>
      <c r="Q25" s="143" t="e">
        <f t="shared" si="7"/>
        <v>#REF!</v>
      </c>
      <c r="R25" s="143">
        <f t="shared" si="8"/>
        <v>0</v>
      </c>
      <c r="S25" s="143" t="e">
        <f t="shared" si="9"/>
        <v>#REF!</v>
      </c>
      <c r="V25" s="145">
        <f t="shared" si="10"/>
        <v>0.998</v>
      </c>
      <c r="W25" s="147">
        <f t="shared" si="11"/>
        <v>142</v>
      </c>
      <c r="X25" s="147">
        <f t="shared" si="12"/>
        <v>120</v>
      </c>
      <c r="Y25" s="150" t="e">
        <f t="shared" si="13"/>
        <v>#REF!</v>
      </c>
      <c r="Z25" s="148">
        <f t="shared" si="14"/>
        <v>0</v>
      </c>
      <c r="AA25" s="149" t="e">
        <f t="shared" si="15"/>
        <v>#REF!</v>
      </c>
      <c r="AB25" s="149" t="e">
        <f ca="1" t="shared" si="16"/>
        <v>#REF!</v>
      </c>
      <c r="AC25" s="150">
        <f t="shared" si="17"/>
        <v>0</v>
      </c>
      <c r="AD25" s="150">
        <f t="shared" si="18"/>
        <v>0</v>
      </c>
      <c r="AE25" s="150">
        <f t="shared" si="18"/>
        <v>0</v>
      </c>
      <c r="AF25" s="150">
        <f t="shared" si="18"/>
        <v>0</v>
      </c>
      <c r="AG25" s="150">
        <f t="shared" si="18"/>
        <v>0</v>
      </c>
      <c r="AH25" s="150">
        <f t="shared" si="18"/>
        <v>0</v>
      </c>
      <c r="AI25" s="150">
        <f t="shared" si="18"/>
        <v>0</v>
      </c>
      <c r="AJ25" s="150">
        <f t="shared" si="18"/>
        <v>0</v>
      </c>
      <c r="AK25" s="150">
        <f t="shared" si="18"/>
        <v>0</v>
      </c>
      <c r="AL25" s="150">
        <f t="shared" si="18"/>
        <v>0</v>
      </c>
    </row>
    <row r="26" spans="2:38" ht="17.25" customHeight="1" thickBot="1">
      <c r="B26" s="133">
        <f>IF($P$5&gt;=10,10,)</f>
        <v>0</v>
      </c>
      <c r="C26" s="134" t="s">
        <v>157</v>
      </c>
      <c r="D26" s="162"/>
      <c r="E26" s="163">
        <v>0</v>
      </c>
      <c r="F26" s="164" t="str">
        <f t="shared" si="0"/>
        <v>0.1</v>
      </c>
      <c r="G26" s="164">
        <v>1</v>
      </c>
      <c r="H26" s="165">
        <v>1</v>
      </c>
      <c r="I26" s="166">
        <v>0.2</v>
      </c>
      <c r="J26" s="139">
        <f t="shared" si="19"/>
        <v>0</v>
      </c>
      <c r="K26" s="140">
        <f t="shared" si="1"/>
        <v>0</v>
      </c>
      <c r="L26" s="167">
        <f t="shared" si="2"/>
        <v>0</v>
      </c>
      <c r="M26" s="167">
        <f t="shared" si="3"/>
        <v>0</v>
      </c>
      <c r="N26" s="141">
        <f t="shared" si="4"/>
        <v>0</v>
      </c>
      <c r="O26" s="142">
        <f t="shared" si="5"/>
        <v>0</v>
      </c>
      <c r="P26" s="168">
        <f t="shared" si="6"/>
        <v>0</v>
      </c>
      <c r="Q26" s="168" t="e">
        <f t="shared" si="7"/>
        <v>#REF!</v>
      </c>
      <c r="R26" s="168">
        <f t="shared" si="8"/>
        <v>0</v>
      </c>
      <c r="S26" s="168" t="e">
        <f t="shared" si="9"/>
        <v>#REF!</v>
      </c>
      <c r="T26" s="98"/>
      <c r="V26" s="145">
        <f t="shared" si="10"/>
        <v>0.998</v>
      </c>
      <c r="W26" s="147">
        <f t="shared" si="11"/>
        <v>142</v>
      </c>
      <c r="X26" s="147">
        <f t="shared" si="12"/>
        <v>120</v>
      </c>
      <c r="Y26" s="150" t="e">
        <f t="shared" si="13"/>
        <v>#REF!</v>
      </c>
      <c r="Z26" s="148">
        <f t="shared" si="14"/>
        <v>0</v>
      </c>
      <c r="AA26" s="149" t="e">
        <f t="shared" si="15"/>
        <v>#REF!</v>
      </c>
      <c r="AB26" s="149" t="e">
        <f ca="1" t="shared" si="16"/>
        <v>#REF!</v>
      </c>
      <c r="AC26" s="150">
        <f t="shared" si="17"/>
        <v>0</v>
      </c>
      <c r="AD26" s="150">
        <f t="shared" si="18"/>
        <v>0</v>
      </c>
      <c r="AE26" s="150">
        <f t="shared" si="18"/>
        <v>0</v>
      </c>
      <c r="AF26" s="150">
        <f t="shared" si="18"/>
        <v>0</v>
      </c>
      <c r="AG26" s="150">
        <f t="shared" si="18"/>
        <v>0</v>
      </c>
      <c r="AH26" s="150">
        <f t="shared" si="18"/>
        <v>0</v>
      </c>
      <c r="AI26" s="150">
        <f t="shared" si="18"/>
        <v>0</v>
      </c>
      <c r="AJ26" s="150">
        <f t="shared" si="18"/>
        <v>0</v>
      </c>
      <c r="AK26" s="150">
        <f t="shared" si="18"/>
        <v>0</v>
      </c>
      <c r="AL26" s="150">
        <f t="shared" si="18"/>
        <v>0</v>
      </c>
    </row>
    <row r="27" spans="2:38" ht="17.25" customHeight="1" thickBot="1">
      <c r="B27" s="121" t="s">
        <v>158</v>
      </c>
      <c r="C27" s="169"/>
      <c r="D27" s="96"/>
      <c r="E27" s="96"/>
      <c r="F27" s="96"/>
      <c r="G27" s="96"/>
      <c r="H27" s="96"/>
      <c r="I27" s="96"/>
      <c r="J27" s="169"/>
      <c r="K27" s="169"/>
      <c r="L27" s="170">
        <f ca="1">SUM(L17:OFFSET(L17,$P$5-1,0,1,1))</f>
        <v>24</v>
      </c>
      <c r="M27" s="170">
        <f ca="1">SUM(M17:OFFSET(M17,$P$5-1,0,1,1))</f>
        <v>4</v>
      </c>
      <c r="N27" s="169"/>
      <c r="O27" s="171">
        <f ca="1">SUM(O17:OFFSET(O17,$P$5-1,0,1,1))</f>
        <v>1.1</v>
      </c>
      <c r="P27" s="172">
        <f ca="1">SUM(P17:OFFSET(P17,$P$5-1,0,1,1))</f>
        <v>262.49846</v>
      </c>
      <c r="Q27" s="173">
        <f ca="1">SUM(Q17:OFFSET(Q17,$P$5-1,0,1,1))</f>
        <v>29.24366127370972</v>
      </c>
      <c r="R27" s="173">
        <f ca="1">SUM(R17:OFFSET(R17,$P$5-1,0,1,1))</f>
        <v>263.59846000000005</v>
      </c>
      <c r="S27" s="173">
        <f ca="1">SUM(S17:OFFSET(S17,$P$5-1,0,1,1))</f>
        <v>30.34366127370972</v>
      </c>
      <c r="V27" s="174"/>
      <c r="W27" s="175"/>
      <c r="X27" s="175"/>
      <c r="Y27" s="176"/>
      <c r="Z27" s="176"/>
      <c r="AA27" s="176"/>
      <c r="AB27" s="177"/>
      <c r="AC27" s="177"/>
      <c r="AD27" s="176"/>
      <c r="AE27" s="176"/>
      <c r="AF27" s="176"/>
      <c r="AG27" s="176"/>
      <c r="AH27" s="176"/>
      <c r="AI27" s="176"/>
      <c r="AJ27" s="176"/>
      <c r="AK27" s="176"/>
      <c r="AL27" s="176"/>
    </row>
    <row r="28" spans="15:41" ht="17.25" customHeight="1" thickBot="1">
      <c r="O28" s="197"/>
      <c r="P28" s="198"/>
      <c r="Q28" s="198"/>
      <c r="R28" s="179" t="s">
        <v>159</v>
      </c>
      <c r="S28" s="179" t="s">
        <v>160</v>
      </c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</row>
    <row r="29" spans="15:40" ht="17.25" customHeight="1" thickBot="1" thickTop="1">
      <c r="O29" s="178"/>
      <c r="P29" s="180"/>
      <c r="Q29" s="181" t="s">
        <v>61</v>
      </c>
      <c r="R29" s="182">
        <f>R27/3756000*1000</f>
        <v>0.07018063365282216</v>
      </c>
      <c r="S29" s="182">
        <f>S27/3756000*1000</f>
        <v>0.008078717059028146</v>
      </c>
      <c r="W29" s="183"/>
      <c r="X29" s="183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</row>
    <row r="30" spans="18:37" ht="13.5" customHeight="1" thickTop="1">
      <c r="R30" s="184"/>
      <c r="S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</row>
    <row r="31" spans="17:84" s="178" customFormat="1" ht="13.5">
      <c r="Q31" s="185"/>
      <c r="R31" s="186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</row>
    <row r="32" spans="17:84" s="178" customFormat="1" ht="13.5">
      <c r="Q32" s="185"/>
      <c r="R32" s="157"/>
      <c r="S32" s="157"/>
      <c r="T32" s="75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</row>
    <row r="33" spans="17:84" s="187" customFormat="1" ht="13.5">
      <c r="Q33" s="188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</row>
    <row r="34" spans="17:84" s="189" customFormat="1" ht="13.5">
      <c r="Q34" s="190"/>
      <c r="R34" s="186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</row>
    <row r="35" spans="17:84" s="189" customFormat="1" ht="13.5">
      <c r="Q35" s="190"/>
      <c r="R35" s="186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</row>
    <row r="36" spans="1:84" s="184" customFormat="1" ht="13.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86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</row>
    <row r="37" spans="1:84" ht="13.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98"/>
      <c r="S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</row>
    <row r="38" spans="1:84" s="191" customFormat="1" ht="13.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86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</row>
    <row r="39" spans="1:84" s="192" customFormat="1" ht="13.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186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</row>
    <row r="40" spans="17:84" ht="13.5">
      <c r="Q40" s="75"/>
      <c r="R40" s="186"/>
      <c r="S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</row>
    <row r="41" spans="17:84" ht="13.5">
      <c r="Q41" s="75"/>
      <c r="R41" s="186"/>
      <c r="S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</row>
    <row r="43" spans="18:37" s="16" customFormat="1" ht="13.5">
      <c r="R43" s="94"/>
      <c r="S43" s="15"/>
      <c r="T43" s="7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5" ht="13.5" customHeight="1" collapsed="1"/>
    <row r="46" ht="13.5" customHeight="1"/>
    <row r="47" ht="13.5" customHeight="1"/>
    <row r="48" ht="13.5" customHeight="1"/>
  </sheetData>
  <sheetProtection/>
  <mergeCells count="13">
    <mergeCell ref="C7:D7"/>
    <mergeCell ref="V12:V14"/>
    <mergeCell ref="W12:W14"/>
    <mergeCell ref="X12:X14"/>
    <mergeCell ref="Y12:Y14"/>
    <mergeCell ref="Z12:Z14"/>
    <mergeCell ref="F16:G16"/>
    <mergeCell ref="AA12:AA14"/>
    <mergeCell ref="AB12:AB14"/>
    <mergeCell ref="F14:G14"/>
    <mergeCell ref="P14:Q14"/>
    <mergeCell ref="R14:S14"/>
    <mergeCell ref="F15:G15"/>
  </mergeCells>
  <conditionalFormatting sqref="J17:S26">
    <cfRule type="expression" priority="7" dxfId="1" stopIfTrue="1">
      <formula>IF($B17&gt;0,TRUE,FALSE)</formula>
    </cfRule>
  </conditionalFormatting>
  <conditionalFormatting sqref="D17:E26 H17:I26">
    <cfRule type="expression" priority="6" dxfId="7" stopIfTrue="1">
      <formula>IF($B17&gt;0,TRUE,FALSE)</formula>
    </cfRule>
  </conditionalFormatting>
  <conditionalFormatting sqref="B17:B26">
    <cfRule type="cellIs" priority="5" dxfId="8" operator="equal" stopIfTrue="1">
      <formula>0</formula>
    </cfRule>
  </conditionalFormatting>
  <conditionalFormatting sqref="F17:G26">
    <cfRule type="expression" priority="4" dxfId="9" stopIfTrue="1">
      <formula>IF($B17&gt;0,TRUE,FALSE)</formula>
    </cfRule>
  </conditionalFormatting>
  <conditionalFormatting sqref="V17:AL26">
    <cfRule type="expression" priority="3" dxfId="10" stopIfTrue="1">
      <formula>IF($B17=0,TRUE,FALSE)</formula>
    </cfRule>
  </conditionalFormatting>
  <conditionalFormatting sqref="C17:C26">
    <cfRule type="expression" priority="2" dxfId="0" stopIfTrue="1">
      <formula>IF($B17&gt;0,TRUE,FALSE)</formula>
    </cfRule>
  </conditionalFormatting>
  <conditionalFormatting sqref="O28">
    <cfRule type="expression" priority="1" dxfId="1" stopIfTrue="1">
      <formula>IF($B28&gt;0,TRUE,FALSE)</formula>
    </cfRule>
  </conditionalFormatting>
  <dataValidations count="3">
    <dataValidation type="list" allowBlank="1" showInputMessage="1" showErrorMessage="1" sqref="H17:H26">
      <formula1>$F17:$G17</formula1>
    </dataValidation>
    <dataValidation type="list" allowBlank="1" showInputMessage="1" showErrorMessage="1" sqref="I17:I26">
      <formula1>"0,0.2,5.8,2.0"</formula1>
    </dataValidation>
    <dataValidation type="list" allowBlank="1" showInputMessage="1" showErrorMessage="1" sqref="E17:E26">
      <formula1>"0,1"</formula1>
    </dataValidation>
  </dataValidations>
  <printOptions/>
  <pageMargins left="0.1968503937007874" right="0.1968503937007874" top="0.5118110236220472" bottom="0.5118110236220472" header="0.31496062992125984" footer="0.31496062992125984"/>
  <pageSetup fitToWidth="2" horizontalDpi="600" verticalDpi="600" orientation="landscape" paperSize="9" scale="48" r:id="rId3"/>
  <headerFooter alignWithMargins="0">
    <oddHeader>&amp;R&amp;F</oddHeader>
  </headerFooter>
  <rowBreaks count="1" manualBreakCount="1">
    <brk id="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安科研</dc:creator>
  <cp:keywords/>
  <dc:description/>
  <cp:lastModifiedBy>松倉</cp:lastModifiedBy>
  <cp:lastPrinted>2007-06-22T05:30:47Z</cp:lastPrinted>
  <dcterms:created xsi:type="dcterms:W3CDTF">2006-07-18T07:00:30Z</dcterms:created>
  <dcterms:modified xsi:type="dcterms:W3CDTF">2009-02-17T05:26:42Z</dcterms:modified>
  <cp:category/>
  <cp:version/>
  <cp:contentType/>
  <cp:contentStatus/>
</cp:coreProperties>
</file>