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01_{3AD17B91-6A7E-4753-8F83-ED215EF7CF48}" xr6:coauthVersionLast="45" xr6:coauthVersionMax="45" xr10:uidLastSave="{00000000-0000-0000-0000-000000000000}"/>
  <workbookProtection workbookAlgorithmName="SHA-512" workbookHashValue="BwooSqEm/wkPMabYo6RYBIRaszbdq0FralSNSawpWoG+9NvToHSIHtggX8I37g1QizCoTJJv7IiKVIl+NsmUpg==" workbookSaltValue="imFmsCWcyiTfHob2EO45UQ==" workbookSpinCount="100000" lockStructure="1"/>
  <bookViews>
    <workbookView xWindow="660" yWindow="990" windowWidth="20610" windowHeight="19635" xr2:uid="{00000000-000D-0000-FFFF-FFFF00000000}"/>
  </bookViews>
  <sheets>
    <sheet name="個別サイト評価計算ツール" sheetId="16" r:id="rId1"/>
    <sheet name="計算" sheetId="17" state="hidden" r:id="rId2"/>
  </sheets>
  <definedNames>
    <definedName name="_xlnm.Print_Area" localSheetId="0">個別サイト評価計算ツール!$A$1:$T$40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1" i="17" l="1"/>
  <c r="G163" i="17"/>
  <c r="G119" i="17"/>
  <c r="G118" i="17"/>
  <c r="G117" i="17"/>
  <c r="G116" i="17"/>
  <c r="G115" i="17"/>
  <c r="G82" i="17"/>
  <c r="G77" i="17"/>
  <c r="G76" i="17"/>
  <c r="G75" i="17"/>
  <c r="G73" i="17"/>
  <c r="G64" i="17"/>
  <c r="G63" i="17"/>
  <c r="G62" i="17"/>
  <c r="G57" i="17"/>
  <c r="G55" i="17"/>
  <c r="G54" i="17"/>
  <c r="G49" i="17"/>
  <c r="G45" i="17"/>
  <c r="G41" i="17"/>
  <c r="G39" i="17"/>
  <c r="G36" i="17"/>
  <c r="G35" i="17"/>
  <c r="G32" i="17"/>
  <c r="G31" i="17"/>
  <c r="G18" i="17" l="1"/>
  <c r="F73" i="17" l="1"/>
  <c r="F64" i="17"/>
  <c r="F63" i="17"/>
  <c r="F62" i="17"/>
  <c r="F57" i="17"/>
  <c r="F56" i="17"/>
  <c r="F55" i="17"/>
  <c r="F54" i="17"/>
  <c r="F49" i="17"/>
  <c r="F45" i="17"/>
  <c r="F41" i="17"/>
  <c r="F39" i="17"/>
  <c r="F36" i="17"/>
  <c r="F35" i="17"/>
  <c r="F31" i="17"/>
  <c r="D16" i="16" l="1"/>
  <c r="E16" i="16" l="1"/>
  <c r="E6" i="17"/>
  <c r="E41" i="17" s="1"/>
  <c r="F6" i="17"/>
  <c r="G6" i="17"/>
  <c r="H6" i="17"/>
  <c r="H41" i="17" s="1"/>
  <c r="I6" i="17"/>
  <c r="I41" i="17" s="1"/>
  <c r="F8" i="17"/>
  <c r="E8" i="17"/>
  <c r="G8" i="17"/>
  <c r="H8" i="17"/>
  <c r="I8" i="17"/>
  <c r="D8" i="17"/>
  <c r="M217" i="17" l="1"/>
  <c r="E39" i="17"/>
  <c r="I39" i="17"/>
  <c r="H39" i="17"/>
  <c r="E15" i="17"/>
  <c r="F15" i="17"/>
  <c r="H15" i="17"/>
  <c r="I15" i="17"/>
  <c r="D15" i="17"/>
  <c r="E5" i="17" l="1"/>
  <c r="F5" i="17"/>
  <c r="G5" i="17"/>
  <c r="H5" i="17"/>
  <c r="I5" i="17"/>
  <c r="D5" i="17"/>
  <c r="D17" i="17" s="1"/>
  <c r="E21" i="16"/>
  <c r="F21" i="16"/>
  <c r="G21" i="16"/>
  <c r="H21" i="16"/>
  <c r="I21" i="16"/>
  <c r="D27" i="16"/>
  <c r="G14" i="17" l="1"/>
  <c r="G17" i="17"/>
  <c r="F14" i="17"/>
  <c r="F17" i="17"/>
  <c r="H14" i="17"/>
  <c r="H17" i="17"/>
  <c r="I14" i="17"/>
  <c r="I17" i="17"/>
  <c r="E14" i="17"/>
  <c r="E17" i="17"/>
  <c r="D14" i="17"/>
  <c r="D7" i="17"/>
  <c r="G53" i="17"/>
  <c r="G38" i="17"/>
  <c r="G61" i="17"/>
  <c r="D61" i="17"/>
  <c r="D38" i="17"/>
  <c r="D53" i="17"/>
  <c r="F61" i="17"/>
  <c r="F38" i="17"/>
  <c r="F53" i="17"/>
  <c r="H61" i="17"/>
  <c r="H38" i="17"/>
  <c r="H53" i="17"/>
  <c r="I61" i="17"/>
  <c r="I38" i="17"/>
  <c r="I53" i="17"/>
  <c r="E61" i="17"/>
  <c r="E38" i="17"/>
  <c r="E53" i="17"/>
  <c r="E12" i="17"/>
  <c r="E49" i="17" s="1"/>
  <c r="F12" i="17"/>
  <c r="G12" i="17"/>
  <c r="H12" i="17"/>
  <c r="H49" i="17" s="1"/>
  <c r="I12" i="17"/>
  <c r="I49" i="17" s="1"/>
  <c r="D12" i="17"/>
  <c r="D49" i="17" s="1"/>
  <c r="E11" i="17"/>
  <c r="F11" i="17"/>
  <c r="G11" i="17"/>
  <c r="H11" i="17"/>
  <c r="I11" i="17"/>
  <c r="D11" i="17"/>
  <c r="D45" i="17" s="1"/>
  <c r="D4" i="17"/>
  <c r="D3" i="17"/>
  <c r="C164" i="17"/>
  <c r="C165" i="17" s="1"/>
  <c r="C166" i="17" s="1"/>
  <c r="G72" i="17"/>
  <c r="H34" i="17"/>
  <c r="F34" i="17"/>
  <c r="D34" i="17"/>
  <c r="H30" i="17"/>
  <c r="F30" i="17"/>
  <c r="D30" i="17"/>
  <c r="I34" i="17"/>
  <c r="H72" i="17"/>
  <c r="D72" i="17"/>
  <c r="I27" i="16"/>
  <c r="H27" i="16"/>
  <c r="G27" i="16"/>
  <c r="F27" i="16"/>
  <c r="E27" i="16"/>
  <c r="D21" i="16"/>
  <c r="I16" i="16"/>
  <c r="H16" i="16"/>
  <c r="G16" i="16"/>
  <c r="F16" i="16"/>
  <c r="F18" i="17" l="1"/>
  <c r="H18" i="17"/>
  <c r="H45" i="17"/>
  <c r="H57" i="17" s="1"/>
  <c r="I18" i="17"/>
  <c r="I45" i="17"/>
  <c r="E18" i="17"/>
  <c r="E45" i="17"/>
  <c r="E57" i="17" s="1"/>
  <c r="E217" i="17" s="1"/>
  <c r="G211" i="17"/>
  <c r="D50" i="17"/>
  <c r="D51" i="17" s="1"/>
  <c r="D23" i="16" s="1"/>
  <c r="E73" i="17"/>
  <c r="D18" i="17"/>
  <c r="K211" i="17"/>
  <c r="D25" i="17"/>
  <c r="D12" i="16" s="1"/>
  <c r="H31" i="17"/>
  <c r="H32" i="17" s="1"/>
  <c r="F32" i="17"/>
  <c r="K222" i="17"/>
  <c r="K223" i="17"/>
  <c r="L223" i="17"/>
  <c r="L222" i="17"/>
  <c r="I115" i="17"/>
  <c r="I73" i="17"/>
  <c r="G161" i="17"/>
  <c r="F161" i="17"/>
  <c r="D161" i="17"/>
  <c r="E161" i="17"/>
  <c r="H161" i="17"/>
  <c r="I161" i="17"/>
  <c r="E220" i="17"/>
  <c r="E210" i="17"/>
  <c r="E215" i="17"/>
  <c r="E160" i="17"/>
  <c r="E7" i="17"/>
  <c r="E10" i="17"/>
  <c r="E114" i="17"/>
  <c r="I114" i="17"/>
  <c r="L115" i="17"/>
  <c r="P115" i="17"/>
  <c r="F215" i="17"/>
  <c r="F220" i="17"/>
  <c r="F210" i="17"/>
  <c r="F160" i="17"/>
  <c r="F7" i="17"/>
  <c r="K218" i="17"/>
  <c r="K217" i="17"/>
  <c r="O223" i="17"/>
  <c r="O222" i="17"/>
  <c r="O218" i="17"/>
  <c r="O217" i="17"/>
  <c r="F10" i="17"/>
  <c r="K213" i="17"/>
  <c r="K212" i="17"/>
  <c r="O213" i="17"/>
  <c r="O212" i="17"/>
  <c r="O211" i="17"/>
  <c r="D21" i="17"/>
  <c r="G30" i="17"/>
  <c r="E31" i="17"/>
  <c r="E32" i="17" s="1"/>
  <c r="I31" i="17"/>
  <c r="I32" i="17" s="1"/>
  <c r="E34" i="17"/>
  <c r="F114" i="17"/>
  <c r="D115" i="17"/>
  <c r="H115" i="17"/>
  <c r="M115" i="17"/>
  <c r="I220" i="17"/>
  <c r="I210" i="17"/>
  <c r="I215" i="17"/>
  <c r="I160" i="17"/>
  <c r="N218" i="17"/>
  <c r="N217" i="17"/>
  <c r="N223" i="17"/>
  <c r="N222" i="17"/>
  <c r="N213" i="17"/>
  <c r="N212" i="17"/>
  <c r="N211" i="17"/>
  <c r="G215" i="17"/>
  <c r="G220" i="17"/>
  <c r="G210" i="17"/>
  <c r="G160" i="17"/>
  <c r="G7" i="17"/>
  <c r="L218" i="17"/>
  <c r="L217" i="17"/>
  <c r="P223" i="17"/>
  <c r="P222" i="17"/>
  <c r="P218" i="17"/>
  <c r="P217" i="17"/>
  <c r="G10" i="17"/>
  <c r="L213" i="17"/>
  <c r="L212" i="17"/>
  <c r="L211" i="17"/>
  <c r="P213" i="17"/>
  <c r="P212" i="17"/>
  <c r="P211" i="17"/>
  <c r="E72" i="17"/>
  <c r="I72" i="17"/>
  <c r="G114" i="17"/>
  <c r="E115" i="17"/>
  <c r="N115" i="17"/>
  <c r="I7" i="17"/>
  <c r="I10" i="17"/>
  <c r="D220" i="17"/>
  <c r="D210" i="17"/>
  <c r="D215" i="17"/>
  <c r="D160" i="17"/>
  <c r="H220" i="17"/>
  <c r="H210" i="17"/>
  <c r="H215" i="17"/>
  <c r="H160" i="17"/>
  <c r="H7" i="17"/>
  <c r="M218" i="17"/>
  <c r="M223" i="17"/>
  <c r="M222" i="17"/>
  <c r="D10" i="17"/>
  <c r="H10" i="17"/>
  <c r="M213" i="17"/>
  <c r="M212" i="17"/>
  <c r="M211" i="17"/>
  <c r="E30" i="17"/>
  <c r="I30" i="17"/>
  <c r="G56" i="17"/>
  <c r="G34" i="17"/>
  <c r="F72" i="17"/>
  <c r="D73" i="17"/>
  <c r="H73" i="17"/>
  <c r="D114" i="17"/>
  <c r="H114" i="17"/>
  <c r="F115" i="17"/>
  <c r="K115" i="17"/>
  <c r="O115" i="17"/>
  <c r="C167" i="17"/>
  <c r="G183" i="17" l="1"/>
  <c r="I57" i="17"/>
  <c r="I168" i="17" s="1"/>
  <c r="G216" i="17"/>
  <c r="G217" i="17"/>
  <c r="H217" i="17"/>
  <c r="H168" i="17"/>
  <c r="H173" i="17"/>
  <c r="H213" i="17"/>
  <c r="H178" i="17"/>
  <c r="H211" i="17"/>
  <c r="G218" i="17"/>
  <c r="D26" i="17"/>
  <c r="D28" i="17" s="1"/>
  <c r="D29" i="17" s="1"/>
  <c r="F141" i="17" s="1"/>
  <c r="H182" i="17"/>
  <c r="H177" i="17"/>
  <c r="H172" i="17"/>
  <c r="H166" i="17"/>
  <c r="H212" i="17"/>
  <c r="H181" i="17"/>
  <c r="H176" i="17"/>
  <c r="H170" i="17"/>
  <c r="H165" i="17"/>
  <c r="H218" i="17"/>
  <c r="H180" i="17"/>
  <c r="H174" i="17"/>
  <c r="H169" i="17"/>
  <c r="H164" i="17"/>
  <c r="H216" i="17"/>
  <c r="E164" i="17"/>
  <c r="G173" i="17"/>
  <c r="G175" i="17"/>
  <c r="G170" i="17"/>
  <c r="G165" i="17"/>
  <c r="G213" i="17"/>
  <c r="G182" i="17"/>
  <c r="G177" i="17"/>
  <c r="G172" i="17"/>
  <c r="G167" i="17"/>
  <c r="G178" i="17"/>
  <c r="G168" i="17"/>
  <c r="G180" i="17"/>
  <c r="G179" i="17"/>
  <c r="G174" i="17"/>
  <c r="G169" i="17"/>
  <c r="G164" i="17"/>
  <c r="G181" i="17"/>
  <c r="G176" i="17"/>
  <c r="G171" i="17"/>
  <c r="G166" i="17"/>
  <c r="G212" i="17"/>
  <c r="E212" i="17"/>
  <c r="E167" i="17"/>
  <c r="E218" i="17"/>
  <c r="E211" i="17"/>
  <c r="E165" i="17"/>
  <c r="E216" i="17"/>
  <c r="E213" i="17"/>
  <c r="E163" i="17"/>
  <c r="E166" i="17"/>
  <c r="H183" i="17"/>
  <c r="H179" i="17"/>
  <c r="H175" i="17"/>
  <c r="H171" i="17"/>
  <c r="H167" i="17"/>
  <c r="H163" i="17"/>
  <c r="F216" i="17"/>
  <c r="F164" i="17"/>
  <c r="F218" i="17"/>
  <c r="F168" i="17"/>
  <c r="F217" i="17"/>
  <c r="F163" i="17"/>
  <c r="F166" i="17"/>
  <c r="F212" i="17"/>
  <c r="F165" i="17"/>
  <c r="F211" i="17"/>
  <c r="F167" i="17"/>
  <c r="F213" i="17"/>
  <c r="D46" i="17"/>
  <c r="D47" i="17" s="1"/>
  <c r="D20" i="16" s="1"/>
  <c r="D225" i="17"/>
  <c r="I225" i="17"/>
  <c r="F225" i="17"/>
  <c r="E225" i="17"/>
  <c r="H225" i="17"/>
  <c r="G225" i="17"/>
  <c r="O215" i="17"/>
  <c r="O220" i="17"/>
  <c r="O210" i="17"/>
  <c r="O160" i="17"/>
  <c r="N220" i="17"/>
  <c r="N210" i="17"/>
  <c r="N215" i="17"/>
  <c r="N160" i="17"/>
  <c r="P215" i="17"/>
  <c r="P220" i="17"/>
  <c r="P210" i="17"/>
  <c r="P160" i="17"/>
  <c r="C168" i="17"/>
  <c r="E168" i="17" s="1"/>
  <c r="K215" i="17"/>
  <c r="K220" i="17"/>
  <c r="K210" i="17"/>
  <c r="K160" i="17"/>
  <c r="M220" i="17"/>
  <c r="M210" i="17"/>
  <c r="M215" i="17"/>
  <c r="M160" i="17"/>
  <c r="L215" i="17"/>
  <c r="L220" i="17"/>
  <c r="L210" i="17"/>
  <c r="L160" i="17"/>
  <c r="I182" i="17" l="1"/>
  <c r="I169" i="17"/>
  <c r="I164" i="17"/>
  <c r="I213" i="17"/>
  <c r="I163" i="17"/>
  <c r="I181" i="17"/>
  <c r="I180" i="17"/>
  <c r="I179" i="17"/>
  <c r="I175" i="17"/>
  <c r="I217" i="17"/>
  <c r="I178" i="17"/>
  <c r="I173" i="17"/>
  <c r="I212" i="17"/>
  <c r="I171" i="17"/>
  <c r="I172" i="17"/>
  <c r="I167" i="17"/>
  <c r="I177" i="17"/>
  <c r="I165" i="17"/>
  <c r="I218" i="17"/>
  <c r="I183" i="17"/>
  <c r="I211" i="17"/>
  <c r="I216" i="17"/>
  <c r="I166" i="17"/>
  <c r="I174" i="17"/>
  <c r="I176" i="17"/>
  <c r="I170" i="17"/>
  <c r="D13" i="16"/>
  <c r="H35" i="17"/>
  <c r="H36" i="17" s="1"/>
  <c r="H54" i="17" s="1"/>
  <c r="H55" i="17" s="1"/>
  <c r="H56" i="17" s="1"/>
  <c r="H62" i="17" s="1"/>
  <c r="H63" i="17" s="1"/>
  <c r="H64" i="17" s="1"/>
  <c r="D186" i="17"/>
  <c r="D157" i="17"/>
  <c r="D93" i="17"/>
  <c r="G196" i="17"/>
  <c r="I77" i="17"/>
  <c r="G97" i="17"/>
  <c r="I149" i="17"/>
  <c r="E147" i="17"/>
  <c r="G135" i="17"/>
  <c r="F205" i="17"/>
  <c r="I89" i="17"/>
  <c r="E151" i="17"/>
  <c r="H190" i="17"/>
  <c r="E119" i="17"/>
  <c r="H117" i="17"/>
  <c r="E101" i="17"/>
  <c r="F117" i="17"/>
  <c r="F121" i="17"/>
  <c r="E127" i="17"/>
  <c r="D137" i="17"/>
  <c r="D151" i="17"/>
  <c r="F198" i="17"/>
  <c r="G191" i="17"/>
  <c r="I35" i="17"/>
  <c r="I75" i="17" s="1"/>
  <c r="I76" i="17" s="1"/>
  <c r="H101" i="17"/>
  <c r="F93" i="17"/>
  <c r="I145" i="17"/>
  <c r="H125" i="17"/>
  <c r="F190" i="17"/>
  <c r="G204" i="17"/>
  <c r="E35" i="17"/>
  <c r="E75" i="17" s="1"/>
  <c r="E76" i="17" s="1"/>
  <c r="H81" i="17"/>
  <c r="G101" i="17"/>
  <c r="I109" i="17"/>
  <c r="I125" i="17"/>
  <c r="D131" i="17"/>
  <c r="G137" i="17"/>
  <c r="D145" i="17"/>
  <c r="D194" i="17"/>
  <c r="E187" i="17"/>
  <c r="G201" i="17"/>
  <c r="F123" i="17"/>
  <c r="H93" i="17"/>
  <c r="F119" i="17"/>
  <c r="I81" i="17"/>
  <c r="E93" i="17"/>
  <c r="I117" i="17"/>
  <c r="F97" i="17"/>
  <c r="G127" i="17"/>
  <c r="G147" i="17"/>
  <c r="D135" i="17"/>
  <c r="I155" i="17"/>
  <c r="I139" i="17"/>
  <c r="D129" i="17"/>
  <c r="I153" i="17"/>
  <c r="H151" i="17"/>
  <c r="F195" i="17"/>
  <c r="H201" i="17"/>
  <c r="I197" i="17"/>
  <c r="E194" i="17"/>
  <c r="G85" i="17"/>
  <c r="D77" i="17"/>
  <c r="H85" i="17"/>
  <c r="H97" i="17"/>
  <c r="D109" i="17"/>
  <c r="G121" i="17"/>
  <c r="I119" i="17"/>
  <c r="E85" i="17"/>
  <c r="I93" i="17"/>
  <c r="I105" i="17"/>
  <c r="F81" i="17"/>
  <c r="F105" i="17"/>
  <c r="E121" i="17"/>
  <c r="G131" i="17"/>
  <c r="E141" i="17"/>
  <c r="E149" i="17"/>
  <c r="D127" i="17"/>
  <c r="H135" i="17"/>
  <c r="F145" i="17"/>
  <c r="I123" i="17"/>
  <c r="I131" i="17"/>
  <c r="G141" i="17"/>
  <c r="D153" i="17"/>
  <c r="F131" i="17"/>
  <c r="F139" i="17"/>
  <c r="I151" i="17"/>
  <c r="G155" i="17"/>
  <c r="H198" i="17"/>
  <c r="F157" i="17"/>
  <c r="H186" i="17"/>
  <c r="D198" i="17"/>
  <c r="F194" i="17"/>
  <c r="F204" i="17"/>
  <c r="G190" i="17"/>
  <c r="E201" i="17"/>
  <c r="G187" i="17"/>
  <c r="G195" i="17"/>
  <c r="E206" i="17"/>
  <c r="D85" i="17"/>
  <c r="H105" i="17"/>
  <c r="G105" i="17"/>
  <c r="I101" i="17"/>
  <c r="F77" i="17"/>
  <c r="H119" i="17"/>
  <c r="I137" i="17"/>
  <c r="H123" i="17"/>
  <c r="D143" i="17"/>
  <c r="E131" i="17"/>
  <c r="I147" i="17"/>
  <c r="H137" i="17"/>
  <c r="F147" i="17"/>
  <c r="F193" i="17"/>
  <c r="D202" i="17"/>
  <c r="D191" i="17"/>
  <c r="I189" i="17"/>
  <c r="H206" i="17"/>
  <c r="E202" i="17"/>
  <c r="F75" i="17"/>
  <c r="F76" i="17" s="1"/>
  <c r="H77" i="17"/>
  <c r="H89" i="17"/>
  <c r="D101" i="17"/>
  <c r="H109" i="17"/>
  <c r="G93" i="17"/>
  <c r="E77" i="17"/>
  <c r="I85" i="17"/>
  <c r="I97" i="17"/>
  <c r="E109" i="17"/>
  <c r="H121" i="17"/>
  <c r="F89" i="17"/>
  <c r="F109" i="17"/>
  <c r="E125" i="17"/>
  <c r="E133" i="17"/>
  <c r="I141" i="17"/>
  <c r="F129" i="17"/>
  <c r="F137" i="17"/>
  <c r="H147" i="17"/>
  <c r="G125" i="17"/>
  <c r="E135" i="17"/>
  <c r="G145" i="17"/>
  <c r="H157" i="17"/>
  <c r="D133" i="17"/>
  <c r="F143" i="17"/>
  <c r="E155" i="17"/>
  <c r="E157" i="17"/>
  <c r="D204" i="17"/>
  <c r="D192" i="17"/>
  <c r="H187" i="17"/>
  <c r="D197" i="17"/>
  <c r="D205" i="17"/>
  <c r="I193" i="17"/>
  <c r="I203" i="17"/>
  <c r="E188" i="17"/>
  <c r="I198" i="17"/>
  <c r="I121" i="17"/>
  <c r="I129" i="17"/>
  <c r="E137" i="17"/>
  <c r="G143" i="17"/>
  <c r="F155" i="17"/>
  <c r="F125" i="17"/>
  <c r="H131" i="17"/>
  <c r="H139" i="17"/>
  <c r="D147" i="17"/>
  <c r="G157" i="17"/>
  <c r="G129" i="17"/>
  <c r="I135" i="17"/>
  <c r="E143" i="17"/>
  <c r="F151" i="17"/>
  <c r="F127" i="17"/>
  <c r="H133" i="17"/>
  <c r="H141" i="17"/>
  <c r="D149" i="17"/>
  <c r="G151" i="17"/>
  <c r="D188" i="17"/>
  <c r="F201" i="17"/>
  <c r="H155" i="17"/>
  <c r="H196" i="17"/>
  <c r="H202" i="17"/>
  <c r="F186" i="17"/>
  <c r="H193" i="17"/>
  <c r="D201" i="17"/>
  <c r="H207" i="17"/>
  <c r="E193" i="17"/>
  <c r="G200" i="17"/>
  <c r="E207" i="17"/>
  <c r="I190" i="17"/>
  <c r="E198" i="17"/>
  <c r="I204" i="17"/>
  <c r="H194" i="17"/>
  <c r="F187" i="17"/>
  <c r="F203" i="17"/>
  <c r="F188" i="17"/>
  <c r="H191" i="17"/>
  <c r="H195" i="17"/>
  <c r="D199" i="17"/>
  <c r="F202" i="17"/>
  <c r="F206" i="17"/>
  <c r="I187" i="17"/>
  <c r="E191" i="17"/>
  <c r="E195" i="17"/>
  <c r="G198" i="17"/>
  <c r="I201" i="17"/>
  <c r="I205" i="17"/>
  <c r="F207" i="17"/>
  <c r="I188" i="17"/>
  <c r="I192" i="17"/>
  <c r="E196" i="17"/>
  <c r="G199" i="17"/>
  <c r="G203" i="17"/>
  <c r="I206" i="17"/>
  <c r="F153" i="17"/>
  <c r="F191" i="17"/>
  <c r="H204" i="17"/>
  <c r="F197" i="17"/>
  <c r="H192" i="17"/>
  <c r="D206" i="17"/>
  <c r="D189" i="17"/>
  <c r="D193" i="17"/>
  <c r="F196" i="17"/>
  <c r="H199" i="17"/>
  <c r="H203" i="17"/>
  <c r="D207" i="17"/>
  <c r="G188" i="17"/>
  <c r="G192" i="17"/>
  <c r="I195" i="17"/>
  <c r="E199" i="17"/>
  <c r="E203" i="17"/>
  <c r="G206" i="17"/>
  <c r="E186" i="17"/>
  <c r="L163" i="17" s="1"/>
  <c r="E190" i="17"/>
  <c r="G193" i="17"/>
  <c r="I196" i="17"/>
  <c r="I200" i="17"/>
  <c r="E204" i="17"/>
  <c r="G207" i="17"/>
  <c r="D121" i="17"/>
  <c r="D81" i="17"/>
  <c r="D89" i="17"/>
  <c r="D97" i="17"/>
  <c r="D105" i="17"/>
  <c r="D117" i="17"/>
  <c r="G81" i="17"/>
  <c r="G109" i="17"/>
  <c r="E81" i="17"/>
  <c r="E89" i="17"/>
  <c r="E97" i="17"/>
  <c r="E105" i="17"/>
  <c r="E117" i="17"/>
  <c r="G89" i="17"/>
  <c r="F85" i="17"/>
  <c r="F101" i="17"/>
  <c r="D119" i="17"/>
  <c r="G123" i="17"/>
  <c r="E129" i="17"/>
  <c r="I133" i="17"/>
  <c r="G139" i="17"/>
  <c r="E145" i="17"/>
  <c r="H153" i="17"/>
  <c r="D123" i="17"/>
  <c r="H127" i="17"/>
  <c r="F133" i="17"/>
  <c r="D139" i="17"/>
  <c r="H143" i="17"/>
  <c r="G149" i="17"/>
  <c r="E123" i="17"/>
  <c r="I127" i="17"/>
  <c r="G133" i="17"/>
  <c r="E139" i="17"/>
  <c r="I143" i="17"/>
  <c r="H149" i="17"/>
  <c r="D125" i="17"/>
  <c r="H129" i="17"/>
  <c r="F135" i="17"/>
  <c r="D141" i="17"/>
  <c r="H145" i="17"/>
  <c r="G153" i="17"/>
  <c r="E153" i="17"/>
  <c r="I157" i="17"/>
  <c r="D196" i="17"/>
  <c r="F149" i="17"/>
  <c r="D155" i="17"/>
  <c r="H188" i="17"/>
  <c r="F199" i="17"/>
  <c r="F189" i="17"/>
  <c r="D200" i="17"/>
  <c r="D190" i="17"/>
  <c r="H200" i="17"/>
  <c r="D187" i="17"/>
  <c r="H189" i="17"/>
  <c r="F192" i="17"/>
  <c r="D195" i="17"/>
  <c r="H197" i="17"/>
  <c r="F200" i="17"/>
  <c r="D203" i="17"/>
  <c r="H205" i="17"/>
  <c r="G186" i="17"/>
  <c r="E189" i="17"/>
  <c r="I191" i="17"/>
  <c r="G194" i="17"/>
  <c r="E197" i="17"/>
  <c r="I199" i="17"/>
  <c r="G202" i="17"/>
  <c r="E205" i="17"/>
  <c r="I207" i="17"/>
  <c r="I186" i="17"/>
  <c r="G189" i="17"/>
  <c r="E192" i="17"/>
  <c r="I194" i="17"/>
  <c r="G197" i="17"/>
  <c r="E200" i="17"/>
  <c r="I202" i="17"/>
  <c r="G205" i="17"/>
  <c r="C169" i="17"/>
  <c r="H58" i="17" l="1"/>
  <c r="H28" i="16" s="1"/>
  <c r="E169" i="17"/>
  <c r="L169" i="17" s="1"/>
  <c r="F169" i="17"/>
  <c r="M169" i="17" s="1"/>
  <c r="H75" i="17"/>
  <c r="H76" i="17" s="1"/>
  <c r="H78" i="17" s="1"/>
  <c r="H79" i="17" s="1"/>
  <c r="H80" i="17" s="1"/>
  <c r="H82" i="17" s="1"/>
  <c r="H83" i="17" s="1"/>
  <c r="H84" i="17" s="1"/>
  <c r="H86" i="17" s="1"/>
  <c r="H87" i="17" s="1"/>
  <c r="H88" i="17" s="1"/>
  <c r="H90" i="17" s="1"/>
  <c r="H91" i="17" s="1"/>
  <c r="H92" i="17" s="1"/>
  <c r="H94" i="17" s="1"/>
  <c r="H95" i="17" s="1"/>
  <c r="H96" i="17" s="1"/>
  <c r="H98" i="17" s="1"/>
  <c r="H99" i="17" s="1"/>
  <c r="H100" i="17" s="1"/>
  <c r="H102" i="17" s="1"/>
  <c r="H103" i="17" s="1"/>
  <c r="H104" i="17" s="1"/>
  <c r="H106" i="17" s="1"/>
  <c r="H107" i="17" s="1"/>
  <c r="H108" i="17" s="1"/>
  <c r="H110" i="17" s="1"/>
  <c r="H111" i="17" s="1"/>
  <c r="I36" i="17"/>
  <c r="I54" i="17" s="1"/>
  <c r="I55" i="17" s="1"/>
  <c r="I56" i="17" s="1"/>
  <c r="I58" i="17" s="1"/>
  <c r="I78" i="17"/>
  <c r="I79" i="17" s="1"/>
  <c r="I80" i="17" s="1"/>
  <c r="I82" i="17" s="1"/>
  <c r="I83" i="17" s="1"/>
  <c r="I84" i="17" s="1"/>
  <c r="I86" i="17" s="1"/>
  <c r="I87" i="17" s="1"/>
  <c r="I88" i="17" s="1"/>
  <c r="I90" i="17" s="1"/>
  <c r="I91" i="17" s="1"/>
  <c r="I92" i="17" s="1"/>
  <c r="I94" i="17" s="1"/>
  <c r="I95" i="17" s="1"/>
  <c r="I96" i="17" s="1"/>
  <c r="I98" i="17" s="1"/>
  <c r="I99" i="17" s="1"/>
  <c r="I100" i="17" s="1"/>
  <c r="I102" i="17" s="1"/>
  <c r="I103" i="17" s="1"/>
  <c r="I104" i="17" s="1"/>
  <c r="I106" i="17" s="1"/>
  <c r="I107" i="17" s="1"/>
  <c r="I108" i="17" s="1"/>
  <c r="I110" i="17" s="1"/>
  <c r="I111" i="17" s="1"/>
  <c r="E78" i="17"/>
  <c r="E79" i="17" s="1"/>
  <c r="E80" i="17" s="1"/>
  <c r="E82" i="17" s="1"/>
  <c r="E83" i="17" s="1"/>
  <c r="E84" i="17" s="1"/>
  <c r="E86" i="17" s="1"/>
  <c r="E87" i="17" s="1"/>
  <c r="E88" i="17" s="1"/>
  <c r="E90" i="17" s="1"/>
  <c r="E91" i="17" s="1"/>
  <c r="E92" i="17" s="1"/>
  <c r="E94" i="17" s="1"/>
  <c r="E95" i="17" s="1"/>
  <c r="E96" i="17" s="1"/>
  <c r="E98" i="17" s="1"/>
  <c r="E99" i="17" s="1"/>
  <c r="E100" i="17" s="1"/>
  <c r="E102" i="17" s="1"/>
  <c r="E103" i="17" s="1"/>
  <c r="E104" i="17" s="1"/>
  <c r="E106" i="17" s="1"/>
  <c r="E107" i="17" s="1"/>
  <c r="E108" i="17" s="1"/>
  <c r="G58" i="17"/>
  <c r="G28" i="16" s="1"/>
  <c r="E36" i="17"/>
  <c r="E54" i="17" s="1"/>
  <c r="E55" i="17" s="1"/>
  <c r="E56" i="17" s="1"/>
  <c r="F58" i="17"/>
  <c r="F78" i="17"/>
  <c r="F79" i="17" s="1"/>
  <c r="F80" i="17" s="1"/>
  <c r="F82" i="17" s="1"/>
  <c r="F83" i="17" s="1"/>
  <c r="F84" i="17" s="1"/>
  <c r="F86" i="17" s="1"/>
  <c r="F87" i="17" s="1"/>
  <c r="F88" i="17" s="1"/>
  <c r="F90" i="17" s="1"/>
  <c r="F91" i="17" s="1"/>
  <c r="F92" i="17" s="1"/>
  <c r="F94" i="17" s="1"/>
  <c r="F95" i="17" s="1"/>
  <c r="F96" i="17" s="1"/>
  <c r="F98" i="17" s="1"/>
  <c r="F99" i="17" s="1"/>
  <c r="F100" i="17" s="1"/>
  <c r="F102" i="17" s="1"/>
  <c r="F103" i="17" s="1"/>
  <c r="F104" i="17" s="1"/>
  <c r="F106" i="17" s="1"/>
  <c r="F107" i="17" s="1"/>
  <c r="F108" i="17" s="1"/>
  <c r="F116" i="17" s="1"/>
  <c r="G78" i="17"/>
  <c r="G79" i="17" s="1"/>
  <c r="G80" i="17" s="1"/>
  <c r="G83" i="17" s="1"/>
  <c r="G84" i="17" s="1"/>
  <c r="G86" i="17" s="1"/>
  <c r="G87" i="17" s="1"/>
  <c r="G88" i="17" s="1"/>
  <c r="G90" i="17" s="1"/>
  <c r="G91" i="17" s="1"/>
  <c r="G92" i="17" s="1"/>
  <c r="G94" i="17" s="1"/>
  <c r="G95" i="17" s="1"/>
  <c r="G96" i="17" s="1"/>
  <c r="G98" i="17" s="1"/>
  <c r="G99" i="17" s="1"/>
  <c r="G100" i="17" s="1"/>
  <c r="G102" i="17" s="1"/>
  <c r="G103" i="17" s="1"/>
  <c r="G104" i="17" s="1"/>
  <c r="G106" i="17" s="1"/>
  <c r="G107" i="17" s="1"/>
  <c r="G108" i="17" s="1"/>
  <c r="H29" i="16"/>
  <c r="O169" i="17"/>
  <c r="N169" i="17"/>
  <c r="C170" i="17"/>
  <c r="F170" i="17" l="1"/>
  <c r="M170" i="17" s="1"/>
  <c r="E170" i="17"/>
  <c r="L170" i="17" s="1"/>
  <c r="I28" i="16"/>
  <c r="I62" i="17"/>
  <c r="I63" i="17" s="1"/>
  <c r="I64" i="17" s="1"/>
  <c r="E62" i="17"/>
  <c r="E63" i="17" s="1"/>
  <c r="E64" i="17" s="1"/>
  <c r="E58" i="17"/>
  <c r="E28" i="16" s="1"/>
  <c r="F28" i="16"/>
  <c r="H116" i="17"/>
  <c r="O116" i="17" s="1"/>
  <c r="I116" i="17"/>
  <c r="I118" i="17" s="1"/>
  <c r="P118" i="17" s="1"/>
  <c r="I120" i="17" s="1"/>
  <c r="P120" i="17" s="1"/>
  <c r="I122" i="17" s="1"/>
  <c r="P122" i="17" s="1"/>
  <c r="I124" i="17" s="1"/>
  <c r="P124" i="17" s="1"/>
  <c r="I126" i="17" s="1"/>
  <c r="P126" i="17" s="1"/>
  <c r="I128" i="17" s="1"/>
  <c r="P128" i="17" s="1"/>
  <c r="I130" i="17" s="1"/>
  <c r="P130" i="17" s="1"/>
  <c r="I132" i="17" s="1"/>
  <c r="P132" i="17" s="1"/>
  <c r="I134" i="17" s="1"/>
  <c r="P134" i="17" s="1"/>
  <c r="I136" i="17" s="1"/>
  <c r="P136" i="17" s="1"/>
  <c r="I138" i="17" s="1"/>
  <c r="P138" i="17" s="1"/>
  <c r="I140" i="17" s="1"/>
  <c r="P140" i="17" s="1"/>
  <c r="I142" i="17" s="1"/>
  <c r="P142" i="17" s="1"/>
  <c r="I144" i="17" s="1"/>
  <c r="P144" i="17" s="1"/>
  <c r="I146" i="17" s="1"/>
  <c r="P146" i="17" s="1"/>
  <c r="I148" i="17" s="1"/>
  <c r="P148" i="17" s="1"/>
  <c r="I150" i="17" s="1"/>
  <c r="P150" i="17" s="1"/>
  <c r="I152" i="17" s="1"/>
  <c r="P152" i="17" s="1"/>
  <c r="I154" i="17" s="1"/>
  <c r="P154" i="17" s="1"/>
  <c r="I156" i="17" s="1"/>
  <c r="F110" i="17"/>
  <c r="F111" i="17" s="1"/>
  <c r="E116" i="17"/>
  <c r="E118" i="17" s="1"/>
  <c r="L118" i="17" s="1"/>
  <c r="E120" i="17" s="1"/>
  <c r="L120" i="17" s="1"/>
  <c r="E122" i="17" s="1"/>
  <c r="L122" i="17" s="1"/>
  <c r="E124" i="17" s="1"/>
  <c r="L124" i="17" s="1"/>
  <c r="E126" i="17" s="1"/>
  <c r="L126" i="17" s="1"/>
  <c r="E128" i="17" s="1"/>
  <c r="L128" i="17" s="1"/>
  <c r="E130" i="17" s="1"/>
  <c r="L130" i="17" s="1"/>
  <c r="E132" i="17" s="1"/>
  <c r="L132" i="17" s="1"/>
  <c r="E134" i="17" s="1"/>
  <c r="L134" i="17" s="1"/>
  <c r="E136" i="17" s="1"/>
  <c r="L136" i="17" s="1"/>
  <c r="E138" i="17" s="1"/>
  <c r="L138" i="17" s="1"/>
  <c r="E140" i="17" s="1"/>
  <c r="L140" i="17" s="1"/>
  <c r="E142" i="17" s="1"/>
  <c r="L142" i="17" s="1"/>
  <c r="E144" i="17" s="1"/>
  <c r="L144" i="17" s="1"/>
  <c r="E146" i="17" s="1"/>
  <c r="L146" i="17" s="1"/>
  <c r="E148" i="17" s="1"/>
  <c r="L148" i="17" s="1"/>
  <c r="E150" i="17" s="1"/>
  <c r="L150" i="17" s="1"/>
  <c r="E152" i="17" s="1"/>
  <c r="L152" i="17" s="1"/>
  <c r="E154" i="17" s="1"/>
  <c r="L154" i="17" s="1"/>
  <c r="E156" i="17" s="1"/>
  <c r="E110" i="17"/>
  <c r="E111" i="17" s="1"/>
  <c r="G110" i="17"/>
  <c r="G111" i="17" s="1"/>
  <c r="G29" i="16"/>
  <c r="N170" i="17"/>
  <c r="O170" i="17"/>
  <c r="P163" i="17"/>
  <c r="P164" i="17"/>
  <c r="P166" i="17"/>
  <c r="P165" i="17"/>
  <c r="P167" i="17"/>
  <c r="P168" i="17"/>
  <c r="F118" i="17"/>
  <c r="M118" i="17" s="1"/>
  <c r="F120" i="17" s="1"/>
  <c r="M120" i="17" s="1"/>
  <c r="F122" i="17" s="1"/>
  <c r="M122" i="17" s="1"/>
  <c r="F124" i="17" s="1"/>
  <c r="M124" i="17" s="1"/>
  <c r="F126" i="17" s="1"/>
  <c r="M126" i="17" s="1"/>
  <c r="F128" i="17" s="1"/>
  <c r="M128" i="17" s="1"/>
  <c r="F130" i="17" s="1"/>
  <c r="M130" i="17" s="1"/>
  <c r="F132" i="17" s="1"/>
  <c r="M132" i="17" s="1"/>
  <c r="F134" i="17" s="1"/>
  <c r="M134" i="17" s="1"/>
  <c r="F136" i="17" s="1"/>
  <c r="M136" i="17" s="1"/>
  <c r="F138" i="17" s="1"/>
  <c r="M138" i="17" s="1"/>
  <c r="F140" i="17" s="1"/>
  <c r="M140" i="17" s="1"/>
  <c r="F142" i="17" s="1"/>
  <c r="M142" i="17" s="1"/>
  <c r="F144" i="17" s="1"/>
  <c r="M144" i="17" s="1"/>
  <c r="F146" i="17" s="1"/>
  <c r="M146" i="17" s="1"/>
  <c r="F148" i="17" s="1"/>
  <c r="M148" i="17" s="1"/>
  <c r="F150" i="17" s="1"/>
  <c r="M150" i="17" s="1"/>
  <c r="F152" i="17" s="1"/>
  <c r="M152" i="17" s="1"/>
  <c r="F154" i="17" s="1"/>
  <c r="M154" i="17" s="1"/>
  <c r="F156" i="17" s="1"/>
  <c r="M116" i="17"/>
  <c r="N165" i="17"/>
  <c r="N163" i="17"/>
  <c r="N166" i="17"/>
  <c r="N164" i="17"/>
  <c r="N167" i="17"/>
  <c r="N168" i="17"/>
  <c r="P169" i="17"/>
  <c r="M163" i="17"/>
  <c r="M166" i="17"/>
  <c r="M164" i="17"/>
  <c r="M165" i="17"/>
  <c r="M167" i="17"/>
  <c r="M168" i="17"/>
  <c r="O165" i="17"/>
  <c r="O163" i="17"/>
  <c r="O164" i="17"/>
  <c r="O166" i="17"/>
  <c r="O167" i="17"/>
  <c r="O168" i="17"/>
  <c r="P170" i="17"/>
  <c r="C171" i="17"/>
  <c r="N118" i="17"/>
  <c r="G120" i="17" s="1"/>
  <c r="N120" i="17" s="1"/>
  <c r="G122" i="17" s="1"/>
  <c r="N122" i="17" s="1"/>
  <c r="G124" i="17" s="1"/>
  <c r="N124" i="17" s="1"/>
  <c r="G126" i="17" s="1"/>
  <c r="N126" i="17" s="1"/>
  <c r="G128" i="17" s="1"/>
  <c r="N128" i="17" s="1"/>
  <c r="G130" i="17" s="1"/>
  <c r="N130" i="17" s="1"/>
  <c r="G132" i="17" s="1"/>
  <c r="N132" i="17" s="1"/>
  <c r="G134" i="17" s="1"/>
  <c r="N134" i="17" s="1"/>
  <c r="G136" i="17" s="1"/>
  <c r="N136" i="17" s="1"/>
  <c r="G138" i="17" s="1"/>
  <c r="N138" i="17" s="1"/>
  <c r="G140" i="17" s="1"/>
  <c r="N140" i="17" s="1"/>
  <c r="G142" i="17" s="1"/>
  <c r="N142" i="17" s="1"/>
  <c r="G144" i="17" s="1"/>
  <c r="N144" i="17" s="1"/>
  <c r="G146" i="17" s="1"/>
  <c r="N146" i="17" s="1"/>
  <c r="G148" i="17" s="1"/>
  <c r="N148" i="17" s="1"/>
  <c r="G150" i="17" s="1"/>
  <c r="N150" i="17" s="1"/>
  <c r="G152" i="17" s="1"/>
  <c r="N152" i="17" s="1"/>
  <c r="G154" i="17" s="1"/>
  <c r="N154" i="17" s="1"/>
  <c r="G156" i="17" s="1"/>
  <c r="N116" i="17"/>
  <c r="L164" i="17"/>
  <c r="L166" i="17"/>
  <c r="L165" i="17"/>
  <c r="L167" i="17"/>
  <c r="L168" i="17"/>
  <c r="F171" i="17" l="1"/>
  <c r="M171" i="17" s="1"/>
  <c r="E171" i="17"/>
  <c r="L171" i="17" s="1"/>
  <c r="E29" i="16"/>
  <c r="I29" i="16"/>
  <c r="H118" i="17"/>
  <c r="O118" i="17" s="1"/>
  <c r="H120" i="17" s="1"/>
  <c r="O120" i="17" s="1"/>
  <c r="H122" i="17" s="1"/>
  <c r="O122" i="17" s="1"/>
  <c r="H124" i="17" s="1"/>
  <c r="O124" i="17" s="1"/>
  <c r="H126" i="17" s="1"/>
  <c r="O126" i="17" s="1"/>
  <c r="H128" i="17" s="1"/>
  <c r="O128" i="17" s="1"/>
  <c r="H130" i="17" s="1"/>
  <c r="O130" i="17" s="1"/>
  <c r="H132" i="17" s="1"/>
  <c r="O132" i="17" s="1"/>
  <c r="H134" i="17" s="1"/>
  <c r="O134" i="17" s="1"/>
  <c r="H136" i="17" s="1"/>
  <c r="O136" i="17" s="1"/>
  <c r="H138" i="17" s="1"/>
  <c r="O138" i="17" s="1"/>
  <c r="H140" i="17" s="1"/>
  <c r="O140" i="17" s="1"/>
  <c r="H142" i="17" s="1"/>
  <c r="O142" i="17" s="1"/>
  <c r="H144" i="17" s="1"/>
  <c r="O144" i="17" s="1"/>
  <c r="H146" i="17" s="1"/>
  <c r="O146" i="17" s="1"/>
  <c r="H148" i="17" s="1"/>
  <c r="O148" i="17" s="1"/>
  <c r="H150" i="17" s="1"/>
  <c r="O150" i="17" s="1"/>
  <c r="H152" i="17" s="1"/>
  <c r="O152" i="17" s="1"/>
  <c r="H154" i="17" s="1"/>
  <c r="O154" i="17" s="1"/>
  <c r="H156" i="17" s="1"/>
  <c r="H226" i="17" s="1"/>
  <c r="H221" i="17" s="1"/>
  <c r="F29" i="16"/>
  <c r="P116" i="17"/>
  <c r="L116" i="17"/>
  <c r="I228" i="17"/>
  <c r="I223" i="17" s="1"/>
  <c r="I227" i="17"/>
  <c r="I222" i="17" s="1"/>
  <c r="I226" i="17"/>
  <c r="I221" i="17" s="1"/>
  <c r="G227" i="17"/>
  <c r="G222" i="17" s="1"/>
  <c r="G226" i="17"/>
  <c r="G228" i="17"/>
  <c r="G223" i="17" s="1"/>
  <c r="E227" i="17"/>
  <c r="E222" i="17" s="1"/>
  <c r="E226" i="17"/>
  <c r="E221" i="17" s="1"/>
  <c r="E228" i="17"/>
  <c r="E223" i="17" s="1"/>
  <c r="F226" i="17"/>
  <c r="F221" i="17" s="1"/>
  <c r="F227" i="17"/>
  <c r="F222" i="17" s="1"/>
  <c r="F228" i="17"/>
  <c r="F223" i="17" s="1"/>
  <c r="N171" i="17"/>
  <c r="O171" i="17"/>
  <c r="N156" i="17"/>
  <c r="L156" i="17"/>
  <c r="P171" i="17"/>
  <c r="C172" i="17"/>
  <c r="P156" i="17"/>
  <c r="M156" i="17"/>
  <c r="E172" i="17" l="1"/>
  <c r="L172" i="17" s="1"/>
  <c r="F172" i="17"/>
  <c r="M172" i="17" s="1"/>
  <c r="H227" i="17"/>
  <c r="H222" i="17" s="1"/>
  <c r="O156" i="17"/>
  <c r="H228" i="17"/>
  <c r="H223" i="17" s="1"/>
  <c r="N172" i="17"/>
  <c r="O172" i="17"/>
  <c r="P172" i="17"/>
  <c r="C173" i="17"/>
  <c r="E173" i="17" l="1"/>
  <c r="L173" i="17" s="1"/>
  <c r="F173" i="17"/>
  <c r="M173" i="17" s="1"/>
  <c r="N173" i="17"/>
  <c r="O173" i="17"/>
  <c r="C174" i="17"/>
  <c r="P173" i="17"/>
  <c r="F174" i="17" l="1"/>
  <c r="M174" i="17" s="1"/>
  <c r="E174" i="17"/>
  <c r="L174" i="17" s="1"/>
  <c r="N174" i="17"/>
  <c r="O174" i="17"/>
  <c r="P174" i="17"/>
  <c r="C175" i="17"/>
  <c r="F175" i="17" l="1"/>
  <c r="M175" i="17" s="1"/>
  <c r="E175" i="17"/>
  <c r="L175" i="17" s="1"/>
  <c r="O175" i="17"/>
  <c r="N175" i="17"/>
  <c r="P175" i="17"/>
  <c r="C176" i="17"/>
  <c r="F176" i="17" l="1"/>
  <c r="M176" i="17" s="1"/>
  <c r="E176" i="17"/>
  <c r="L176" i="17" s="1"/>
  <c r="N176" i="17"/>
  <c r="O176" i="17"/>
  <c r="P176" i="17"/>
  <c r="C177" i="17"/>
  <c r="F177" i="17" l="1"/>
  <c r="M177" i="17" s="1"/>
  <c r="E177" i="17"/>
  <c r="L177" i="17" s="1"/>
  <c r="N177" i="17"/>
  <c r="O177" i="17"/>
  <c r="C178" i="17"/>
  <c r="P177" i="17"/>
  <c r="E178" i="17" l="1"/>
  <c r="L178" i="17" s="1"/>
  <c r="F178" i="17"/>
  <c r="M178" i="17" s="1"/>
  <c r="O178" i="17"/>
  <c r="N178" i="17"/>
  <c r="C179" i="17"/>
  <c r="P178" i="17"/>
  <c r="E179" i="17" l="1"/>
  <c r="L179" i="17" s="1"/>
  <c r="F179" i="17"/>
  <c r="M179" i="17" s="1"/>
  <c r="O179" i="17"/>
  <c r="N179" i="17"/>
  <c r="P179" i="17"/>
  <c r="C180" i="17"/>
  <c r="E180" i="17" l="1"/>
  <c r="L180" i="17" s="1"/>
  <c r="F180" i="17"/>
  <c r="M180" i="17" s="1"/>
  <c r="N180" i="17"/>
  <c r="O180" i="17"/>
  <c r="C181" i="17"/>
  <c r="P180" i="17"/>
  <c r="F181" i="17" l="1"/>
  <c r="M181" i="17" s="1"/>
  <c r="E181" i="17"/>
  <c r="L181" i="17" s="1"/>
  <c r="O181" i="17"/>
  <c r="N181" i="17"/>
  <c r="P181" i="17"/>
  <c r="C182" i="17"/>
  <c r="F182" i="17" l="1"/>
  <c r="M182" i="17" s="1"/>
  <c r="E182" i="17"/>
  <c r="L182" i="17" s="1"/>
  <c r="O182" i="17"/>
  <c r="N182" i="17"/>
  <c r="C183" i="17"/>
  <c r="P182" i="17"/>
  <c r="E183" i="17" l="1"/>
  <c r="L183" i="17" s="1"/>
  <c r="F183" i="17"/>
  <c r="M183" i="17" s="1"/>
  <c r="O183" i="17"/>
  <c r="N183" i="17"/>
  <c r="P183" i="17"/>
  <c r="D6" i="17" l="1"/>
  <c r="D41" i="17" s="1"/>
  <c r="D42" i="17" s="1"/>
  <c r="D43" i="17" s="1"/>
  <c r="D15" i="16" s="1"/>
  <c r="D39" i="17" l="1"/>
  <c r="D57" i="17" s="1"/>
  <c r="D182" i="17" s="1"/>
  <c r="D31" i="17"/>
  <c r="D32" i="17" s="1"/>
  <c r="D35" i="17" s="1"/>
  <c r="K182" i="17" l="1"/>
  <c r="D164" i="17"/>
  <c r="K164" i="17" s="1"/>
  <c r="D165" i="17"/>
  <c r="K165" i="17" s="1"/>
  <c r="D66" i="17"/>
  <c r="D68" i="17" s="1"/>
  <c r="D216" i="17"/>
  <c r="D175" i="17"/>
  <c r="K175" i="17" s="1"/>
  <c r="D218" i="17"/>
  <c r="D169" i="17"/>
  <c r="K169" i="17" s="1"/>
  <c r="D176" i="17"/>
  <c r="K176" i="17" s="1"/>
  <c r="D179" i="17"/>
  <c r="K179" i="17" s="1"/>
  <c r="D177" i="17"/>
  <c r="K177" i="17" s="1"/>
  <c r="D211" i="17"/>
  <c r="D181" i="17"/>
  <c r="K181" i="17" s="1"/>
  <c r="D168" i="17"/>
  <c r="K168" i="17" s="1"/>
  <c r="D174" i="17"/>
  <c r="K174" i="17" s="1"/>
  <c r="D180" i="17"/>
  <c r="K180" i="17" s="1"/>
  <c r="D170" i="17"/>
  <c r="K170" i="17" s="1"/>
  <c r="D173" i="17"/>
  <c r="K173" i="17" s="1"/>
  <c r="D212" i="17"/>
  <c r="D171" i="17"/>
  <c r="K171" i="17" s="1"/>
  <c r="D167" i="17"/>
  <c r="K167" i="17" s="1"/>
  <c r="D183" i="17"/>
  <c r="K183" i="17" s="1"/>
  <c r="D178" i="17"/>
  <c r="K178" i="17" s="1"/>
  <c r="D172" i="17"/>
  <c r="K172" i="17" s="1"/>
  <c r="D217" i="17"/>
  <c r="D163" i="17"/>
  <c r="K163" i="17" s="1"/>
  <c r="D213" i="17"/>
  <c r="D166" i="17"/>
  <c r="K166" i="17" s="1"/>
  <c r="D36" i="17"/>
  <c r="D54" i="17" s="1"/>
  <c r="D55" i="17" s="1"/>
  <c r="D56" i="17" s="1"/>
  <c r="D75" i="17"/>
  <c r="D76" i="17" s="1"/>
  <c r="D78" i="17" s="1"/>
  <c r="D79" i="17" s="1"/>
  <c r="D80" i="17" s="1"/>
  <c r="D82" i="17" s="1"/>
  <c r="D83" i="17" s="1"/>
  <c r="D84" i="17" s="1"/>
  <c r="D86" i="17" s="1"/>
  <c r="D87" i="17" s="1"/>
  <c r="D88" i="17" s="1"/>
  <c r="D90" i="17" s="1"/>
  <c r="D91" i="17" s="1"/>
  <c r="D92" i="17" s="1"/>
  <c r="D94" i="17" s="1"/>
  <c r="D95" i="17" s="1"/>
  <c r="D96" i="17" s="1"/>
  <c r="D98" i="17" s="1"/>
  <c r="D99" i="17" s="1"/>
  <c r="D100" i="17" s="1"/>
  <c r="D102" i="17" s="1"/>
  <c r="D103" i="17" s="1"/>
  <c r="D104" i="17" s="1"/>
  <c r="D106" i="17" s="1"/>
  <c r="D107" i="17" s="1"/>
  <c r="D108" i="17" s="1"/>
  <c r="D116" i="17" l="1"/>
  <c r="D110" i="17"/>
  <c r="D111" i="17" s="1"/>
  <c r="D62" i="17"/>
  <c r="D63" i="17" s="1"/>
  <c r="D58" i="17"/>
  <c r="D28" i="16" s="1"/>
  <c r="D29" i="16" l="1"/>
  <c r="D64" i="17"/>
  <c r="D65" i="17" s="1"/>
  <c r="D69" i="17" s="1"/>
  <c r="D31" i="16" s="1"/>
  <c r="D118" i="17"/>
  <c r="K118" i="17" s="1"/>
  <c r="D120" i="17" s="1"/>
  <c r="K120" i="17" s="1"/>
  <c r="D122" i="17" s="1"/>
  <c r="K122" i="17" s="1"/>
  <c r="D124" i="17" s="1"/>
  <c r="K124" i="17" s="1"/>
  <c r="D126" i="17" s="1"/>
  <c r="K126" i="17" s="1"/>
  <c r="D128" i="17" s="1"/>
  <c r="K128" i="17" s="1"/>
  <c r="D130" i="17" s="1"/>
  <c r="K130" i="17" s="1"/>
  <c r="D132" i="17" s="1"/>
  <c r="K132" i="17" s="1"/>
  <c r="D134" i="17" s="1"/>
  <c r="K134" i="17" s="1"/>
  <c r="D136" i="17" s="1"/>
  <c r="K136" i="17" s="1"/>
  <c r="D138" i="17" s="1"/>
  <c r="K138" i="17" s="1"/>
  <c r="D140" i="17" s="1"/>
  <c r="K140" i="17" s="1"/>
  <c r="D142" i="17" s="1"/>
  <c r="K142" i="17" s="1"/>
  <c r="D144" i="17" s="1"/>
  <c r="K144" i="17" s="1"/>
  <c r="D146" i="17" s="1"/>
  <c r="K146" i="17" s="1"/>
  <c r="D148" i="17" s="1"/>
  <c r="K148" i="17" s="1"/>
  <c r="D150" i="17" s="1"/>
  <c r="K150" i="17" s="1"/>
  <c r="D152" i="17" s="1"/>
  <c r="K152" i="17" s="1"/>
  <c r="D154" i="17" s="1"/>
  <c r="K154" i="17" s="1"/>
  <c r="D156" i="17" s="1"/>
  <c r="K116" i="17"/>
  <c r="K156" i="17" l="1"/>
  <c r="D228" i="17"/>
  <c r="D223" i="17" s="1"/>
  <c r="D227" i="17"/>
  <c r="D222" i="17" s="1"/>
  <c r="D226" i="17"/>
  <c r="D221" i="17" s="1"/>
</calcChain>
</file>

<file path=xl/sharedStrings.xml><?xml version="1.0" encoding="utf-8"?>
<sst xmlns="http://schemas.openxmlformats.org/spreadsheetml/2006/main" count="304" uniqueCount="172">
  <si>
    <t>乾燥密度</t>
    <rPh sb="0" eb="2">
      <t>カンソウ</t>
    </rPh>
    <rPh sb="2" eb="4">
      <t>ミツド</t>
    </rPh>
    <phoneticPr fontId="1"/>
  </si>
  <si>
    <t>液相率</t>
    <rPh sb="0" eb="1">
      <t>エキ</t>
    </rPh>
    <rPh sb="1" eb="2">
      <t>ソウ</t>
    </rPh>
    <rPh sb="2" eb="3">
      <t>リツ</t>
    </rPh>
    <phoneticPr fontId="1"/>
  </si>
  <si>
    <t>分散長</t>
    <rPh sb="0" eb="2">
      <t>ブンサン</t>
    </rPh>
    <rPh sb="2" eb="3">
      <t>チョウ</t>
    </rPh>
    <phoneticPr fontId="1"/>
  </si>
  <si>
    <t>施工後の帯水層と活用土壌との距離</t>
    <rPh sb="0" eb="2">
      <t>セコウ</t>
    </rPh>
    <rPh sb="2" eb="3">
      <t>ゴ</t>
    </rPh>
    <rPh sb="4" eb="7">
      <t>タイスイソウ</t>
    </rPh>
    <rPh sb="8" eb="10">
      <t>カツヨウ</t>
    </rPh>
    <rPh sb="10" eb="12">
      <t>ドジョウ</t>
    </rPh>
    <rPh sb="14" eb="16">
      <t>キョリ</t>
    </rPh>
    <phoneticPr fontId="1"/>
  </si>
  <si>
    <t>降水量</t>
    <rPh sb="0" eb="3">
      <t>コウスイリョウ</t>
    </rPh>
    <phoneticPr fontId="1"/>
  </si>
  <si>
    <t>浸透率</t>
    <rPh sb="0" eb="2">
      <t>シントウ</t>
    </rPh>
    <rPh sb="2" eb="3">
      <t>リツ</t>
    </rPh>
    <phoneticPr fontId="1"/>
  </si>
  <si>
    <t>物質</t>
    <rPh sb="0" eb="2">
      <t>ブッシツ</t>
    </rPh>
    <phoneticPr fontId="1"/>
  </si>
  <si>
    <t>ほう素</t>
    <rPh sb="2" eb="3">
      <t>ソ</t>
    </rPh>
    <phoneticPr fontId="1"/>
  </si>
  <si>
    <t>六価クロム</t>
    <rPh sb="0" eb="2">
      <t>ロッカ</t>
    </rPh>
    <phoneticPr fontId="1"/>
  </si>
  <si>
    <t>分配係数　(L/kg)</t>
    <rPh sb="0" eb="2">
      <t>ブンパイ</t>
    </rPh>
    <rPh sb="2" eb="4">
      <t>ケイスウ</t>
    </rPh>
    <phoneticPr fontId="1"/>
  </si>
  <si>
    <t>許容濃度　(mg/L)</t>
    <rPh sb="0" eb="2">
      <t>キョヨウ</t>
    </rPh>
    <rPh sb="2" eb="4">
      <t>ノウド</t>
    </rPh>
    <phoneticPr fontId="1"/>
  </si>
  <si>
    <t>m</t>
    <phoneticPr fontId="1"/>
  </si>
  <si>
    <t>単位変換、パラメータの計算</t>
    <rPh sb="0" eb="2">
      <t>タンイ</t>
    </rPh>
    <rPh sb="2" eb="4">
      <t>ヘンカン</t>
    </rPh>
    <rPh sb="11" eb="13">
      <t>ケイサン</t>
    </rPh>
    <phoneticPr fontId="1"/>
  </si>
  <si>
    <t>=分散長×流速</t>
    <phoneticPr fontId="1"/>
  </si>
  <si>
    <t>kg/m3</t>
    <phoneticPr fontId="1"/>
  </si>
  <si>
    <t>100年後の不飽和層下端濃度</t>
    <rPh sb="3" eb="5">
      <t>ネンゴ</t>
    </rPh>
    <rPh sb="6" eb="9">
      <t>フホウワ</t>
    </rPh>
    <rPh sb="9" eb="10">
      <t>ソウ</t>
    </rPh>
    <rPh sb="10" eb="12">
      <t>カタン</t>
    </rPh>
    <rPh sb="12" eb="14">
      <t>ノウド</t>
    </rPh>
    <phoneticPr fontId="1"/>
  </si>
  <si>
    <t>相対濃度</t>
    <rPh sb="0" eb="2">
      <t>ソウタイ</t>
    </rPh>
    <rPh sb="2" eb="4">
      <t>ノウド</t>
    </rPh>
    <phoneticPr fontId="1"/>
  </si>
  <si>
    <t>濃度(mg/L)</t>
    <rPh sb="0" eb="2">
      <t>ノウド</t>
    </rPh>
    <phoneticPr fontId="1"/>
  </si>
  <si>
    <t>活用土壌の許容濃度</t>
    <rPh sb="0" eb="2">
      <t>カツヨウ</t>
    </rPh>
    <rPh sb="2" eb="4">
      <t>ドジョウ</t>
    </rPh>
    <rPh sb="5" eb="7">
      <t>キョヨウ</t>
    </rPh>
    <rPh sb="7" eb="9">
      <t>ノウド</t>
    </rPh>
    <phoneticPr fontId="1"/>
  </si>
  <si>
    <t>相対濃度が0と計算された時の対策</t>
    <rPh sb="0" eb="2">
      <t>ソウタイ</t>
    </rPh>
    <rPh sb="2" eb="4">
      <t>ノウド</t>
    </rPh>
    <rPh sb="7" eb="9">
      <t>ケイサン</t>
    </rPh>
    <rPh sb="12" eb="13">
      <t>トキ</t>
    </rPh>
    <rPh sb="14" eb="16">
      <t>タイサク</t>
    </rPh>
    <phoneticPr fontId="1"/>
  </si>
  <si>
    <t>1次元解析解で計算</t>
    <rPh sb="1" eb="3">
      <t>ジゲン</t>
    </rPh>
    <rPh sb="3" eb="5">
      <t>カイセキ</t>
    </rPh>
    <rPh sb="5" eb="6">
      <t>カイ</t>
    </rPh>
    <rPh sb="7" eb="9">
      <t>ケイサン</t>
    </rPh>
    <phoneticPr fontId="1"/>
  </si>
  <si>
    <t>相対濃度がほぼ0と計算された時は1e-6に置き換え</t>
    <rPh sb="0" eb="2">
      <t>ソウタイ</t>
    </rPh>
    <rPh sb="2" eb="4">
      <t>ノウド</t>
    </rPh>
    <rPh sb="9" eb="11">
      <t>ケイサン</t>
    </rPh>
    <rPh sb="14" eb="15">
      <t>トキ</t>
    </rPh>
    <rPh sb="21" eb="22">
      <t>オ</t>
    </rPh>
    <rPh sb="23" eb="24">
      <t>カ</t>
    </rPh>
    <phoneticPr fontId="1"/>
  </si>
  <si>
    <t>=基準値/相対濃度(相対濃度：基準値=1：許容濃度)</t>
    <rPh sb="1" eb="3">
      <t>キジュン</t>
    </rPh>
    <rPh sb="3" eb="4">
      <t>チ</t>
    </rPh>
    <rPh sb="5" eb="7">
      <t>ソウタイ</t>
    </rPh>
    <rPh sb="7" eb="9">
      <t>ノウド</t>
    </rPh>
    <rPh sb="10" eb="12">
      <t>ソウタイ</t>
    </rPh>
    <rPh sb="12" eb="14">
      <t>ノウド</t>
    </rPh>
    <rPh sb="15" eb="17">
      <t>キジュン</t>
    </rPh>
    <rPh sb="17" eb="18">
      <t>チ</t>
    </rPh>
    <rPh sb="21" eb="23">
      <t>キョヨウ</t>
    </rPh>
    <rPh sb="23" eb="25">
      <t>ノウド</t>
    </rPh>
    <phoneticPr fontId="1"/>
  </si>
  <si>
    <t>構造要件の判定</t>
    <rPh sb="0" eb="2">
      <t>コウゾウ</t>
    </rPh>
    <rPh sb="2" eb="4">
      <t>ヨウケン</t>
    </rPh>
    <rPh sb="5" eb="7">
      <t>ハンテイ</t>
    </rPh>
    <phoneticPr fontId="1"/>
  </si>
  <si>
    <t>対象物質毎</t>
    <rPh sb="0" eb="2">
      <t>タイショウ</t>
    </rPh>
    <rPh sb="2" eb="4">
      <t>ブッシツ</t>
    </rPh>
    <rPh sb="4" eb="5">
      <t>ゴト</t>
    </rPh>
    <phoneticPr fontId="1"/>
  </si>
  <si>
    <t>サイト</t>
    <phoneticPr fontId="1"/>
  </si>
  <si>
    <t>(2) 濃度プロファイルを表示するためのフロー</t>
    <rPh sb="4" eb="6">
      <t>ノウド</t>
    </rPh>
    <rPh sb="13" eb="15">
      <t>ヒョウジ</t>
    </rPh>
    <phoneticPr fontId="1"/>
  </si>
  <si>
    <t>100年後の濃度が基準値以下となる深度を求める</t>
    <rPh sb="3" eb="4">
      <t>ネン</t>
    </rPh>
    <rPh sb="4" eb="5">
      <t>ゴ</t>
    </rPh>
    <rPh sb="6" eb="8">
      <t>ノウド</t>
    </rPh>
    <rPh sb="9" eb="11">
      <t>キジュン</t>
    </rPh>
    <rPh sb="11" eb="12">
      <t>チ</t>
    </rPh>
    <rPh sb="12" eb="14">
      <t>イカ</t>
    </rPh>
    <rPh sb="17" eb="19">
      <t>シンド</t>
    </rPh>
    <rPh sb="20" eb="21">
      <t>モト</t>
    </rPh>
    <phoneticPr fontId="1"/>
  </si>
  <si>
    <t>↑での相対濃度</t>
    <rPh sb="3" eb="5">
      <t>ソウタイ</t>
    </rPh>
    <rPh sb="5" eb="7">
      <t>ノウド</t>
    </rPh>
    <phoneticPr fontId="1"/>
  </si>
  <si>
    <t>濃度　(mg/L)</t>
    <rPh sb="0" eb="2">
      <t>ノウド</t>
    </rPh>
    <phoneticPr fontId="1"/>
  </si>
  <si>
    <r>
      <t>距離(m)　</t>
    </r>
    <r>
      <rPr>
        <sz val="11"/>
        <color rgb="FF0070C0"/>
        <rFont val="ＭＳ Ｐゴシック"/>
        <family val="3"/>
        <charset val="128"/>
        <scheme val="minor"/>
      </rPr>
      <t>B</t>
    </r>
    <rPh sb="0" eb="2">
      <t>キョリ</t>
    </rPh>
    <phoneticPr fontId="1"/>
  </si>
  <si>
    <t>基準値になる距離の算出フロー</t>
    <rPh sb="0" eb="2">
      <t>キジュン</t>
    </rPh>
    <rPh sb="2" eb="3">
      <t>チ</t>
    </rPh>
    <rPh sb="6" eb="8">
      <t>キョリ</t>
    </rPh>
    <rPh sb="9" eb="11">
      <t>サンシュツ</t>
    </rPh>
    <phoneticPr fontId="1"/>
  </si>
  <si>
    <t>x1 (m)</t>
    <phoneticPr fontId="1"/>
  </si>
  <si>
    <t>x0 (m)</t>
    <phoneticPr fontId="1"/>
  </si>
  <si>
    <t>x3 (m)</t>
    <phoneticPr fontId="1"/>
  </si>
  <si>
    <t>←での相対濃度</t>
    <rPh sb="3" eb="5">
      <t>ソウタイ</t>
    </rPh>
    <rPh sb="5" eb="7">
      <t>ノウド</t>
    </rPh>
    <phoneticPr fontId="1"/>
  </si>
  <si>
    <t>x4 (m)</t>
    <phoneticPr fontId="1"/>
  </si>
  <si>
    <t>x8 (m)</t>
    <phoneticPr fontId="1"/>
  </si>
  <si>
    <t>x9 (m)</t>
    <phoneticPr fontId="1"/>
  </si>
  <si>
    <t>x10 (m)</t>
    <phoneticPr fontId="1"/>
  </si>
  <si>
    <t>x14 (m)</t>
    <phoneticPr fontId="1"/>
  </si>
  <si>
    <t>x15 (m)</t>
    <phoneticPr fontId="1"/>
  </si>
  <si>
    <t>x18 (m)</t>
    <phoneticPr fontId="1"/>
  </si>
  <si>
    <t>x19 (m)</t>
    <phoneticPr fontId="1"/>
  </si>
  <si>
    <t>濃度プロファイル表示</t>
    <rPh sb="0" eb="2">
      <t>ノウド</t>
    </rPh>
    <rPh sb="8" eb="10">
      <t>ヒョウジ</t>
    </rPh>
    <phoneticPr fontId="1"/>
  </si>
  <si>
    <t>計算層厚max(m)</t>
    <rPh sb="0" eb="2">
      <t>ケイサン</t>
    </rPh>
    <rPh sb="2" eb="4">
      <t>ソウアツ</t>
    </rPh>
    <phoneticPr fontId="1"/>
  </si>
  <si>
    <t>凡例</t>
    <rPh sb="0" eb="2">
      <t>ハンレイ</t>
    </rPh>
    <phoneticPr fontId="1"/>
  </si>
  <si>
    <t>100年後の濃度分布</t>
    <rPh sb="3" eb="5">
      <t>ネンゴ</t>
    </rPh>
    <rPh sb="6" eb="8">
      <t>ノウド</t>
    </rPh>
    <rPh sb="8" eb="10">
      <t>ブンプ</t>
    </rPh>
    <phoneticPr fontId="1"/>
  </si>
  <si>
    <t>浸透量</t>
    <rPh sb="0" eb="2">
      <t>シントウ</t>
    </rPh>
    <rPh sb="2" eb="3">
      <t>リョウ</t>
    </rPh>
    <phoneticPr fontId="1"/>
  </si>
  <si>
    <t>計算に使用する浸透量</t>
    <rPh sb="0" eb="2">
      <t>ケイサン</t>
    </rPh>
    <rPh sb="3" eb="5">
      <t>シヨウ</t>
    </rPh>
    <rPh sb="7" eb="9">
      <t>シントウ</t>
    </rPh>
    <rPh sb="9" eb="10">
      <t>リョウ</t>
    </rPh>
    <phoneticPr fontId="1"/>
  </si>
  <si>
    <t>分配係数ディフォルト値　(L/kg)</t>
    <rPh sb="0" eb="2">
      <t>ブンパイ</t>
    </rPh>
    <rPh sb="2" eb="4">
      <t>ケイスウ</t>
    </rPh>
    <rPh sb="10" eb="11">
      <t>チ</t>
    </rPh>
    <phoneticPr fontId="1"/>
  </si>
  <si>
    <t>土壌溶出量基準　(mg/L)</t>
    <rPh sb="0" eb="2">
      <t>ドジョウ</t>
    </rPh>
    <rPh sb="2" eb="4">
      <t>ヨウシュツ</t>
    </rPh>
    <rPh sb="4" eb="5">
      <t>リョウ</t>
    </rPh>
    <rPh sb="5" eb="7">
      <t>キジュン</t>
    </rPh>
    <phoneticPr fontId="1"/>
  </si>
  <si>
    <t>指定基準　2017/11</t>
    <rPh sb="0" eb="2">
      <t>シテイ</t>
    </rPh>
    <rPh sb="2" eb="4">
      <t>キジュン</t>
    </rPh>
    <phoneticPr fontId="1"/>
  </si>
  <si>
    <t>入力画面から</t>
    <rPh sb="0" eb="2">
      <t>ニュウリョク</t>
    </rPh>
    <rPh sb="2" eb="4">
      <t>ガメン</t>
    </rPh>
    <phoneticPr fontId="1"/>
  </si>
  <si>
    <t>mm/year</t>
    <phoneticPr fontId="1"/>
  </si>
  <si>
    <t>L/kg</t>
    <phoneticPr fontId="1"/>
  </si>
  <si>
    <t>mg/L</t>
    <phoneticPr fontId="1"/>
  </si>
  <si>
    <t>分配係数</t>
    <rPh sb="0" eb="2">
      <t>ブンパイ</t>
    </rPh>
    <rPh sb="2" eb="4">
      <t>ケイスウ</t>
    </rPh>
    <phoneticPr fontId="1"/>
  </si>
  <si>
    <t>土壌溶出量試験の結果</t>
    <rPh sb="0" eb="2">
      <t>ドジョウ</t>
    </rPh>
    <rPh sb="2" eb="4">
      <t>ヨウシュツ</t>
    </rPh>
    <rPh sb="4" eb="5">
      <t>リョウ</t>
    </rPh>
    <rPh sb="5" eb="7">
      <t>シケン</t>
    </rPh>
    <rPh sb="8" eb="10">
      <t>ケッカ</t>
    </rPh>
    <phoneticPr fontId="1"/>
  </si>
  <si>
    <t>土壌溶出量基準</t>
    <rPh sb="0" eb="2">
      <t>ドジョウ</t>
    </rPh>
    <rPh sb="2" eb="4">
      <t>ヨウシュツ</t>
    </rPh>
    <rPh sb="4" eb="5">
      <t>リョウ</t>
    </rPh>
    <rPh sb="5" eb="7">
      <t>キジュン</t>
    </rPh>
    <phoneticPr fontId="1"/>
  </si>
  <si>
    <t>第2溶出量基準</t>
    <rPh sb="0" eb="1">
      <t>ダイ</t>
    </rPh>
    <rPh sb="2" eb="4">
      <t>ヨウシュツ</t>
    </rPh>
    <rPh sb="4" eb="5">
      <t>リョウ</t>
    </rPh>
    <rPh sb="5" eb="7">
      <t>キジュン</t>
    </rPh>
    <phoneticPr fontId="1"/>
  </si>
  <si>
    <t>出力へ</t>
    <rPh sb="0" eb="2">
      <t>シュツリョク</t>
    </rPh>
    <phoneticPr fontId="1"/>
  </si>
  <si>
    <t>評価期間</t>
    <rPh sb="0" eb="2">
      <t>ヒョウカ</t>
    </rPh>
    <rPh sb="2" eb="4">
      <t>キカン</t>
    </rPh>
    <phoneticPr fontId="1"/>
  </si>
  <si>
    <t>流速v</t>
    <rPh sb="0" eb="2">
      <t>リュウソク</t>
    </rPh>
    <phoneticPr fontId="1"/>
  </si>
  <si>
    <t>分散係数D</t>
    <rPh sb="0" eb="2">
      <t>ブンサン</t>
    </rPh>
    <rPh sb="2" eb="4">
      <t>ケイスウ</t>
    </rPh>
    <phoneticPr fontId="1"/>
  </si>
  <si>
    <t>分配係数Kd'</t>
    <rPh sb="0" eb="2">
      <t>ブンパイ</t>
    </rPh>
    <rPh sb="2" eb="4">
      <t>ケイスウ</t>
    </rPh>
    <phoneticPr fontId="1"/>
  </si>
  <si>
    <t>遅延係数</t>
    <rPh sb="0" eb="2">
      <t>チエン</t>
    </rPh>
    <rPh sb="2" eb="4">
      <t>ケイスウ</t>
    </rPh>
    <phoneticPr fontId="1"/>
  </si>
  <si>
    <t>year</t>
    <phoneticPr fontId="1"/>
  </si>
  <si>
    <t>m/year</t>
    <phoneticPr fontId="1"/>
  </si>
  <si>
    <t>m2/year</t>
    <phoneticPr fontId="1"/>
  </si>
  <si>
    <t>m3/kg</t>
    <phoneticPr fontId="1"/>
  </si>
  <si>
    <t>=計算に使用する浸透量(mm/year)/1000/theta</t>
    <phoneticPr fontId="1"/>
  </si>
  <si>
    <t>'=1+Kd'×乾燥密度/液相率</t>
  </si>
  <si>
    <t>100年後の不飽和層下端濃度</t>
  </si>
  <si>
    <t>許容濃度</t>
    <rPh sb="0" eb="2">
      <t>キョヨウ</t>
    </rPh>
    <rPh sb="2" eb="4">
      <t>ノウド</t>
    </rPh>
    <phoneticPr fontId="1"/>
  </si>
  <si>
    <t>判定の要不要</t>
    <rPh sb="0" eb="2">
      <t>ハンテイ</t>
    </rPh>
    <rPh sb="3" eb="4">
      <t>ヨウ</t>
    </rPh>
    <rPh sb="4" eb="6">
      <t>フヨウ</t>
    </rPh>
    <phoneticPr fontId="1"/>
  </si>
  <si>
    <t>許容濃度　最大は第2溶出量基準</t>
    <rPh sb="0" eb="2">
      <t>キョヨウ</t>
    </rPh>
    <rPh sb="2" eb="4">
      <t>ノウド</t>
    </rPh>
    <rPh sb="5" eb="7">
      <t>サイダイ</t>
    </rPh>
    <rPh sb="8" eb="9">
      <t>ダイ</t>
    </rPh>
    <rPh sb="10" eb="12">
      <t>ヨウシュツ</t>
    </rPh>
    <rPh sb="12" eb="13">
      <t>リョウ</t>
    </rPh>
    <rPh sb="13" eb="15">
      <t>キジュン</t>
    </rPh>
    <phoneticPr fontId="1"/>
  </si>
  <si>
    <t>許容濃度　表示</t>
    <rPh sb="0" eb="2">
      <t>キョヨウ</t>
    </rPh>
    <rPh sb="2" eb="4">
      <t>ノウド</t>
    </rPh>
    <rPh sb="5" eb="7">
      <t>ヒョウジ</t>
    </rPh>
    <phoneticPr fontId="1"/>
  </si>
  <si>
    <r>
      <t>濃度(mg/L)　</t>
    </r>
    <r>
      <rPr>
        <sz val="11"/>
        <color rgb="FFFF0000"/>
        <rFont val="ＭＳ Ｐゴシック"/>
        <family val="3"/>
        <charset val="128"/>
        <scheme val="minor"/>
      </rPr>
      <t xml:space="preserve">A </t>
    </r>
    <r>
      <rPr>
        <sz val="11"/>
        <rFont val="ＭＳ Ｐゴシック"/>
        <family val="3"/>
        <charset val="128"/>
        <scheme val="minor"/>
      </rPr>
      <t>(=相対濃度×土壌溶出量試験結果)</t>
    </r>
    <rPh sb="0" eb="2">
      <t>ノウド</t>
    </rPh>
    <rPh sb="13" eb="15">
      <t>ソウタイ</t>
    </rPh>
    <rPh sb="15" eb="17">
      <t>ノウド</t>
    </rPh>
    <rPh sb="18" eb="20">
      <t>ドジョウ</t>
    </rPh>
    <rPh sb="20" eb="22">
      <t>ヨウシュツ</t>
    </rPh>
    <rPh sb="22" eb="23">
      <t>リョウ</t>
    </rPh>
    <rPh sb="23" eb="25">
      <t>シケン</t>
    </rPh>
    <rPh sb="25" eb="27">
      <t>ケッカ</t>
    </rPh>
    <phoneticPr fontId="1"/>
  </si>
  <si>
    <t>基準値に相当する相対濃度(=基準値/土壌溶出量試験結果)</t>
    <rPh sb="0" eb="2">
      <t>キジュン</t>
    </rPh>
    <rPh sb="2" eb="3">
      <t>チ</t>
    </rPh>
    <rPh sb="4" eb="6">
      <t>ソウトウ</t>
    </rPh>
    <rPh sb="8" eb="10">
      <t>ソウタイ</t>
    </rPh>
    <rPh sb="10" eb="12">
      <t>ノウド</t>
    </rPh>
    <rPh sb="14" eb="17">
      <t>キジュンチ</t>
    </rPh>
    <rPh sb="18" eb="20">
      <t>ドジョウ</t>
    </rPh>
    <rPh sb="20" eb="22">
      <t>ヨウシュツ</t>
    </rPh>
    <rPh sb="22" eb="23">
      <t>リョウ</t>
    </rPh>
    <rPh sb="23" eb="25">
      <t>シケン</t>
    </rPh>
    <rPh sb="25" eb="27">
      <t>ケッカ</t>
    </rPh>
    <phoneticPr fontId="1"/>
  </si>
  <si>
    <r>
      <rPr>
        <sz val="11"/>
        <color rgb="FFFF0000"/>
        <rFont val="ＭＳ Ｐゴシック"/>
        <family val="3"/>
        <charset val="128"/>
        <scheme val="minor"/>
      </rPr>
      <t>A</t>
    </r>
    <r>
      <rPr>
        <sz val="11"/>
        <color theme="1"/>
        <rFont val="ＭＳ Ｐゴシック"/>
        <family val="2"/>
        <charset val="128"/>
        <scheme val="minor"/>
      </rPr>
      <t>&lt;基準値の場合は</t>
    </r>
    <r>
      <rPr>
        <sz val="11"/>
        <color rgb="FF0070C0"/>
        <rFont val="ＭＳ Ｐゴシック"/>
        <family val="3"/>
        <charset val="128"/>
        <scheme val="minor"/>
      </rPr>
      <t>B、</t>
    </r>
    <r>
      <rPr>
        <sz val="11"/>
        <color theme="1"/>
        <rFont val="ＭＳ Ｐゴシック"/>
        <family val="3"/>
        <charset val="128"/>
        <scheme val="minor"/>
      </rPr>
      <t>A&gt;基準値の場合は2*B</t>
    </r>
    <rPh sb="2" eb="4">
      <t>キジュン</t>
    </rPh>
    <rPh sb="4" eb="5">
      <t>チ</t>
    </rPh>
    <rPh sb="6" eb="8">
      <t>バアイ</t>
    </rPh>
    <phoneticPr fontId="1"/>
  </si>
  <si>
    <t>x2 (m)</t>
    <phoneticPr fontId="1"/>
  </si>
  <si>
    <t>x5 (m)</t>
    <phoneticPr fontId="1"/>
  </si>
  <si>
    <t>x6 (m)</t>
    <phoneticPr fontId="1"/>
  </si>
  <si>
    <t>x7 (m)</t>
    <phoneticPr fontId="1"/>
  </si>
  <si>
    <t>x11 (m)</t>
    <phoneticPr fontId="1"/>
  </si>
  <si>
    <t>x12 (m)</t>
    <phoneticPr fontId="1"/>
  </si>
  <si>
    <t>x13 (m)</t>
    <phoneticPr fontId="1"/>
  </si>
  <si>
    <t>x16 (m)</t>
    <phoneticPr fontId="1"/>
  </si>
  <si>
    <t>x17 (m)</t>
    <phoneticPr fontId="1"/>
  </si>
  <si>
    <t>x20 (m)</t>
    <phoneticPr fontId="1"/>
  </si>
  <si>
    <t>相対距離</t>
    <rPh sb="0" eb="2">
      <t>ソウタイ</t>
    </rPh>
    <rPh sb="2" eb="4">
      <t>キョリ</t>
    </rPh>
    <phoneticPr fontId="1"/>
  </si>
  <si>
    <t>距離(m)</t>
    <rPh sb="0" eb="2">
      <t>キョリ</t>
    </rPh>
    <phoneticPr fontId="1"/>
  </si>
  <si>
    <t>↑での分散係数</t>
    <rPh sb="3" eb="5">
      <t>ブンサン</t>
    </rPh>
    <rPh sb="5" eb="7">
      <t>ケイスウ</t>
    </rPh>
    <phoneticPr fontId="1"/>
  </si>
  <si>
    <t>分散係数(m2/yaer)</t>
    <rPh sb="0" eb="2">
      <t>ブンサン</t>
    </rPh>
    <rPh sb="2" eb="4">
      <t>ケイスウ</t>
    </rPh>
    <phoneticPr fontId="1"/>
  </si>
  <si>
    <t>←での濃度</t>
    <rPh sb="3" eb="5">
      <t>ノウド</t>
    </rPh>
    <phoneticPr fontId="1"/>
  </si>
  <si>
    <t>タイトル</t>
    <phoneticPr fontId="1"/>
  </si>
  <si>
    <t>　　↑での分散係数　（固定値）</t>
    <rPh sb="5" eb="7">
      <t>ブンサン</t>
    </rPh>
    <rPh sb="7" eb="9">
      <t>ケイスウ</t>
    </rPh>
    <rPh sb="11" eb="14">
      <t>コテイチ</t>
    </rPh>
    <phoneticPr fontId="1"/>
  </si>
  <si>
    <t>第二溶出量基準　(mg/L)</t>
    <phoneticPr fontId="1"/>
  </si>
  <si>
    <t>上の行に一つでも1があればクラス2</t>
    <rPh sb="0" eb="1">
      <t>ウエ</t>
    </rPh>
    <rPh sb="2" eb="3">
      <t>ギョウ</t>
    </rPh>
    <rPh sb="4" eb="5">
      <t>ヒト</t>
    </rPh>
    <phoneticPr fontId="1"/>
  </si>
  <si>
    <t>エラー表示</t>
    <rPh sb="3" eb="5">
      <t>ヒョウジ</t>
    </rPh>
    <phoneticPr fontId="1"/>
  </si>
  <si>
    <t>対象物質毎の構造要件の出力</t>
    <rPh sb="0" eb="2">
      <t>タイショウ</t>
    </rPh>
    <rPh sb="2" eb="4">
      <t>ブッシツ</t>
    </rPh>
    <rPh sb="4" eb="5">
      <t>ゴト</t>
    </rPh>
    <rPh sb="6" eb="8">
      <t>コウゾウ</t>
    </rPh>
    <rPh sb="8" eb="10">
      <t>ヨウケン</t>
    </rPh>
    <rPh sb="11" eb="13">
      <t>シュツリョク</t>
    </rPh>
    <phoneticPr fontId="1"/>
  </si>
  <si>
    <t>許容濃度　切り捨て</t>
    <rPh sb="0" eb="2">
      <t>キョヨウ</t>
    </rPh>
    <rPh sb="2" eb="4">
      <t>ノウド</t>
    </rPh>
    <rPh sb="5" eb="6">
      <t>キ</t>
    </rPh>
    <rPh sb="7" eb="8">
      <t>ス</t>
    </rPh>
    <phoneticPr fontId="1"/>
  </si>
  <si>
    <t>②</t>
    <phoneticPr fontId="1"/>
  </si>
  <si>
    <t>①</t>
    <phoneticPr fontId="1"/>
  </si>
  <si>
    <t>③土壌溶出量基準値となる層厚の目安</t>
    <rPh sb="1" eb="3">
      <t>ドジョウ</t>
    </rPh>
    <rPh sb="3" eb="5">
      <t>ヨウシュツ</t>
    </rPh>
    <rPh sb="5" eb="6">
      <t>リョウ</t>
    </rPh>
    <rPh sb="6" eb="8">
      <t>キジュン</t>
    </rPh>
    <rPh sb="8" eb="9">
      <t>チ</t>
    </rPh>
    <rPh sb="12" eb="14">
      <t>ソウアツ</t>
    </rPh>
    <rPh sb="15" eb="17">
      <t>メヤス</t>
    </rPh>
    <phoneticPr fontId="1"/>
  </si>
  <si>
    <t>③</t>
    <phoneticPr fontId="1"/>
  </si>
  <si>
    <t>　</t>
    <phoneticPr fontId="1"/>
  </si>
  <si>
    <t>不飽和層内の濃度分布</t>
    <rPh sb="0" eb="3">
      <t>フホウワ</t>
    </rPh>
    <rPh sb="3" eb="4">
      <t>ソウ</t>
    </rPh>
    <rPh sb="4" eb="5">
      <t>ナイ</t>
    </rPh>
    <rPh sb="6" eb="8">
      <t>ノウド</t>
    </rPh>
    <rPh sb="8" eb="10">
      <t>ブンプ</t>
    </rPh>
    <phoneticPr fontId="1"/>
  </si>
  <si>
    <t>砒素</t>
    <rPh sb="0" eb="2">
      <t>ヒソ</t>
    </rPh>
    <phoneticPr fontId="1"/>
  </si>
  <si>
    <t>ふっ素</t>
    <rPh sb="2" eb="3">
      <t>ソ</t>
    </rPh>
    <phoneticPr fontId="1"/>
  </si>
  <si>
    <t>カドミウム</t>
    <phoneticPr fontId="1"/>
  </si>
  <si>
    <t>セレン</t>
    <phoneticPr fontId="1"/>
  </si>
  <si>
    <t>土壌溶出量基準値</t>
    <rPh sb="0" eb="2">
      <t>ドジョウ</t>
    </rPh>
    <rPh sb="2" eb="4">
      <t>ヨウシュツ</t>
    </rPh>
    <rPh sb="4" eb="5">
      <t>リョウ</t>
    </rPh>
    <rPh sb="5" eb="7">
      <t>キジュン</t>
    </rPh>
    <rPh sb="7" eb="8">
      <t>チ</t>
    </rPh>
    <phoneticPr fontId="1"/>
  </si>
  <si>
    <t>不飽和層下端</t>
    <rPh sb="0" eb="3">
      <t>フホウワ</t>
    </rPh>
    <rPh sb="3" eb="4">
      <t>ソウ</t>
    </rPh>
    <rPh sb="4" eb="6">
      <t>カタン</t>
    </rPh>
    <phoneticPr fontId="1"/>
  </si>
  <si>
    <t>エラー表示　Kd</t>
    <rPh sb="3" eb="5">
      <t>ヒョウジ</t>
    </rPh>
    <phoneticPr fontId="1"/>
  </si>
  <si>
    <t>エラー表示　区域指定濃度</t>
    <rPh sb="3" eb="5">
      <t>ヒョウジ</t>
    </rPh>
    <rPh sb="6" eb="8">
      <t>クイキ</t>
    </rPh>
    <rPh sb="8" eb="10">
      <t>シテイ</t>
    </rPh>
    <rPh sb="10" eb="12">
      <t>ノウド</t>
    </rPh>
    <phoneticPr fontId="1"/>
  </si>
  <si>
    <t>分配係数とディフォルト値の比較</t>
    <rPh sb="0" eb="2">
      <t>ブンパイ</t>
    </rPh>
    <rPh sb="2" eb="4">
      <t>ケイスウ</t>
    </rPh>
    <rPh sb="11" eb="12">
      <t>チ</t>
    </rPh>
    <rPh sb="13" eb="15">
      <t>ヒカク</t>
    </rPh>
    <phoneticPr fontId="1"/>
  </si>
  <si>
    <t>L/kg</t>
    <phoneticPr fontId="1"/>
  </si>
  <si>
    <t>分配係数ディフォルト値　（最小値）</t>
    <rPh sb="0" eb="2">
      <t>ブンパイ</t>
    </rPh>
    <rPh sb="2" eb="4">
      <t>ケイスウ</t>
    </rPh>
    <rPh sb="10" eb="11">
      <t>チ</t>
    </rPh>
    <rPh sb="13" eb="16">
      <t>サイショウチ</t>
    </rPh>
    <phoneticPr fontId="1"/>
  </si>
  <si>
    <t>カドミウム以外は入出力画面から</t>
    <rPh sb="5" eb="7">
      <t>イガイ</t>
    </rPh>
    <rPh sb="8" eb="11">
      <t>ニュウシュツリョク</t>
    </rPh>
    <rPh sb="11" eb="13">
      <t>ガメン</t>
    </rPh>
    <phoneticPr fontId="1"/>
  </si>
  <si>
    <t>エラー表示</t>
    <rPh sb="3" eb="5">
      <t>ヒョウジ</t>
    </rPh>
    <phoneticPr fontId="1"/>
  </si>
  <si>
    <t>1つ上の行に一つでもFALSEがあれば、FALSE（判定できない）を返す</t>
    <rPh sb="2" eb="3">
      <t>ウエ</t>
    </rPh>
    <rPh sb="4" eb="5">
      <t>ギョウ</t>
    </rPh>
    <rPh sb="6" eb="7">
      <t>ヒト</t>
    </rPh>
    <rPh sb="26" eb="28">
      <t>ハンテイ</t>
    </rPh>
    <rPh sb="34" eb="35">
      <t>カエ</t>
    </rPh>
    <phoneticPr fontId="1"/>
  </si>
  <si>
    <t>判定の要・不要</t>
    <rPh sb="0" eb="2">
      <t>ハンテイ</t>
    </rPh>
    <rPh sb="3" eb="4">
      <t>ヨウ</t>
    </rPh>
    <rPh sb="5" eb="7">
      <t>フヨウ</t>
    </rPh>
    <phoneticPr fontId="1"/>
  </si>
  <si>
    <t>入力可能な区域指定濃度下限値</t>
    <rPh sb="0" eb="2">
      <t>ニュウリョク</t>
    </rPh>
    <rPh sb="2" eb="4">
      <t>カノウ</t>
    </rPh>
    <rPh sb="5" eb="7">
      <t>クイキ</t>
    </rPh>
    <rPh sb="7" eb="9">
      <t>シテイ</t>
    </rPh>
    <rPh sb="9" eb="11">
      <t>ノウド</t>
    </rPh>
    <rPh sb="11" eb="13">
      <t>カゲン</t>
    </rPh>
    <rPh sb="13" eb="14">
      <t>チ</t>
    </rPh>
    <phoneticPr fontId="1"/>
  </si>
  <si>
    <t>mg/L</t>
    <phoneticPr fontId="1"/>
  </si>
  <si>
    <t>区域指定濃度と下限値の比較</t>
    <rPh sb="0" eb="2">
      <t>クイキ</t>
    </rPh>
    <rPh sb="2" eb="4">
      <t>シテイ</t>
    </rPh>
    <rPh sb="4" eb="6">
      <t>ノウド</t>
    </rPh>
    <rPh sb="7" eb="9">
      <t>カゲン</t>
    </rPh>
    <rPh sb="9" eb="10">
      <t>チ</t>
    </rPh>
    <rPh sb="11" eb="13">
      <t>ヒカク</t>
    </rPh>
    <phoneticPr fontId="1"/>
  </si>
  <si>
    <t>区域指定濃度が入力可能な濃度下限値より小さい時にFALSE（判定できない）を返す</t>
    <rPh sb="0" eb="2">
      <t>クイキ</t>
    </rPh>
    <rPh sb="2" eb="4">
      <t>シテイ</t>
    </rPh>
    <rPh sb="4" eb="6">
      <t>ノウド</t>
    </rPh>
    <rPh sb="7" eb="9">
      <t>ニュウリョク</t>
    </rPh>
    <rPh sb="9" eb="11">
      <t>カノウ</t>
    </rPh>
    <rPh sb="12" eb="14">
      <t>ノウド</t>
    </rPh>
    <rPh sb="14" eb="16">
      <t>カゲン</t>
    </rPh>
    <rPh sb="16" eb="17">
      <t>チ</t>
    </rPh>
    <rPh sb="19" eb="20">
      <t>チイ</t>
    </rPh>
    <rPh sb="22" eb="23">
      <t>トキ</t>
    </rPh>
    <rPh sb="30" eb="32">
      <t>ハンテイ</t>
    </rPh>
    <rPh sb="38" eb="39">
      <t>カエ</t>
    </rPh>
    <phoneticPr fontId="1"/>
  </si>
  <si>
    <t>分配係数と活用土壌の濃度情報のどちらかが空欄の時は判定が不要＝FALSE</t>
    <rPh sb="0" eb="2">
      <t>ブンパイ</t>
    </rPh>
    <rPh sb="2" eb="4">
      <t>ケイスウ</t>
    </rPh>
    <rPh sb="5" eb="7">
      <t>カツヨウ</t>
    </rPh>
    <rPh sb="7" eb="9">
      <t>ドジョウ</t>
    </rPh>
    <rPh sb="10" eb="12">
      <t>ノウド</t>
    </rPh>
    <rPh sb="12" eb="14">
      <t>ジョウホウ</t>
    </rPh>
    <rPh sb="20" eb="22">
      <t>クウラン</t>
    </rPh>
    <rPh sb="23" eb="24">
      <t>トキ</t>
    </rPh>
    <rPh sb="25" eb="27">
      <t>ハンテイ</t>
    </rPh>
    <rPh sb="28" eb="30">
      <t>フヨウ</t>
    </rPh>
    <phoneticPr fontId="1"/>
  </si>
  <si>
    <t>区域指定濃度と第2溶出量基準値の比較</t>
    <rPh sb="0" eb="2">
      <t>クイキ</t>
    </rPh>
    <rPh sb="2" eb="4">
      <t>シテイ</t>
    </rPh>
    <rPh sb="4" eb="6">
      <t>ノウド</t>
    </rPh>
    <rPh sb="7" eb="8">
      <t>ダイ</t>
    </rPh>
    <rPh sb="9" eb="11">
      <t>ヨウシュツ</t>
    </rPh>
    <rPh sb="11" eb="12">
      <t>リョウ</t>
    </rPh>
    <rPh sb="12" eb="14">
      <t>キジュン</t>
    </rPh>
    <rPh sb="14" eb="15">
      <t>チ</t>
    </rPh>
    <rPh sb="16" eb="18">
      <t>ヒカク</t>
    </rPh>
    <phoneticPr fontId="1"/>
  </si>
  <si>
    <t>区域指定濃度が第二溶出量基準値より大きい時にFALSE（判定できない）を返す</t>
    <rPh sb="0" eb="2">
      <t>クイキ</t>
    </rPh>
    <rPh sb="2" eb="4">
      <t>シテイ</t>
    </rPh>
    <rPh sb="4" eb="6">
      <t>ノウド</t>
    </rPh>
    <rPh sb="7" eb="9">
      <t>ダイニ</t>
    </rPh>
    <rPh sb="9" eb="11">
      <t>ヨウシュツ</t>
    </rPh>
    <rPh sb="11" eb="12">
      <t>リョウ</t>
    </rPh>
    <rPh sb="12" eb="14">
      <t>キジュン</t>
    </rPh>
    <rPh sb="14" eb="15">
      <t>チ</t>
    </rPh>
    <rPh sb="17" eb="18">
      <t>オオ</t>
    </rPh>
    <rPh sb="20" eb="21">
      <t>トキ</t>
    </rPh>
    <rPh sb="28" eb="30">
      <t>ハンテイ</t>
    </rPh>
    <rPh sb="36" eb="37">
      <t>カエ</t>
    </rPh>
    <phoneticPr fontId="1"/>
  </si>
  <si>
    <t>上の行がFALSEの時、エラー文章を返す</t>
    <rPh sb="0" eb="1">
      <t>ウエ</t>
    </rPh>
    <rPh sb="2" eb="3">
      <t>ギョウ</t>
    </rPh>
    <rPh sb="10" eb="11">
      <t>トキ</t>
    </rPh>
    <rPh sb="15" eb="17">
      <t>ブンショウ</t>
    </rPh>
    <rPh sb="18" eb="19">
      <t>カエ</t>
    </rPh>
    <phoneticPr fontId="1"/>
  </si>
  <si>
    <t>許容濃度の計算値が第二溶出量基準を超えていたら、第二溶出量基準値に置き換える</t>
    <rPh sb="0" eb="2">
      <t>キョヨウ</t>
    </rPh>
    <rPh sb="2" eb="4">
      <t>ノウド</t>
    </rPh>
    <rPh sb="5" eb="8">
      <t>ケイサンチ</t>
    </rPh>
    <rPh sb="9" eb="11">
      <t>ダイニ</t>
    </rPh>
    <rPh sb="11" eb="13">
      <t>ヨウシュツ</t>
    </rPh>
    <rPh sb="13" eb="14">
      <t>リョウ</t>
    </rPh>
    <rPh sb="14" eb="16">
      <t>キジュン</t>
    </rPh>
    <rPh sb="17" eb="18">
      <t>コ</t>
    </rPh>
    <rPh sb="24" eb="26">
      <t>ダイニ</t>
    </rPh>
    <rPh sb="26" eb="28">
      <t>ヨウシュツ</t>
    </rPh>
    <rPh sb="28" eb="29">
      <t>リョウ</t>
    </rPh>
    <rPh sb="29" eb="31">
      <t>キジュン</t>
    </rPh>
    <rPh sb="31" eb="32">
      <t>チ</t>
    </rPh>
    <rPh sb="33" eb="34">
      <t>オ</t>
    </rPh>
    <rPh sb="35" eb="36">
      <t>カ</t>
    </rPh>
    <phoneticPr fontId="1"/>
  </si>
  <si>
    <t>小数第3位を切り捨てる</t>
    <rPh sb="0" eb="2">
      <t>ショウスウ</t>
    </rPh>
    <rPh sb="2" eb="3">
      <t>ダイ</t>
    </rPh>
    <rPh sb="4" eb="5">
      <t>イ</t>
    </rPh>
    <rPh sb="6" eb="7">
      <t>キ</t>
    </rPh>
    <rPh sb="8" eb="9">
      <t>ス</t>
    </rPh>
    <phoneticPr fontId="1"/>
  </si>
  <si>
    <t>表示条件を満たしているか</t>
    <rPh sb="0" eb="2">
      <t>ヒョウジ</t>
    </rPh>
    <rPh sb="2" eb="4">
      <t>ジョウケン</t>
    </rPh>
    <rPh sb="5" eb="6">
      <t>ミ</t>
    </rPh>
    <phoneticPr fontId="1"/>
  </si>
  <si>
    <t>表示条件を満たしている場合(TRUE)に表示する内容</t>
    <rPh sb="0" eb="2">
      <t>ヒョウジ</t>
    </rPh>
    <rPh sb="2" eb="4">
      <t>ジョウケン</t>
    </rPh>
    <rPh sb="5" eb="6">
      <t>ミ</t>
    </rPh>
    <rPh sb="11" eb="13">
      <t>バアイ</t>
    </rPh>
    <rPh sb="20" eb="22">
      <t>ヒョウジ</t>
    </rPh>
    <rPh sb="24" eb="26">
      <t>ナイヨウ</t>
    </rPh>
    <phoneticPr fontId="1"/>
  </si>
  <si>
    <t>判定が必要で、かつ、分配係数、区域指定濃度の入力にエラーがある場合はFALSEを返す</t>
    <rPh sb="0" eb="2">
      <t>ハンテイ</t>
    </rPh>
    <rPh sb="3" eb="5">
      <t>ヒツヨウ</t>
    </rPh>
    <rPh sb="10" eb="12">
      <t>ブンパイ</t>
    </rPh>
    <rPh sb="12" eb="14">
      <t>ケイスウ</t>
    </rPh>
    <rPh sb="15" eb="17">
      <t>クイキ</t>
    </rPh>
    <rPh sb="17" eb="19">
      <t>シテイ</t>
    </rPh>
    <rPh sb="19" eb="21">
      <t>ノウド</t>
    </rPh>
    <rPh sb="22" eb="24">
      <t>ニュウリョク</t>
    </rPh>
    <rPh sb="31" eb="33">
      <t>バアイ</t>
    </rPh>
    <rPh sb="40" eb="41">
      <t>カエ</t>
    </rPh>
    <phoneticPr fontId="1"/>
  </si>
  <si>
    <t>許容濃度と区域指定濃度を比較して判定する</t>
    <rPh sb="0" eb="2">
      <t>キョヨウ</t>
    </rPh>
    <rPh sb="2" eb="4">
      <t>ノウド</t>
    </rPh>
    <rPh sb="5" eb="7">
      <t>クイキ</t>
    </rPh>
    <rPh sb="7" eb="9">
      <t>シテイ</t>
    </rPh>
    <rPh sb="9" eb="11">
      <t>ノウド</t>
    </rPh>
    <rPh sb="12" eb="14">
      <t>ヒカク</t>
    </rPh>
    <rPh sb="16" eb="18">
      <t>ハンテイ</t>
    </rPh>
    <phoneticPr fontId="1"/>
  </si>
  <si>
    <t>試験結果が表示条件を満たしているときに表示する内容</t>
    <rPh sb="0" eb="2">
      <t>シケン</t>
    </rPh>
    <rPh sb="2" eb="4">
      <t>ケッカ</t>
    </rPh>
    <rPh sb="5" eb="7">
      <t>ヒョウジ</t>
    </rPh>
    <rPh sb="7" eb="9">
      <t>ジョウケン</t>
    </rPh>
    <rPh sb="10" eb="11">
      <t>ミ</t>
    </rPh>
    <rPh sb="19" eb="21">
      <t>ヒョウジ</t>
    </rPh>
    <rPh sb="23" eb="25">
      <t>ナイヨウ</t>
    </rPh>
    <phoneticPr fontId="1"/>
  </si>
  <si>
    <t>判定の要不要に一つでも要があればTRUEを返す</t>
    <rPh sb="0" eb="2">
      <t>ハンテイ</t>
    </rPh>
    <rPh sb="3" eb="4">
      <t>ヨウ</t>
    </rPh>
    <rPh sb="4" eb="6">
      <t>フヨウ</t>
    </rPh>
    <rPh sb="7" eb="8">
      <t>ヒト</t>
    </rPh>
    <rPh sb="11" eb="12">
      <t>ヨウ</t>
    </rPh>
    <rPh sb="21" eb="22">
      <t>カエ</t>
    </rPh>
    <phoneticPr fontId="1"/>
  </si>
  <si>
    <t>分配係数が0より小さい時にFALSE（エラー）を返す</t>
    <rPh sb="0" eb="2">
      <t>ブンパイ</t>
    </rPh>
    <rPh sb="2" eb="4">
      <t>ケイスウ</t>
    </rPh>
    <rPh sb="8" eb="9">
      <t>チイ</t>
    </rPh>
    <rPh sb="11" eb="12">
      <t>トキ</t>
    </rPh>
    <rPh sb="24" eb="25">
      <t>カエ</t>
    </rPh>
    <phoneticPr fontId="1"/>
  </si>
  <si>
    <t>エラー：0より小さい値が入力されています。</t>
    <rPh sb="7" eb="8">
      <t>チイ</t>
    </rPh>
    <rPh sb="10" eb="11">
      <t>アタイ</t>
    </rPh>
    <rPh sb="12" eb="14">
      <t>ニュウリョク</t>
    </rPh>
    <phoneticPr fontId="1"/>
  </si>
  <si>
    <t>物質毎の汚染状態の判定結果</t>
    <rPh sb="0" eb="2">
      <t>ブッシツ</t>
    </rPh>
    <rPh sb="2" eb="3">
      <t>ゴト</t>
    </rPh>
    <rPh sb="4" eb="6">
      <t>オセン</t>
    </rPh>
    <rPh sb="6" eb="8">
      <t>ジョウタイ</t>
    </rPh>
    <rPh sb="9" eb="11">
      <t>ハンテイ</t>
    </rPh>
    <rPh sb="11" eb="13">
      <t>ケッカ</t>
    </rPh>
    <phoneticPr fontId="1"/>
  </si>
  <si>
    <t>年間降水量の情報</t>
    <rPh sb="0" eb="2">
      <t>ネンカン</t>
    </rPh>
    <rPh sb="2" eb="5">
      <t>コウスイリョウ</t>
    </rPh>
    <rPh sb="6" eb="8">
      <t>ジョウホウ</t>
    </rPh>
    <phoneticPr fontId="1"/>
  </si>
  <si>
    <t>年間降水量　(mm/年)</t>
    <rPh sb="0" eb="2">
      <t>ネンカン</t>
    </rPh>
    <rPh sb="2" eb="5">
      <t>コウスイリョウ</t>
    </rPh>
    <rPh sb="10" eb="11">
      <t>ネン</t>
    </rPh>
    <phoneticPr fontId="1"/>
  </si>
  <si>
    <t>年間浸透量　(mm/年)</t>
    <rPh sb="0" eb="2">
      <t>ネンカン</t>
    </rPh>
    <rPh sb="2" eb="4">
      <t>シントウ</t>
    </rPh>
    <rPh sb="4" eb="5">
      <t>リョウ</t>
    </rPh>
    <phoneticPr fontId="1"/>
  </si>
  <si>
    <t>計算に使用する年間浸透量　(mm/年)</t>
    <rPh sb="0" eb="2">
      <t>ケイサン</t>
    </rPh>
    <rPh sb="3" eb="5">
      <t>シヨウ</t>
    </rPh>
    <rPh sb="7" eb="9">
      <t>ネンカン</t>
    </rPh>
    <rPh sb="9" eb="11">
      <t>シントウ</t>
    </rPh>
    <rPh sb="11" eb="12">
      <t>リョウ</t>
    </rPh>
    <phoneticPr fontId="1"/>
  </si>
  <si>
    <t>不飽和層厚の情報</t>
    <rPh sb="0" eb="3">
      <t>フホウワ</t>
    </rPh>
    <rPh sb="3" eb="4">
      <t>ソウ</t>
    </rPh>
    <rPh sb="4" eb="5">
      <t>アツ</t>
    </rPh>
    <rPh sb="6" eb="8">
      <t>ジョウホウ</t>
    </rPh>
    <phoneticPr fontId="1"/>
  </si>
  <si>
    <t>不飽和層厚　(m)</t>
    <rPh sb="0" eb="3">
      <t>フホウワ</t>
    </rPh>
    <rPh sb="3" eb="5">
      <t>ソウアツ</t>
    </rPh>
    <phoneticPr fontId="1"/>
  </si>
  <si>
    <t>分配係数の情報</t>
    <rPh sb="0" eb="2">
      <t>ブンパイ</t>
    </rPh>
    <rPh sb="2" eb="4">
      <t>ケイスウ</t>
    </rPh>
    <rPh sb="5" eb="7">
      <t>ジョウホウ</t>
    </rPh>
    <phoneticPr fontId="1"/>
  </si>
  <si>
    <t>特定有害物質</t>
    <rPh sb="0" eb="2">
      <t>トクテイ</t>
    </rPh>
    <rPh sb="2" eb="4">
      <t>ユウガイ</t>
    </rPh>
    <rPh sb="4" eb="6">
      <t>ブッシツ</t>
    </rPh>
    <phoneticPr fontId="1"/>
  </si>
  <si>
    <t>自然由来等土壌の汚染状態</t>
    <rPh sb="0" eb="2">
      <t>シゼン</t>
    </rPh>
    <rPh sb="2" eb="4">
      <t>ユライ</t>
    </rPh>
    <rPh sb="4" eb="5">
      <t>トウ</t>
    </rPh>
    <rPh sb="5" eb="7">
      <t>ドジョウ</t>
    </rPh>
    <rPh sb="8" eb="10">
      <t>オセン</t>
    </rPh>
    <rPh sb="10" eb="12">
      <t>ジョウタイ</t>
    </rPh>
    <phoneticPr fontId="1"/>
  </si>
  <si>
    <t>自然由来等土壌の汚染状態　(mg/L)</t>
    <rPh sb="0" eb="2">
      <t>シゼン</t>
    </rPh>
    <rPh sb="2" eb="4">
      <t>ユライ</t>
    </rPh>
    <rPh sb="4" eb="5">
      <t>トウ</t>
    </rPh>
    <rPh sb="5" eb="7">
      <t>ドジョウ</t>
    </rPh>
    <rPh sb="8" eb="10">
      <t>オセン</t>
    </rPh>
    <rPh sb="10" eb="12">
      <t>ジョウタイ</t>
    </rPh>
    <phoneticPr fontId="1"/>
  </si>
  <si>
    <t>汚染状態の判定結果</t>
    <rPh sb="0" eb="2">
      <t>オセン</t>
    </rPh>
    <rPh sb="2" eb="4">
      <t>ジョウタイ</t>
    </rPh>
    <rPh sb="5" eb="7">
      <t>ハンテイ</t>
    </rPh>
    <rPh sb="7" eb="9">
      <t>ケッカ</t>
    </rPh>
    <phoneticPr fontId="1"/>
  </si>
  <si>
    <t>特定有害物質毎の許容濃度と汚染状態</t>
    <rPh sb="0" eb="2">
      <t>トクテイ</t>
    </rPh>
    <rPh sb="2" eb="4">
      <t>ユウガイ</t>
    </rPh>
    <rPh sb="4" eb="6">
      <t>ブッシツ</t>
    </rPh>
    <rPh sb="6" eb="7">
      <t>ゴト</t>
    </rPh>
    <rPh sb="8" eb="10">
      <t>キョヨウ</t>
    </rPh>
    <rPh sb="10" eb="12">
      <t>ノウド</t>
    </rPh>
    <rPh sb="13" eb="15">
      <t>オセン</t>
    </rPh>
    <rPh sb="15" eb="17">
      <t>ジョウタイ</t>
    </rPh>
    <phoneticPr fontId="1"/>
  </si>
  <si>
    <t>評価対象地住所</t>
    <rPh sb="0" eb="2">
      <t>ジュウソｈ</t>
    </rPh>
    <phoneticPr fontId="1"/>
  </si>
  <si>
    <t>自然由来等土壌の搬出元の区域指定の整理番号</t>
    <rPh sb="0" eb="2">
      <t>ドジョウノ</t>
    </rPh>
    <phoneticPr fontId="1"/>
  </si>
  <si>
    <t>計算実施日</t>
    <phoneticPr fontId="1"/>
  </si>
  <si>
    <t>サイト情報</t>
    <rPh sb="3" eb="5">
      <t>ジョウホウ</t>
    </rPh>
    <phoneticPr fontId="1"/>
  </si>
  <si>
    <t>エラー：土壌溶出量基準以下の値が入力されています。</t>
    <rPh sb="4" eb="6">
      <t>ドジョウ</t>
    </rPh>
    <rPh sb="6" eb="8">
      <t>ヨウシュツ</t>
    </rPh>
    <rPh sb="8" eb="9">
      <t>リョウ</t>
    </rPh>
    <rPh sb="9" eb="11">
      <t>キジュン</t>
    </rPh>
    <rPh sb="11" eb="13">
      <t>イカ</t>
    </rPh>
    <rPh sb="14" eb="15">
      <t>アタイ</t>
    </rPh>
    <rPh sb="16" eb="18">
      <t>ニュウリョク</t>
    </rPh>
    <phoneticPr fontId="1"/>
  </si>
  <si>
    <t>エラー：第二溶出量基準より大きい値が入力されています。</t>
    <rPh sb="4" eb="6">
      <t>ダイニ</t>
    </rPh>
    <rPh sb="6" eb="8">
      <t>ヨウシュツ</t>
    </rPh>
    <rPh sb="8" eb="9">
      <t>リョウ</t>
    </rPh>
    <rPh sb="9" eb="11">
      <t>キジュン</t>
    </rPh>
    <rPh sb="13" eb="14">
      <t>オオ</t>
    </rPh>
    <rPh sb="16" eb="17">
      <t>アタイ</t>
    </rPh>
    <rPh sb="18" eb="20">
      <t>ニュウリョク</t>
    </rPh>
    <phoneticPr fontId="1"/>
  </si>
  <si>
    <t>サイトの汚染状態を計算するための値</t>
    <rPh sb="4" eb="6">
      <t>オセン</t>
    </rPh>
    <rPh sb="6" eb="8">
      <t>ジョウタイ</t>
    </rPh>
    <rPh sb="9" eb="11">
      <t>ケイサン</t>
    </rPh>
    <rPh sb="16" eb="17">
      <t>アタイ</t>
    </rPh>
    <phoneticPr fontId="1"/>
  </si>
  <si>
    <t>サイトの汚染状態を出力するための計算</t>
    <rPh sb="4" eb="6">
      <t>オセン</t>
    </rPh>
    <rPh sb="6" eb="8">
      <t>ジョウタイ</t>
    </rPh>
    <rPh sb="9" eb="11">
      <t>シュツリョク</t>
    </rPh>
    <rPh sb="16" eb="18">
      <t>ケイサン</t>
    </rPh>
    <phoneticPr fontId="1"/>
  </si>
  <si>
    <t>サイトの汚染状態の表示条件を満たしているか</t>
    <rPh sb="4" eb="6">
      <t>オセン</t>
    </rPh>
    <rPh sb="6" eb="8">
      <t>ジョウタイ</t>
    </rPh>
    <rPh sb="9" eb="11">
      <t>ヒョウジ</t>
    </rPh>
    <rPh sb="11" eb="13">
      <t>ジョウケン</t>
    </rPh>
    <rPh sb="14" eb="15">
      <t>ミ</t>
    </rPh>
    <phoneticPr fontId="1"/>
  </si>
  <si>
    <t>サイトの汚染状態の表示</t>
    <rPh sb="4" eb="6">
      <t>オセン</t>
    </rPh>
    <rPh sb="6" eb="8">
      <t>ジョウタイ</t>
    </rPh>
    <rPh sb="9" eb="11">
      <t>ヒョウジ</t>
    </rPh>
    <phoneticPr fontId="1"/>
  </si>
  <si>
    <t>汚染状態の判定(66行)がTRUEで、かつ、分配係数、区域指定濃度の入力全てにエラーがないときにTRUEを返す</t>
    <rPh sb="0" eb="2">
      <t>オセン</t>
    </rPh>
    <rPh sb="2" eb="4">
      <t>ジョウタイ</t>
    </rPh>
    <rPh sb="5" eb="7">
      <t>ハンテイ</t>
    </rPh>
    <rPh sb="10" eb="11">
      <t>ギョウ</t>
    </rPh>
    <rPh sb="22" eb="24">
      <t>ブンパイ</t>
    </rPh>
    <rPh sb="24" eb="26">
      <t>ケイスウ</t>
    </rPh>
    <rPh sb="27" eb="29">
      <t>クイキ</t>
    </rPh>
    <rPh sb="29" eb="31">
      <t>シテイ</t>
    </rPh>
    <rPh sb="31" eb="33">
      <t>ノウド</t>
    </rPh>
    <rPh sb="34" eb="36">
      <t>ニュウリョク</t>
    </rPh>
    <rPh sb="36" eb="37">
      <t>スベ</t>
    </rPh>
    <rPh sb="53" eb="54">
      <t>カエ</t>
    </rPh>
    <phoneticPr fontId="1"/>
  </si>
  <si>
    <t>サイトの汚染状態の出力、溶出量試験結果のどちらか一方がTrue(判定できない)のとき”－”を返す。</t>
    <rPh sb="4" eb="6">
      <t>オセン</t>
    </rPh>
    <rPh sb="6" eb="8">
      <t>ジョウタイ</t>
    </rPh>
    <rPh sb="9" eb="11">
      <t>シュツリョク</t>
    </rPh>
    <rPh sb="12" eb="14">
      <t>ヨウシュツ</t>
    </rPh>
    <rPh sb="14" eb="15">
      <t>リョウ</t>
    </rPh>
    <rPh sb="15" eb="17">
      <t>シケン</t>
    </rPh>
    <rPh sb="17" eb="19">
      <t>ケッカ</t>
    </rPh>
    <rPh sb="24" eb="26">
      <t>イッポウ</t>
    </rPh>
    <rPh sb="32" eb="34">
      <t>ハンテイ</t>
    </rPh>
    <rPh sb="46" eb="47">
      <t>カエ</t>
    </rPh>
    <phoneticPr fontId="1"/>
  </si>
  <si>
    <t>※評価対象物質のみ入力</t>
    <phoneticPr fontId="1"/>
  </si>
  <si>
    <t>汚染状態に関する基準　2021年4月</t>
    <rPh sb="0" eb="4">
      <t>オセンジョウタイ</t>
    </rPh>
    <rPh sb="5" eb="6">
      <t>カン</t>
    </rPh>
    <rPh sb="8" eb="10">
      <t>キジュン</t>
    </rPh>
    <rPh sb="15" eb="16">
      <t>ネン</t>
    </rPh>
    <rPh sb="17" eb="18">
      <t>ガツ</t>
    </rPh>
    <phoneticPr fontId="1"/>
  </si>
  <si>
    <r>
      <t xml:space="preserve">個別サイト評価計算ツール </t>
    </r>
    <r>
      <rPr>
        <sz val="14"/>
        <rFont val="Meiryo UI"/>
        <family val="3"/>
        <charset val="128"/>
      </rPr>
      <t>Ver.1.1</t>
    </r>
    <rPh sb="0" eb="2">
      <t>コベツ</t>
    </rPh>
    <rPh sb="5" eb="7">
      <t>ヒョウカ</t>
    </rPh>
    <rPh sb="7" eb="8">
      <t>ケイサン</t>
    </rPh>
    <phoneticPr fontId="1"/>
  </si>
  <si>
    <t>100(pH5以上)
20(pH5未満)</t>
    <phoneticPr fontId="1"/>
  </si>
  <si>
    <t>(1) 活用土壌の許容濃度、対象物質毎のクラス判定、サイトのクラス判定を計算するフロー</t>
    <rPh sb="4" eb="6">
      <t>カツヨウ</t>
    </rPh>
    <rPh sb="6" eb="8">
      <t>ドジョウ</t>
    </rPh>
    <rPh sb="9" eb="11">
      <t>キョヨウ</t>
    </rPh>
    <rPh sb="11" eb="13">
      <t>ノウド</t>
    </rPh>
    <rPh sb="14" eb="16">
      <t>タイショウ</t>
    </rPh>
    <rPh sb="16" eb="18">
      <t>ブッシツ</t>
    </rPh>
    <rPh sb="18" eb="19">
      <t>ゴト</t>
    </rPh>
    <rPh sb="23" eb="25">
      <t>ハンテイ</t>
    </rPh>
    <rPh sb="33" eb="35">
      <t>ハンテイ</t>
    </rPh>
    <rPh sb="36" eb="38">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</si>
</sst>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sz val="11"/>
      <color rgb="FF0070C0"/>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sz val="11"/>
      <color theme="1"/>
      <name val="Meiryo UI"/>
      <family val="3"/>
      <charset val="128"/>
    </font>
    <font>
      <sz val="14"/>
      <name val="Meiryo UI"/>
      <family val="3"/>
      <charset val="128"/>
    </font>
    <font>
      <b/>
      <sz val="16"/>
      <color theme="1"/>
      <name val="Meiryo UI"/>
      <family val="3"/>
      <charset val="128"/>
    </font>
    <font>
      <b/>
      <sz val="14"/>
      <color theme="1"/>
      <name val="Meiryo UI"/>
      <family val="3"/>
      <charset val="128"/>
    </font>
    <font>
      <sz val="12"/>
      <color theme="0"/>
      <name val="Meiryo UI"/>
      <family val="3"/>
      <charset val="128"/>
    </font>
    <font>
      <b/>
      <sz val="12"/>
      <color theme="0"/>
      <name val="Meiryo UI"/>
      <family val="3"/>
      <charset val="128"/>
    </font>
    <font>
      <sz val="11"/>
      <color theme="0"/>
      <name val="Meiryo UI"/>
      <family val="3"/>
      <charset val="128"/>
    </font>
    <font>
      <sz val="12"/>
      <color theme="1"/>
      <name val="Meiryo UI"/>
      <family val="3"/>
      <charset val="128"/>
    </font>
    <font>
      <b/>
      <sz val="12"/>
      <color theme="1"/>
      <name val="Meiryo UI"/>
      <family val="3"/>
      <charset val="128"/>
    </font>
    <font>
      <sz val="10"/>
      <color theme="1"/>
      <name val="Meiryo UI"/>
      <family val="3"/>
      <charset val="128"/>
    </font>
    <font>
      <sz val="11"/>
      <color rgb="FF7030A0"/>
      <name val="ＭＳ Ｐゴシック"/>
      <family val="2"/>
      <charset val="128"/>
      <scheme val="minor"/>
    </font>
    <font>
      <sz val="11"/>
      <color rgb="FF7030A0"/>
      <name val="ＭＳ Ｐゴシック"/>
      <family val="3"/>
      <charset val="128"/>
      <scheme val="minor"/>
    </font>
    <font>
      <sz val="10"/>
      <color rgb="FFFF0000"/>
      <name val="Meiryo UI"/>
      <family val="3"/>
      <charset val="128"/>
    </font>
    <font>
      <b/>
      <sz val="12"/>
      <color theme="1"/>
      <name val="Meiryo UI"/>
      <family val="2"/>
      <charset val="128"/>
    </font>
    <font>
      <sz val="20"/>
      <name val="Meiryo UI"/>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gradientFill degree="90">
        <stop position="0">
          <color rgb="FFA5A5A5"/>
        </stop>
        <stop position="0.5">
          <color rgb="FF6F6F6F"/>
        </stop>
        <stop position="1">
          <color rgb="FFA5A5A5"/>
        </stop>
      </gradientFill>
    </fill>
    <fill>
      <gradientFill degree="90">
        <stop position="0">
          <color rgb="FFB22600"/>
        </stop>
        <stop position="0.5">
          <color rgb="FF841E00"/>
        </stop>
        <stop position="1">
          <color rgb="FFB22600"/>
        </stop>
      </gradientFill>
    </fill>
    <fill>
      <patternFill patternType="solid">
        <fgColor rgb="FFFFECE7"/>
        <bgColor indexed="64"/>
      </patternFill>
    </fill>
    <fill>
      <gradientFill degree="90">
        <stop position="0">
          <color rgb="FFB22600"/>
        </stop>
        <stop position="0.5">
          <color rgb="FF5C1600"/>
        </stop>
        <stop position="1">
          <color rgb="FFB22600"/>
        </stop>
      </gradient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
      <left style="medium">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double">
        <color auto="1"/>
      </left>
      <right style="double">
        <color auto="1"/>
      </right>
      <top style="double">
        <color auto="1"/>
      </top>
      <bottom style="double">
        <color auto="1"/>
      </bottom>
      <diagonal/>
    </border>
    <border>
      <left style="medium">
        <color indexed="64"/>
      </left>
      <right style="thin">
        <color theme="1"/>
      </right>
      <top style="medium">
        <color indexed="64"/>
      </top>
      <bottom style="thin">
        <color theme="1"/>
      </bottom>
      <diagonal/>
    </border>
    <border>
      <left/>
      <right/>
      <top style="medium">
        <color indexed="64"/>
      </top>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right/>
      <top/>
      <bottom style="medium">
        <color indexed="64"/>
      </bottom>
      <diagonal/>
    </border>
    <border>
      <left style="medium">
        <color indexed="64"/>
      </left>
      <right style="thin">
        <color theme="1"/>
      </right>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theme="1"/>
      </right>
      <top style="thin">
        <color theme="1"/>
      </top>
      <bottom/>
      <diagonal/>
    </border>
    <border>
      <left style="thin">
        <color theme="1"/>
      </left>
      <right/>
      <top style="thin">
        <color theme="1"/>
      </top>
      <bottom/>
      <diagonal/>
    </border>
    <border>
      <left style="double">
        <color indexed="64"/>
      </left>
      <right style="double">
        <color theme="1"/>
      </right>
      <top style="double">
        <color theme="1"/>
      </top>
      <bottom style="double">
        <color theme="1"/>
      </bottom>
      <diagonal/>
    </border>
    <border>
      <left style="medium">
        <color rgb="FFA5A5A5"/>
      </left>
      <right/>
      <top style="medium">
        <color rgb="FFA5A5A5"/>
      </top>
      <bottom/>
      <diagonal/>
    </border>
    <border>
      <left/>
      <right/>
      <top style="medium">
        <color rgb="FFA5A5A5"/>
      </top>
      <bottom/>
      <diagonal/>
    </border>
    <border>
      <left/>
      <right style="medium">
        <color rgb="FFA5A5A5"/>
      </right>
      <top style="medium">
        <color rgb="FFA5A5A5"/>
      </top>
      <bottom/>
      <diagonal/>
    </border>
    <border>
      <left style="medium">
        <color rgb="FFA5A5A5"/>
      </left>
      <right/>
      <top/>
      <bottom/>
      <diagonal/>
    </border>
    <border>
      <left/>
      <right style="medium">
        <color rgb="FFA5A5A5"/>
      </right>
      <top/>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B22600"/>
      </left>
      <right/>
      <top style="medium">
        <color rgb="FFB22600"/>
      </top>
      <bottom/>
      <diagonal/>
    </border>
    <border>
      <left/>
      <right/>
      <top style="medium">
        <color rgb="FFB22600"/>
      </top>
      <bottom/>
      <diagonal/>
    </border>
    <border>
      <left/>
      <right style="medium">
        <color rgb="FFB22600"/>
      </right>
      <top style="medium">
        <color rgb="FFB22600"/>
      </top>
      <bottom/>
      <diagonal/>
    </border>
    <border>
      <left style="medium">
        <color rgb="FFB22600"/>
      </left>
      <right/>
      <top/>
      <bottom/>
      <diagonal/>
    </border>
    <border>
      <left/>
      <right style="medium">
        <color rgb="FFB22600"/>
      </right>
      <top/>
      <bottom/>
      <diagonal/>
    </border>
    <border>
      <left style="medium">
        <color rgb="FFB22600"/>
      </left>
      <right/>
      <top/>
      <bottom style="medium">
        <color rgb="FFB22600"/>
      </bottom>
      <diagonal/>
    </border>
    <border>
      <left/>
      <right/>
      <top/>
      <bottom style="medium">
        <color rgb="FFB22600"/>
      </bottom>
      <diagonal/>
    </border>
    <border>
      <left/>
      <right style="medium">
        <color rgb="FFB22600"/>
      </right>
      <top/>
      <bottom style="medium">
        <color rgb="FFB22600"/>
      </bottom>
      <diagonal/>
    </border>
    <border>
      <left style="double">
        <color rgb="FFB22600"/>
      </left>
      <right style="double">
        <color rgb="FFB22600"/>
      </right>
      <top style="double">
        <color rgb="FFB22600"/>
      </top>
      <bottom style="double">
        <color rgb="FFB22600"/>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thin">
        <color indexed="64"/>
      </bottom>
      <diagonal/>
    </border>
    <border>
      <left style="double">
        <color rgb="FFB22600"/>
      </left>
      <right/>
      <top style="thin">
        <color rgb="FFB22600"/>
      </top>
      <bottom style="thin">
        <color rgb="FFB22600"/>
      </bottom>
      <diagonal/>
    </border>
    <border>
      <left/>
      <right/>
      <top style="thin">
        <color rgb="FFB22600"/>
      </top>
      <bottom style="thin">
        <color rgb="FFB22600"/>
      </bottom>
      <diagonal/>
    </border>
    <border>
      <left/>
      <right style="thin">
        <color rgb="FFB22600"/>
      </right>
      <top style="thin">
        <color rgb="FFB22600"/>
      </top>
      <bottom style="thin">
        <color rgb="FFB22600"/>
      </bottom>
      <diagonal/>
    </border>
  </borders>
  <cellStyleXfs count="1">
    <xf numFmtId="0" fontId="0" fillId="0" borderId="0">
      <alignment vertical="center"/>
    </xf>
  </cellStyleXfs>
  <cellXfs count="129">
    <xf numFmtId="0" fontId="0" fillId="0" borderId="0" xfId="0">
      <alignment vertical="center"/>
    </xf>
    <xf numFmtId="0" fontId="0" fillId="0" borderId="0" xfId="0" quotePrefix="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5" fillId="0" borderId="0" xfId="0" applyFont="1">
      <alignment vertical="center"/>
    </xf>
    <xf numFmtId="0" fontId="0" fillId="0" borderId="9" xfId="0" applyBorder="1">
      <alignment vertical="center"/>
    </xf>
    <xf numFmtId="11" fontId="0" fillId="0" borderId="8" xfId="0" applyNumberFormat="1" applyBorder="1">
      <alignment vertical="center"/>
    </xf>
    <xf numFmtId="0" fontId="0" fillId="2" borderId="0" xfId="0" applyFill="1">
      <alignment vertical="center"/>
    </xf>
    <xf numFmtId="0" fontId="0" fillId="0" borderId="1" xfId="0" applyBorder="1">
      <alignment vertical="center"/>
    </xf>
    <xf numFmtId="0" fontId="0" fillId="5" borderId="1" xfId="0" applyFill="1" applyBorder="1">
      <alignment vertical="center"/>
    </xf>
    <xf numFmtId="0" fontId="0" fillId="5" borderId="7" xfId="0" applyFill="1" applyBorder="1">
      <alignment vertical="center"/>
    </xf>
    <xf numFmtId="0" fontId="7" fillId="0" borderId="0" xfId="0" applyFont="1">
      <alignment vertical="center"/>
    </xf>
    <xf numFmtId="0" fontId="8" fillId="0" borderId="0" xfId="0" applyFont="1">
      <alignment vertical="center"/>
    </xf>
    <xf numFmtId="0" fontId="0" fillId="5" borderId="10" xfId="0" applyFill="1" applyBorder="1">
      <alignment vertical="center"/>
    </xf>
    <xf numFmtId="0" fontId="0" fillId="0" borderId="5" xfId="0" applyBorder="1" applyAlignment="1">
      <alignment horizontal="right" vertical="center"/>
    </xf>
    <xf numFmtId="0" fontId="2" fillId="0" borderId="17" xfId="0" applyFont="1" applyBorder="1">
      <alignment vertical="center"/>
    </xf>
    <xf numFmtId="0" fontId="0" fillId="0" borderId="18" xfId="0" applyBorder="1">
      <alignment vertical="center"/>
    </xf>
    <xf numFmtId="0" fontId="0" fillId="0" borderId="11" xfId="0" applyBorder="1">
      <alignment vertical="center"/>
    </xf>
    <xf numFmtId="0" fontId="0" fillId="0" borderId="12" xfId="0" applyBorder="1">
      <alignment vertical="center"/>
    </xf>
    <xf numFmtId="0" fontId="0" fillId="0" borderId="19" xfId="0" applyBorder="1">
      <alignment vertical="center"/>
    </xf>
    <xf numFmtId="0" fontId="0" fillId="0" borderId="13" xfId="0" applyBorder="1">
      <alignment vertical="center"/>
    </xf>
    <xf numFmtId="0" fontId="0" fillId="0" borderId="20" xfId="0" applyBorder="1">
      <alignment vertical="center"/>
    </xf>
    <xf numFmtId="0" fontId="0" fillId="0" borderId="21" xfId="0" applyBorder="1">
      <alignment vertical="center"/>
    </xf>
    <xf numFmtId="0" fontId="0" fillId="0" borderId="14" xfId="0" applyBorder="1">
      <alignment vertical="center"/>
    </xf>
    <xf numFmtId="0" fontId="2" fillId="4" borderId="1" xfId="0" applyFont="1" applyFill="1" applyBorder="1" applyAlignment="1">
      <alignment horizontal="right" vertical="center"/>
    </xf>
    <xf numFmtId="0" fontId="0" fillId="0" borderId="7" xfId="0" applyBorder="1">
      <alignment vertical="center"/>
    </xf>
    <xf numFmtId="0" fontId="2" fillId="0" borderId="22" xfId="0" applyFont="1" applyBorder="1">
      <alignment vertical="center"/>
    </xf>
    <xf numFmtId="0" fontId="0" fillId="0" borderId="4"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 fillId="0" borderId="28" xfId="0" applyFont="1" applyBorder="1">
      <alignment vertical="center"/>
    </xf>
    <xf numFmtId="0" fontId="0" fillId="0" borderId="29" xfId="0" applyBorder="1">
      <alignment vertical="center"/>
    </xf>
    <xf numFmtId="0" fontId="0" fillId="0" borderId="30" xfId="0" applyBorder="1">
      <alignment vertical="center"/>
    </xf>
    <xf numFmtId="0" fontId="2" fillId="0" borderId="31" xfId="0" applyFont="1" applyBorder="1">
      <alignment vertical="center"/>
    </xf>
    <xf numFmtId="0" fontId="0" fillId="0" borderId="32" xfId="0" applyBorder="1">
      <alignment vertical="center"/>
    </xf>
    <xf numFmtId="0" fontId="0" fillId="2" borderId="1" xfId="0" applyFill="1" applyBorder="1">
      <alignment vertical="center"/>
    </xf>
    <xf numFmtId="0" fontId="0" fillId="0" borderId="2" xfId="0" applyBorder="1">
      <alignment vertical="center"/>
    </xf>
    <xf numFmtId="0" fontId="0" fillId="0" borderId="33" xfId="0" applyBorder="1">
      <alignment vertical="center"/>
    </xf>
    <xf numFmtId="0" fontId="0" fillId="0" borderId="34" xfId="0" applyBorder="1" applyAlignment="1">
      <alignment horizontal="right" vertical="center"/>
    </xf>
    <xf numFmtId="0" fontId="0" fillId="0" borderId="1" xfId="0" applyBorder="1" applyAlignment="1">
      <alignment horizontal="right" vertical="center"/>
    </xf>
    <xf numFmtId="0" fontId="0" fillId="5" borderId="35" xfId="0" applyFill="1" applyBorder="1">
      <alignment vertical="center"/>
    </xf>
    <xf numFmtId="0" fontId="0" fillId="0" borderId="34" xfId="0" applyBorder="1">
      <alignment vertical="center"/>
    </xf>
    <xf numFmtId="0" fontId="2" fillId="0" borderId="0" xfId="0" applyFont="1" applyAlignment="1">
      <alignment horizontal="right" vertical="center"/>
    </xf>
    <xf numFmtId="0" fontId="16" fillId="5" borderId="16" xfId="0" applyFont="1" applyFill="1" applyBorder="1" applyAlignment="1" applyProtection="1">
      <alignment horizontal="right" vertical="center"/>
      <protection locked="0"/>
    </xf>
    <xf numFmtId="0" fontId="16" fillId="5" borderId="36" xfId="0" applyFont="1" applyFill="1" applyBorder="1" applyAlignment="1" applyProtection="1">
      <alignment horizontal="right" vertical="center"/>
      <protection locked="0"/>
    </xf>
    <xf numFmtId="0" fontId="19" fillId="0" borderId="0" xfId="0" applyFont="1">
      <alignment vertical="center"/>
    </xf>
    <xf numFmtId="0" fontId="20" fillId="0" borderId="0" xfId="0" applyFont="1">
      <alignment vertical="center"/>
    </xf>
    <xf numFmtId="0" fontId="19" fillId="0" borderId="0" xfId="0" quotePrefix="1" applyFont="1">
      <alignment vertical="center"/>
    </xf>
    <xf numFmtId="0" fontId="2" fillId="2" borderId="1" xfId="0" applyFont="1" applyFill="1" applyBorder="1" applyAlignment="1">
      <alignment horizontal="right" vertical="center"/>
    </xf>
    <xf numFmtId="0" fontId="16" fillId="0" borderId="16" xfId="0" applyFont="1" applyBorder="1" applyAlignment="1" applyProtection="1">
      <alignment horizontal="right" vertical="center"/>
      <protection hidden="1"/>
    </xf>
    <xf numFmtId="0" fontId="16" fillId="0" borderId="7"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9" fillId="0" borderId="0" xfId="0" applyFont="1" applyProtection="1">
      <alignment vertical="center"/>
      <protection hidden="1"/>
    </xf>
    <xf numFmtId="0" fontId="23" fillId="0" borderId="0" xfId="0" applyFont="1" applyProtection="1">
      <alignment vertical="center"/>
      <protection hidden="1"/>
    </xf>
    <xf numFmtId="0" fontId="10" fillId="0" borderId="0" xfId="0" applyFont="1" applyProtection="1">
      <alignment vertical="center"/>
      <protection hidden="1"/>
    </xf>
    <xf numFmtId="0" fontId="22" fillId="0" borderId="0" xfId="0" applyFont="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12" fillId="0" borderId="0" xfId="0" applyFont="1" applyProtection="1">
      <alignment vertical="center"/>
      <protection hidden="1"/>
    </xf>
    <xf numFmtId="0" fontId="11" fillId="0" borderId="0" xfId="0" applyFont="1" applyProtection="1">
      <alignment vertical="center"/>
      <protection hidden="1"/>
    </xf>
    <xf numFmtId="0" fontId="13" fillId="6" borderId="37" xfId="0" applyFont="1" applyFill="1" applyBorder="1" applyProtection="1">
      <alignment vertical="center"/>
      <protection hidden="1"/>
    </xf>
    <xf numFmtId="0" fontId="13" fillId="6" borderId="38" xfId="0" applyFont="1" applyFill="1" applyBorder="1" applyProtection="1">
      <alignment vertical="center"/>
      <protection hidden="1"/>
    </xf>
    <xf numFmtId="0" fontId="14" fillId="6" borderId="38" xfId="0" applyFont="1" applyFill="1" applyBorder="1" applyProtection="1">
      <alignment vertical="center"/>
      <protection hidden="1"/>
    </xf>
    <xf numFmtId="0" fontId="15" fillId="6" borderId="39" xfId="0" applyFont="1" applyFill="1" applyBorder="1" applyProtection="1">
      <alignment vertical="center"/>
      <protection hidden="1"/>
    </xf>
    <xf numFmtId="0" fontId="15" fillId="0" borderId="0" xfId="0" applyFont="1" applyProtection="1">
      <alignment vertical="center"/>
      <protection hidden="1"/>
    </xf>
    <xf numFmtId="0" fontId="9" fillId="6" borderId="38" xfId="0" applyFont="1" applyFill="1" applyBorder="1" applyProtection="1">
      <alignment vertical="center"/>
      <protection hidden="1"/>
    </xf>
    <xf numFmtId="0" fontId="9" fillId="6" borderId="39" xfId="0" applyFont="1" applyFill="1" applyBorder="1" applyProtection="1">
      <alignment vertical="center"/>
      <protection hidden="1"/>
    </xf>
    <xf numFmtId="0" fontId="16" fillId="0" borderId="40" xfId="0" applyFont="1" applyBorder="1" applyProtection="1">
      <alignment vertical="center"/>
      <protection hidden="1"/>
    </xf>
    <xf numFmtId="0" fontId="17" fillId="0" borderId="0" xfId="0" applyFont="1" applyProtection="1">
      <alignment vertical="center"/>
      <protection hidden="1"/>
    </xf>
    <xf numFmtId="0" fontId="16" fillId="0" borderId="0" xfId="0" applyFont="1" applyProtection="1">
      <alignment vertical="center"/>
      <protection hidden="1"/>
    </xf>
    <xf numFmtId="0" fontId="9" fillId="0" borderId="41" xfId="0" applyFont="1" applyBorder="1" applyProtection="1">
      <alignment vertical="center"/>
      <protection hidden="1"/>
    </xf>
    <xf numFmtId="0" fontId="9" fillId="0" borderId="40" xfId="0" applyFont="1" applyBorder="1" applyProtection="1">
      <alignment vertical="center"/>
      <protection hidden="1"/>
    </xf>
    <xf numFmtId="0" fontId="16" fillId="0" borderId="15" xfId="0" applyFont="1" applyBorder="1" applyProtection="1">
      <alignment vertical="center"/>
      <protection hidden="1"/>
    </xf>
    <xf numFmtId="0" fontId="16" fillId="0" borderId="0" xfId="0" applyFont="1" applyAlignment="1" applyProtection="1">
      <alignment horizontal="right" vertical="center"/>
      <protection hidden="1"/>
    </xf>
    <xf numFmtId="0" fontId="16" fillId="0" borderId="1" xfId="0" applyFont="1" applyBorder="1" applyProtection="1">
      <alignment vertical="center"/>
      <protection hidden="1"/>
    </xf>
    <xf numFmtId="0" fontId="16" fillId="3" borderId="4" xfId="0" applyFont="1" applyFill="1" applyBorder="1" applyAlignment="1" applyProtection="1">
      <alignment horizontal="right" vertical="center"/>
      <protection hidden="1"/>
    </xf>
    <xf numFmtId="0" fontId="16" fillId="3" borderId="1" xfId="0" applyFont="1" applyFill="1" applyBorder="1" applyAlignment="1" applyProtection="1">
      <alignment horizontal="right" vertical="center"/>
      <protection hidden="1"/>
    </xf>
    <xf numFmtId="0" fontId="21" fillId="0" borderId="0" xfId="0" applyFont="1" applyProtection="1">
      <alignment vertical="center"/>
      <protection hidden="1"/>
    </xf>
    <xf numFmtId="0" fontId="22" fillId="0" borderId="0" xfId="0" applyFont="1" applyProtection="1">
      <alignment vertical="center"/>
      <protection hidden="1"/>
    </xf>
    <xf numFmtId="0" fontId="16" fillId="0" borderId="4" xfId="0" applyFont="1" applyBorder="1" applyAlignment="1" applyProtection="1">
      <alignment horizontal="right" vertical="center"/>
      <protection hidden="1"/>
    </xf>
    <xf numFmtId="0" fontId="18" fillId="0" borderId="4" xfId="0" applyFont="1" applyBorder="1" applyAlignment="1" applyProtection="1">
      <alignment horizontal="right" vertical="center" wrapText="1"/>
      <protection hidden="1"/>
    </xf>
    <xf numFmtId="0" fontId="16" fillId="0" borderId="42" xfId="0" applyFont="1" applyBorder="1" applyProtection="1">
      <alignment vertical="center"/>
      <protection hidden="1"/>
    </xf>
    <xf numFmtId="0" fontId="16" fillId="0" borderId="43" xfId="0" applyFont="1" applyBorder="1" applyProtection="1">
      <alignment vertical="center"/>
      <protection hidden="1"/>
    </xf>
    <xf numFmtId="0" fontId="21" fillId="0" borderId="43" xfId="0" applyFont="1" applyBorder="1" applyAlignment="1" applyProtection="1">
      <alignment horizontal="left" vertical="center"/>
      <protection hidden="1"/>
    </xf>
    <xf numFmtId="0" fontId="16" fillId="0" borderId="43" xfId="0" applyFont="1" applyBorder="1" applyAlignment="1" applyProtection="1">
      <alignment horizontal="left" vertical="center"/>
      <protection hidden="1"/>
    </xf>
    <xf numFmtId="0" fontId="9" fillId="0" borderId="44" xfId="0" applyFont="1" applyBorder="1" applyProtection="1">
      <alignment vertical="center"/>
      <protection hidden="1"/>
    </xf>
    <xf numFmtId="0" fontId="16" fillId="0" borderId="0" xfId="0" applyFont="1" applyAlignment="1" applyProtection="1">
      <alignment horizontal="left" vertical="center" wrapText="1"/>
      <protection hidden="1"/>
    </xf>
    <xf numFmtId="0" fontId="13" fillId="9" borderId="45" xfId="0" applyFont="1" applyFill="1" applyBorder="1" applyProtection="1">
      <alignment vertical="center"/>
      <protection hidden="1"/>
    </xf>
    <xf numFmtId="0" fontId="13" fillId="9" borderId="46" xfId="0" applyFont="1" applyFill="1" applyBorder="1" applyProtection="1">
      <alignment vertical="center"/>
      <protection hidden="1"/>
    </xf>
    <xf numFmtId="0" fontId="15" fillId="9" borderId="47" xfId="0" applyFont="1" applyFill="1" applyBorder="1" applyProtection="1">
      <alignment vertical="center"/>
      <protection hidden="1"/>
    </xf>
    <xf numFmtId="0" fontId="16" fillId="0" borderId="48" xfId="0" applyFont="1" applyBorder="1" applyProtection="1">
      <alignment vertical="center"/>
      <protection hidden="1"/>
    </xf>
    <xf numFmtId="0" fontId="9" fillId="0" borderId="49" xfId="0" applyFont="1" applyBorder="1" applyProtection="1">
      <alignment vertical="center"/>
      <protection hidden="1"/>
    </xf>
    <xf numFmtId="0" fontId="16" fillId="0" borderId="0" xfId="0" applyFont="1" applyAlignment="1" applyProtection="1">
      <alignment horizontal="center" vertical="center"/>
      <protection hidden="1"/>
    </xf>
    <xf numFmtId="0" fontId="13" fillId="7" borderId="53" xfId="0" applyFont="1" applyFill="1" applyBorder="1" applyProtection="1">
      <alignment vertical="center"/>
      <protection hidden="1"/>
    </xf>
    <xf numFmtId="0" fontId="16" fillId="0" borderId="50" xfId="0" applyFont="1" applyBorder="1" applyProtection="1">
      <alignment vertical="center"/>
      <protection hidden="1"/>
    </xf>
    <xf numFmtId="0" fontId="17" fillId="0" borderId="51" xfId="0" applyFont="1" applyBorder="1" applyProtection="1">
      <alignment vertical="center"/>
      <protection hidden="1"/>
    </xf>
    <xf numFmtId="0" fontId="17" fillId="0" borderId="51" xfId="0" applyFont="1" applyBorder="1" applyAlignment="1" applyProtection="1">
      <alignment horizontal="right" vertical="center"/>
      <protection hidden="1"/>
    </xf>
    <xf numFmtId="0" fontId="16" fillId="0" borderId="51" xfId="0" applyFont="1" applyBorder="1" applyAlignment="1" applyProtection="1">
      <alignment horizontal="center" vertical="center"/>
      <protection hidden="1"/>
    </xf>
    <xf numFmtId="0" fontId="9" fillId="0" borderId="52" xfId="0" applyFont="1" applyBorder="1" applyProtection="1">
      <alignment vertical="center"/>
      <protection hidden="1"/>
    </xf>
    <xf numFmtId="0" fontId="17" fillId="0" borderId="0" xfId="0" applyFont="1" applyAlignment="1" applyProtection="1">
      <alignment horizontal="right" vertical="center"/>
      <protection hidden="1"/>
    </xf>
    <xf numFmtId="0" fontId="14" fillId="6" borderId="38" xfId="0" applyFont="1" applyFill="1" applyBorder="1" applyAlignment="1" applyProtection="1">
      <alignment horizontal="center" vertical="center"/>
      <protection hidden="1"/>
    </xf>
    <xf numFmtId="0" fontId="13" fillId="6" borderId="38" xfId="0" applyFont="1" applyFill="1" applyBorder="1" applyAlignment="1" applyProtection="1">
      <alignment horizontal="center" vertical="center"/>
      <protection hidden="1"/>
    </xf>
    <xf numFmtId="0" fontId="17" fillId="0" borderId="40" xfId="0" applyFont="1" applyBorder="1" applyProtection="1">
      <alignment vertical="center"/>
      <protection hidden="1"/>
    </xf>
    <xf numFmtId="0" fontId="17" fillId="0" borderId="0" xfId="0" applyFont="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right" vertical="center"/>
      <protection hidden="1"/>
    </xf>
    <xf numFmtId="0" fontId="9" fillId="0" borderId="42" xfId="0" applyFont="1" applyBorder="1" applyProtection="1">
      <alignment vertical="center"/>
      <protection hidden="1"/>
    </xf>
    <xf numFmtId="0" fontId="9" fillId="0" borderId="43" xfId="0" applyFont="1" applyBorder="1" applyProtection="1">
      <alignment vertical="center"/>
      <protection hidden="1"/>
    </xf>
    <xf numFmtId="0" fontId="16" fillId="8" borderId="58" xfId="0" applyFont="1" applyFill="1" applyBorder="1" applyAlignment="1" applyProtection="1">
      <alignment horizontal="center" vertical="center"/>
      <protection hidden="1"/>
    </xf>
    <xf numFmtId="0" fontId="0" fillId="0" borderId="59"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22" fillId="0" borderId="15" xfId="0" applyFont="1" applyBorder="1" applyAlignment="1" applyProtection="1">
      <alignment horizontal="center" vertical="center"/>
      <protection hidden="1"/>
    </xf>
    <xf numFmtId="0" fontId="22" fillId="0" borderId="57" xfId="0" applyFont="1" applyBorder="1" applyAlignment="1" applyProtection="1">
      <alignment horizontal="center" vertical="center"/>
      <protection hidden="1"/>
    </xf>
    <xf numFmtId="0" fontId="17" fillId="0" borderId="15" xfId="0" applyFont="1" applyBorder="1" applyAlignment="1" applyProtection="1">
      <alignment horizontal="center" vertical="center" shrinkToFit="1"/>
      <protection hidden="1"/>
    </xf>
    <xf numFmtId="0" fontId="17" fillId="0" borderId="57" xfId="0" applyFont="1" applyBorder="1" applyAlignment="1" applyProtection="1">
      <alignment horizontal="center" vertical="center" shrinkToFit="1"/>
      <protection hidden="1"/>
    </xf>
    <xf numFmtId="0" fontId="17" fillId="5" borderId="54" xfId="0" applyFont="1" applyFill="1" applyBorder="1" applyAlignment="1" applyProtection="1">
      <alignment horizontal="center" vertical="center"/>
      <protection locked="0"/>
    </xf>
    <xf numFmtId="0" fontId="17" fillId="5" borderId="55" xfId="0" applyFont="1" applyFill="1" applyBorder="1" applyAlignment="1" applyProtection="1">
      <alignment horizontal="center" vertical="center"/>
      <protection locked="0"/>
    </xf>
    <xf numFmtId="0" fontId="17" fillId="5" borderId="56" xfId="0" applyFont="1" applyFill="1" applyBorder="1" applyAlignment="1" applyProtection="1">
      <alignment horizontal="center" vertical="center"/>
      <protection locked="0"/>
    </xf>
    <xf numFmtId="0" fontId="22" fillId="5" borderId="54" xfId="0" applyFont="1" applyFill="1" applyBorder="1" applyAlignment="1" applyProtection="1">
      <alignment horizontal="center" vertical="center"/>
      <protection locked="0"/>
    </xf>
    <xf numFmtId="0" fontId="22" fillId="5" borderId="55" xfId="0" applyFont="1" applyFill="1" applyBorder="1" applyAlignment="1" applyProtection="1">
      <alignment horizontal="center" vertical="center"/>
      <protection locked="0"/>
    </xf>
    <xf numFmtId="0" fontId="22" fillId="5" borderId="56" xfId="0" applyFont="1" applyFill="1" applyBorder="1" applyAlignment="1" applyProtection="1">
      <alignment horizontal="center" vertical="center"/>
      <protection locked="0"/>
    </xf>
    <xf numFmtId="0" fontId="17" fillId="0" borderId="15" xfId="0" applyFont="1" applyBorder="1" applyAlignment="1" applyProtection="1">
      <alignment horizontal="center" vertical="center"/>
      <protection hidden="1"/>
    </xf>
    <xf numFmtId="0" fontId="17" fillId="0" borderId="57" xfId="0" applyFont="1" applyBorder="1" applyAlignment="1" applyProtection="1">
      <alignment horizontal="center" vertical="center"/>
      <protection hidden="1"/>
    </xf>
    <xf numFmtId="0" fontId="16" fillId="5" borderId="54"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protection locked="0"/>
    </xf>
    <xf numFmtId="0" fontId="16" fillId="5" borderId="56" xfId="0" applyFont="1" applyFill="1" applyBorder="1" applyAlignment="1" applyProtection="1">
      <alignment horizontal="center" vertical="center"/>
      <protection locked="0"/>
    </xf>
  </cellXfs>
  <cellStyles count="1">
    <cellStyle name="標準" xfId="0" builtinId="0"/>
  </cellStyles>
  <dxfs count="24">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5C1600"/>
      <color rgb="FFFFECE7"/>
      <color rgb="FFFFC6B7"/>
      <color rgb="FFA5A5A5"/>
      <color rgb="FF6F6F6F"/>
      <color rgb="FFB22600"/>
      <color rgb="FF841E00"/>
      <color rgb="FFAAAAAA"/>
      <color rgb="FFB4B4B4"/>
      <color rgb="FFBE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55561506198758"/>
          <c:y val="0.385984574105314"/>
          <c:w val="2.8250874495336906E-2"/>
          <c:h val="4.3897990867791614E-2"/>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計算!$K$163:$K$183</c:f>
              <c:numCache>
                <c:formatCode>General</c:formatCode>
                <c:ptCount val="21"/>
                <c:pt idx="0">
                  <c:v>2.5999999535921917E-2</c:v>
                </c:pt>
                <c:pt idx="1">
                  <c:v>2.5999999257165517E-2</c:v>
                </c:pt>
                <c:pt idx="2">
                  <c:v>2.5999998863473251E-2</c:v>
                </c:pt>
                <c:pt idx="3">
                  <c:v>2.5999998315165702E-2</c:v>
                </c:pt>
                <c:pt idx="4">
                  <c:v>2.5999997560465279E-2</c:v>
                </c:pt>
                <c:pt idx="5">
                  <c:v>2.5999996532181085E-2</c:v>
                </c:pt>
                <c:pt idx="6">
                  <c:v>2.5999995143575996E-2</c:v>
                </c:pt>
                <c:pt idx="7">
                  <c:v>2.5999993283235774E-2</c:v>
                </c:pt>
                <c:pt idx="8">
                  <c:v>2.5999990808725913E-2</c:v>
                </c:pt>
                <c:pt idx="9">
                  <c:v>2.5999987538781653E-2</c:v>
                </c:pt>
                <c:pt idx="10">
                  <c:v>2.599998324373087E-2</c:v>
                </c:pt>
                <c:pt idx="11">
                  <c:v>2.5999977633796502E-2</c:v>
                </c:pt>
                <c:pt idx="12">
                  <c:v>2.5999970344865331E-2</c:v>
                </c:pt>
                <c:pt idx="13">
                  <c:v>2.599996092124186E-2</c:v>
                </c:pt>
                <c:pt idx="14">
                  <c:v>2.5999948794829326E-2</c:v>
                </c:pt>
                <c:pt idx="15">
                  <c:v>2.5999933260094414E-2</c:v>
                </c:pt>
                <c:pt idx="16">
                  <c:v>2.5999913444077032E-2</c:v>
                </c:pt>
                <c:pt idx="17">
                  <c:v>2.5999888270601637E-2</c:v>
                </c:pt>
                <c:pt idx="18">
                  <c:v>2.5999856417731594E-2</c:v>
                </c:pt>
                <c:pt idx="19">
                  <c:v>2.5999816267383648E-2</c:v>
                </c:pt>
                <c:pt idx="20">
                  <c:v>2.5999765845885064E-2</c:v>
                </c:pt>
              </c:numCache>
            </c:numRef>
          </c:xVal>
          <c:yVal>
            <c:numRef>
              <c:f>計算!$D$163:$D$183</c:f>
              <c:numCache>
                <c:formatCode>General</c:formatCode>
                <c:ptCount val="21"/>
                <c:pt idx="0">
                  <c:v>0</c:v>
                </c:pt>
                <c:pt idx="1">
                  <c:v>2.5000000000000001E-2</c:v>
                </c:pt>
                <c:pt idx="2">
                  <c:v>0.05</c:v>
                </c:pt>
                <c:pt idx="3">
                  <c:v>7.5000000000000011E-2</c:v>
                </c:pt>
                <c:pt idx="4">
                  <c:v>0.1</c:v>
                </c:pt>
                <c:pt idx="5">
                  <c:v>0.125</c:v>
                </c:pt>
                <c:pt idx="6">
                  <c:v>0.15</c:v>
                </c:pt>
                <c:pt idx="7">
                  <c:v>0.17499999999999999</c:v>
                </c:pt>
                <c:pt idx="8">
                  <c:v>0.19999999999999998</c:v>
                </c:pt>
                <c:pt idx="9">
                  <c:v>0.22499999999999998</c:v>
                </c:pt>
                <c:pt idx="10">
                  <c:v>0.24999999999999997</c:v>
                </c:pt>
                <c:pt idx="11">
                  <c:v>0.27499999999999997</c:v>
                </c:pt>
                <c:pt idx="12">
                  <c:v>0.3</c:v>
                </c:pt>
                <c:pt idx="13">
                  <c:v>0.32500000000000001</c:v>
                </c:pt>
                <c:pt idx="14">
                  <c:v>0.35000000000000003</c:v>
                </c:pt>
                <c:pt idx="15">
                  <c:v>0.37500000000000006</c:v>
                </c:pt>
                <c:pt idx="16">
                  <c:v>0.40000000000000008</c:v>
                </c:pt>
                <c:pt idx="17">
                  <c:v>0.4250000000000001</c:v>
                </c:pt>
                <c:pt idx="18">
                  <c:v>0.45000000000000012</c:v>
                </c:pt>
                <c:pt idx="19">
                  <c:v>0.47500000000000014</c:v>
                </c:pt>
                <c:pt idx="20">
                  <c:v>0.50000000000000011</c:v>
                </c:pt>
              </c:numCache>
            </c:numRef>
          </c:yVal>
          <c:smooth val="0"/>
          <c:extLst>
            <c:ext xmlns:c16="http://schemas.microsoft.com/office/drawing/2014/chart" uri="{C3380CC4-5D6E-409C-BE32-E72D297353CC}">
              <c16:uniqueId val="{00000000-0E5C-4246-BF4C-4253B9DE8A1B}"/>
            </c:ext>
          </c:extLst>
        </c:ser>
        <c:ser>
          <c:idx val="1"/>
          <c:order val="1"/>
          <c:tx>
            <c:strRef>
              <c:f>計算!$A$211</c:f>
              <c:strCache>
                <c:ptCount val="1"/>
                <c:pt idx="0">
                  <c:v>土壌溶出量基準値</c:v>
                </c:pt>
              </c:strCache>
            </c:strRef>
          </c:tx>
          <c:spPr>
            <a:ln w="19050" cap="rnd">
              <a:solidFill>
                <a:srgbClr val="FFC000"/>
              </a:solidFill>
              <a:prstDash val="sysDash"/>
              <a:round/>
            </a:ln>
            <a:effectLst/>
          </c:spPr>
          <c:marker>
            <c:symbol val="none"/>
          </c:marker>
          <c:xVal>
            <c:numRef>
              <c:f>計算!$K$211:$K$213</c:f>
              <c:numCache>
                <c:formatCode>General</c:formatCode>
                <c:ptCount val="3"/>
                <c:pt idx="0">
                  <c:v>0.01</c:v>
                </c:pt>
                <c:pt idx="1">
                  <c:v>0.01</c:v>
                </c:pt>
                <c:pt idx="2">
                  <c:v>0.01</c:v>
                </c:pt>
              </c:numCache>
            </c:numRef>
          </c:xVal>
          <c:yVal>
            <c:numRef>
              <c:f>計算!$D$211:$D$213</c:f>
              <c:numCache>
                <c:formatCode>General</c:formatCode>
                <c:ptCount val="3"/>
                <c:pt idx="0">
                  <c:v>0</c:v>
                </c:pt>
                <c:pt idx="1">
                  <c:v>0.25</c:v>
                </c:pt>
                <c:pt idx="2">
                  <c:v>0.5</c:v>
                </c:pt>
              </c:numCache>
            </c:numRef>
          </c:yVal>
          <c:smooth val="0"/>
          <c:extLst>
            <c:ext xmlns:c16="http://schemas.microsoft.com/office/drawing/2014/chart" uri="{C3380CC4-5D6E-409C-BE32-E72D297353CC}">
              <c16:uniqueId val="{00000001-0E5C-4246-BF4C-4253B9DE8A1B}"/>
            </c:ext>
          </c:extLst>
        </c:ser>
        <c:ser>
          <c:idx val="2"/>
          <c:order val="2"/>
          <c:tx>
            <c:strRef>
              <c:f>計算!$A$216</c:f>
              <c:strCache>
                <c:ptCount val="1"/>
                <c:pt idx="0">
                  <c:v>不飽和層下端</c:v>
                </c:pt>
              </c:strCache>
            </c:strRef>
          </c:tx>
          <c:spPr>
            <a:ln w="19050" cap="rnd">
              <a:solidFill>
                <a:srgbClr val="C00000"/>
              </a:solidFill>
              <a:prstDash val="sysDash"/>
              <a:round/>
            </a:ln>
            <a:effectLst/>
          </c:spPr>
          <c:marker>
            <c:symbol val="none"/>
          </c:marker>
          <c:xVal>
            <c:numRef>
              <c:f>計算!$K$216:$K$218</c:f>
              <c:numCache>
                <c:formatCode>General</c:formatCode>
                <c:ptCount val="3"/>
                <c:pt idx="0">
                  <c:v>0</c:v>
                </c:pt>
                <c:pt idx="1">
                  <c:v>1.2999999999999999E-2</c:v>
                </c:pt>
                <c:pt idx="2">
                  <c:v>2.5999999999999999E-2</c:v>
                </c:pt>
              </c:numCache>
            </c:numRef>
          </c:xVal>
          <c:yVal>
            <c:numRef>
              <c:f>計算!$D$216:$D$218</c:f>
              <c:numCache>
                <c:formatCode>General</c:formatCode>
                <c:ptCount val="3"/>
                <c:pt idx="0">
                  <c:v>0.5</c:v>
                </c:pt>
                <c:pt idx="1">
                  <c:v>0.5</c:v>
                </c:pt>
                <c:pt idx="2">
                  <c:v>0.5</c:v>
                </c:pt>
              </c:numCache>
            </c:numRef>
          </c:yVal>
          <c:smooth val="0"/>
          <c:extLst>
            <c:ext xmlns:c16="http://schemas.microsoft.com/office/drawing/2014/chart" uri="{C3380CC4-5D6E-409C-BE32-E72D297353CC}">
              <c16:uniqueId val="{00000002-0E5C-4246-BF4C-4253B9DE8A1B}"/>
            </c:ext>
          </c:extLst>
        </c:ser>
        <c:dLbls>
          <c:showLegendKey val="0"/>
          <c:showVal val="0"/>
          <c:showCatName val="0"/>
          <c:showSerName val="0"/>
          <c:showPercent val="0"/>
          <c:showBubbleSize val="0"/>
        </c:dLbls>
        <c:axId val="366344248"/>
        <c:axId val="366361496"/>
      </c:scatterChart>
      <c:valAx>
        <c:axId val="366344248"/>
        <c:scaling>
          <c:orientation val="minMax"/>
        </c:scaling>
        <c:delete val="1"/>
        <c:axPos val="t"/>
        <c:numFmt formatCode="General" sourceLinked="1"/>
        <c:majorTickMark val="none"/>
        <c:minorTickMark val="none"/>
        <c:tickLblPos val="nextTo"/>
        <c:crossAx val="366361496"/>
        <c:crosses val="autoZero"/>
        <c:crossBetween val="midCat"/>
      </c:valAx>
      <c:valAx>
        <c:axId val="366361496"/>
        <c:scaling>
          <c:orientation val="maxMin"/>
        </c:scaling>
        <c:delete val="1"/>
        <c:axPos val="l"/>
        <c:numFmt formatCode="General" sourceLinked="1"/>
        <c:majorTickMark val="none"/>
        <c:minorTickMark val="none"/>
        <c:tickLblPos val="nextTo"/>
        <c:crossAx val="366344248"/>
        <c:crosses val="autoZero"/>
        <c:crossBetween val="midCat"/>
      </c:valAx>
      <c:spPr>
        <a:noFill/>
        <a:ln w="25400">
          <a:noFill/>
        </a:ln>
        <a:effectLst/>
      </c:spPr>
    </c:plotArea>
    <c:legend>
      <c:legendPos val="t"/>
      <c:layout>
        <c:manualLayout>
          <c:xMode val="edge"/>
          <c:yMode val="edge"/>
          <c:x val="0"/>
          <c:y val="2.4820486762259001E-3"/>
          <c:w val="1"/>
          <c:h val="0.9975184868837641"/>
        </c:manualLayout>
      </c:layout>
      <c:overlay val="0"/>
      <c:spPr>
        <a:solidFill>
          <a:schemeClr val="bg1"/>
        </a:solid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chemeClr val="tx1"/>
          </a:solidFill>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計算!$D$160</c:f>
          <c:strCache>
            <c:ptCount val="1"/>
            <c:pt idx="0">
              <c:v>砒素</c:v>
            </c:pt>
          </c:strCache>
        </c:strRef>
      </c:tx>
      <c:layout>
        <c:manualLayout>
          <c:xMode val="edge"/>
          <c:yMode val="edge"/>
          <c:x val="2.4875546862393517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4814051730012265"/>
          <c:y val="0.20978412698412699"/>
          <c:w val="0.57486452991452996"/>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計算!$K$163:$K$183</c:f>
              <c:numCache>
                <c:formatCode>General</c:formatCode>
                <c:ptCount val="21"/>
                <c:pt idx="0">
                  <c:v>2.5999999535921917E-2</c:v>
                </c:pt>
                <c:pt idx="1">
                  <c:v>2.5999999257165517E-2</c:v>
                </c:pt>
                <c:pt idx="2">
                  <c:v>2.5999998863473251E-2</c:v>
                </c:pt>
                <c:pt idx="3">
                  <c:v>2.5999998315165702E-2</c:v>
                </c:pt>
                <c:pt idx="4">
                  <c:v>2.5999997560465279E-2</c:v>
                </c:pt>
                <c:pt idx="5">
                  <c:v>2.5999996532181085E-2</c:v>
                </c:pt>
                <c:pt idx="6">
                  <c:v>2.5999995143575996E-2</c:v>
                </c:pt>
                <c:pt idx="7">
                  <c:v>2.5999993283235774E-2</c:v>
                </c:pt>
                <c:pt idx="8">
                  <c:v>2.5999990808725913E-2</c:v>
                </c:pt>
                <c:pt idx="9">
                  <c:v>2.5999987538781653E-2</c:v>
                </c:pt>
                <c:pt idx="10">
                  <c:v>2.599998324373087E-2</c:v>
                </c:pt>
                <c:pt idx="11">
                  <c:v>2.5999977633796502E-2</c:v>
                </c:pt>
                <c:pt idx="12">
                  <c:v>2.5999970344865331E-2</c:v>
                </c:pt>
                <c:pt idx="13">
                  <c:v>2.599996092124186E-2</c:v>
                </c:pt>
                <c:pt idx="14">
                  <c:v>2.5999948794829326E-2</c:v>
                </c:pt>
                <c:pt idx="15">
                  <c:v>2.5999933260094414E-2</c:v>
                </c:pt>
                <c:pt idx="16">
                  <c:v>2.5999913444077032E-2</c:v>
                </c:pt>
                <c:pt idx="17">
                  <c:v>2.5999888270601637E-2</c:v>
                </c:pt>
                <c:pt idx="18">
                  <c:v>2.5999856417731594E-2</c:v>
                </c:pt>
                <c:pt idx="19">
                  <c:v>2.5999816267383648E-2</c:v>
                </c:pt>
                <c:pt idx="20">
                  <c:v>2.5999765845885064E-2</c:v>
                </c:pt>
              </c:numCache>
            </c:numRef>
          </c:xVal>
          <c:yVal>
            <c:numRef>
              <c:f>計算!$D$163:$D$183</c:f>
              <c:numCache>
                <c:formatCode>General</c:formatCode>
                <c:ptCount val="21"/>
                <c:pt idx="0">
                  <c:v>0</c:v>
                </c:pt>
                <c:pt idx="1">
                  <c:v>2.5000000000000001E-2</c:v>
                </c:pt>
                <c:pt idx="2">
                  <c:v>0.05</c:v>
                </c:pt>
                <c:pt idx="3">
                  <c:v>7.5000000000000011E-2</c:v>
                </c:pt>
                <c:pt idx="4">
                  <c:v>0.1</c:v>
                </c:pt>
                <c:pt idx="5">
                  <c:v>0.125</c:v>
                </c:pt>
                <c:pt idx="6">
                  <c:v>0.15</c:v>
                </c:pt>
                <c:pt idx="7">
                  <c:v>0.17499999999999999</c:v>
                </c:pt>
                <c:pt idx="8">
                  <c:v>0.19999999999999998</c:v>
                </c:pt>
                <c:pt idx="9">
                  <c:v>0.22499999999999998</c:v>
                </c:pt>
                <c:pt idx="10">
                  <c:v>0.24999999999999997</c:v>
                </c:pt>
                <c:pt idx="11">
                  <c:v>0.27499999999999997</c:v>
                </c:pt>
                <c:pt idx="12">
                  <c:v>0.3</c:v>
                </c:pt>
                <c:pt idx="13">
                  <c:v>0.32500000000000001</c:v>
                </c:pt>
                <c:pt idx="14">
                  <c:v>0.35000000000000003</c:v>
                </c:pt>
                <c:pt idx="15">
                  <c:v>0.37500000000000006</c:v>
                </c:pt>
                <c:pt idx="16">
                  <c:v>0.40000000000000008</c:v>
                </c:pt>
                <c:pt idx="17">
                  <c:v>0.4250000000000001</c:v>
                </c:pt>
                <c:pt idx="18">
                  <c:v>0.45000000000000012</c:v>
                </c:pt>
                <c:pt idx="19">
                  <c:v>0.47500000000000014</c:v>
                </c:pt>
                <c:pt idx="20">
                  <c:v>0.50000000000000011</c:v>
                </c:pt>
              </c:numCache>
            </c:numRef>
          </c:yVal>
          <c:smooth val="0"/>
          <c:extLst>
            <c:ext xmlns:c16="http://schemas.microsoft.com/office/drawing/2014/chart" uri="{C3380CC4-5D6E-409C-BE32-E72D297353CC}">
              <c16:uniqueId val="{00000000-9C9D-4A10-B571-FC6BDAE15DA7}"/>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9C9D-4A10-B571-FC6BDAE15DA7}"/>
                </c:ext>
              </c:extLst>
            </c:dLbl>
            <c:dLbl>
              <c:idx val="1"/>
              <c:delete val="1"/>
              <c:extLst>
                <c:ext xmlns:c15="http://schemas.microsoft.com/office/drawing/2012/chart" uri="{CE6537A1-D6FC-4f65-9D91-7224C49458BB}"/>
                <c:ext xmlns:c16="http://schemas.microsoft.com/office/drawing/2014/chart" uri="{C3380CC4-5D6E-409C-BE32-E72D297353CC}">
                  <c16:uniqueId val="{00000002-9C9D-4A10-B571-FC6BDAE15DA7}"/>
                </c:ext>
              </c:extLst>
            </c:dLbl>
            <c:dLbl>
              <c:idx val="2"/>
              <c:tx>
                <c:rich>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fld id="{B6BFB134-7126-47A1-8AFC-DEDD16E36761}" type="SERIESNAME">
                      <a:rPr lang="zh-TW" altLang="en-US" sz="700" baseline="0">
                        <a:solidFill>
                          <a:sysClr val="windowText" lastClr="000000"/>
                        </a:solidFill>
                      </a:rPr>
                      <a:pPr>
                        <a:defRPr sz="700"/>
                      </a:pPr>
                      <a:t>[系列名]</a:t>
                    </a:fld>
                    <a:endParaRPr lang="ja-JP" altLang="en-US"/>
                  </a:p>
                </c:rich>
              </c:tx>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3-9C9D-4A10-B571-FC6BDAE15DA7}"/>
                </c:ext>
              </c:extLst>
            </c:dLbl>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9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計算!$K$216:$K$218</c:f>
              <c:numCache>
                <c:formatCode>General</c:formatCode>
                <c:ptCount val="3"/>
                <c:pt idx="0">
                  <c:v>0</c:v>
                </c:pt>
                <c:pt idx="1">
                  <c:v>1.2999999999999999E-2</c:v>
                </c:pt>
                <c:pt idx="2">
                  <c:v>2.5999999999999999E-2</c:v>
                </c:pt>
              </c:numCache>
            </c:numRef>
          </c:xVal>
          <c:yVal>
            <c:numRef>
              <c:f>計算!$D$216:$D$218</c:f>
              <c:numCache>
                <c:formatCode>General</c:formatCode>
                <c:ptCount val="3"/>
                <c:pt idx="0">
                  <c:v>0.5</c:v>
                </c:pt>
                <c:pt idx="1">
                  <c:v>0.5</c:v>
                </c:pt>
                <c:pt idx="2">
                  <c:v>0.5</c:v>
                </c:pt>
              </c:numCache>
            </c:numRef>
          </c:yVal>
          <c:smooth val="0"/>
          <c:extLst>
            <c:ext xmlns:c16="http://schemas.microsoft.com/office/drawing/2014/chart" uri="{C3380CC4-5D6E-409C-BE32-E72D297353CC}">
              <c16:uniqueId val="{00000004-9C9D-4A10-B571-FC6BDAE15DA7}"/>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5-9C9D-4A10-B571-FC6BDAE15DA7}"/>
                </c:ext>
              </c:extLst>
            </c:dLbl>
            <c:dLbl>
              <c:idx val="2"/>
              <c:delete val="1"/>
              <c:extLst>
                <c:ext xmlns:c15="http://schemas.microsoft.com/office/drawing/2012/chart" uri="{CE6537A1-D6FC-4f65-9D91-7224C49458BB}"/>
                <c:ext xmlns:c16="http://schemas.microsoft.com/office/drawing/2014/chart" uri="{C3380CC4-5D6E-409C-BE32-E72D297353CC}">
                  <c16:uniqueId val="{00000006-9C9D-4A10-B571-FC6BDAE15DA7}"/>
                </c:ext>
              </c:extLst>
            </c:dLbl>
            <c:spPr>
              <a:solidFill>
                <a:sysClr val="window" lastClr="FFFFFF"/>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計算!$K$211:$K$213</c:f>
              <c:numCache>
                <c:formatCode>General</c:formatCode>
                <c:ptCount val="3"/>
                <c:pt idx="0">
                  <c:v>0.01</c:v>
                </c:pt>
                <c:pt idx="1">
                  <c:v>0.01</c:v>
                </c:pt>
                <c:pt idx="2">
                  <c:v>0.01</c:v>
                </c:pt>
              </c:numCache>
            </c:numRef>
          </c:xVal>
          <c:yVal>
            <c:numRef>
              <c:f>計算!$D$211:$D$213</c:f>
              <c:numCache>
                <c:formatCode>General</c:formatCode>
                <c:ptCount val="3"/>
                <c:pt idx="0">
                  <c:v>0</c:v>
                </c:pt>
                <c:pt idx="1">
                  <c:v>0.25</c:v>
                </c:pt>
                <c:pt idx="2">
                  <c:v>0.5</c:v>
                </c:pt>
              </c:numCache>
            </c:numRef>
          </c:yVal>
          <c:smooth val="0"/>
          <c:extLst>
            <c:ext xmlns:c16="http://schemas.microsoft.com/office/drawing/2014/chart" uri="{C3380CC4-5D6E-409C-BE32-E72D297353CC}">
              <c16:uniqueId val="{00000007-9C9D-4A10-B571-FC6BDAE15DA7}"/>
            </c:ext>
          </c:extLst>
        </c:ser>
        <c:dLbls>
          <c:showLegendKey val="0"/>
          <c:showVal val="0"/>
          <c:showCatName val="0"/>
          <c:showSerName val="0"/>
          <c:showPercent val="0"/>
          <c:showBubbleSize val="0"/>
        </c:dLbls>
        <c:axId val="366362280"/>
        <c:axId val="366362672"/>
      </c:scatterChart>
      <c:valAx>
        <c:axId val="36636228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62672"/>
        <c:crosses val="autoZero"/>
        <c:crossBetween val="midCat"/>
      </c:valAx>
      <c:valAx>
        <c:axId val="366362672"/>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356040787623066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62280"/>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計算!$E$160</c:f>
          <c:strCache>
            <c:ptCount val="1"/>
            <c:pt idx="0">
              <c:v>ふっ素</c:v>
            </c:pt>
          </c:strCache>
        </c:strRef>
      </c:tx>
      <c:layout>
        <c:manualLayout>
          <c:xMode val="edge"/>
          <c:yMode val="edge"/>
          <c:x val="2.487405492223926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7018923611111112"/>
          <c:y val="0.20978412698412699"/>
          <c:w val="0.5802918803418804"/>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計算!$L$163:$L$183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計算!$E$163:$E$183</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0-95BE-47A8-B661-5E042259F142}"/>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95BE-47A8-B661-5E042259F142}"/>
                </c:ext>
              </c:extLst>
            </c:dLbl>
            <c:dLbl>
              <c:idx val="1"/>
              <c:delete val="1"/>
              <c:extLst>
                <c:ext xmlns:c15="http://schemas.microsoft.com/office/drawing/2012/chart" uri="{CE6537A1-D6FC-4f65-9D91-7224C49458BB}"/>
                <c:ext xmlns:c16="http://schemas.microsoft.com/office/drawing/2014/chart" uri="{C3380CC4-5D6E-409C-BE32-E72D297353CC}">
                  <c16:uniqueId val="{00000002-95BE-47A8-B661-5E042259F142}"/>
                </c:ext>
              </c:extLst>
            </c:dLbl>
            <c:dLbl>
              <c:idx val="2"/>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95BE-47A8-B661-5E042259F142}"/>
                </c:ext>
              </c:extLst>
            </c:dLbl>
            <c:spPr>
              <a:solidFill>
                <a:schemeClr val="bg1"/>
              </a:solidFill>
              <a:ln>
                <a:solidFill>
                  <a:sysClr val="windowText" lastClr="000000">
                    <a:lumMod val="25000"/>
                    <a:lumOff val="75000"/>
                  </a:sysClr>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strRef>
              <c:f>計算!$L$216:$L$218</c:f>
              <c:strCache>
                <c:ptCount val="2"/>
                <c:pt idx="0">
                  <c:v>0</c:v>
                </c:pt>
                <c:pt idx="1">
                  <c:v>#VALUE!</c:v>
                </c:pt>
              </c:strCache>
            </c:strRef>
          </c:xVal>
          <c:yVal>
            <c:numRef>
              <c:f>計算!$E$216:$E$218</c:f>
              <c:numCache>
                <c:formatCode>General</c:formatCode>
                <c:ptCount val="3"/>
                <c:pt idx="0">
                  <c:v>#N/A</c:v>
                </c:pt>
                <c:pt idx="1">
                  <c:v>#N/A</c:v>
                </c:pt>
                <c:pt idx="2">
                  <c:v>#N/A</c:v>
                </c:pt>
              </c:numCache>
            </c:numRef>
          </c:yVal>
          <c:smooth val="0"/>
          <c:extLst>
            <c:ext xmlns:c16="http://schemas.microsoft.com/office/drawing/2014/chart" uri="{C3380CC4-5D6E-409C-BE32-E72D297353CC}">
              <c16:uniqueId val="{00000004-95BE-47A8-B661-5E042259F142}"/>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0"/>
              <c:spPr>
                <a:solidFill>
                  <a:sysClr val="window" lastClr="FFFFFF"/>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95BE-47A8-B661-5E042259F142}"/>
                </c:ext>
              </c:extLst>
            </c:dLbl>
            <c:dLbl>
              <c:idx val="1"/>
              <c:delete val="1"/>
              <c:extLst>
                <c:ext xmlns:c15="http://schemas.microsoft.com/office/drawing/2012/chart" uri="{CE6537A1-D6FC-4f65-9D91-7224C49458BB}"/>
                <c:ext xmlns:c16="http://schemas.microsoft.com/office/drawing/2014/chart" uri="{C3380CC4-5D6E-409C-BE32-E72D297353CC}">
                  <c16:uniqueId val="{00000006-95BE-47A8-B661-5E042259F142}"/>
                </c:ext>
              </c:extLst>
            </c:dLbl>
            <c:dLbl>
              <c:idx val="2"/>
              <c:delete val="1"/>
              <c:extLst>
                <c:ext xmlns:c15="http://schemas.microsoft.com/office/drawing/2012/chart" uri="{CE6537A1-D6FC-4f65-9D91-7224C49458BB}"/>
                <c:ext xmlns:c16="http://schemas.microsoft.com/office/drawing/2014/chart" uri="{C3380CC4-5D6E-409C-BE32-E72D297353CC}">
                  <c16:uniqueId val="{00000007-95BE-47A8-B661-5E042259F142}"/>
                </c:ext>
              </c:extLst>
            </c:dLbl>
            <c:spPr>
              <a:solidFill>
                <a:schemeClr val="bg1"/>
              </a:solidFill>
              <a:ln>
                <a:solidFill>
                  <a:sysClr val="windowText" lastClr="000000">
                    <a:lumMod val="25000"/>
                    <a:lumOff val="75000"/>
                  </a:sysClr>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計算!$L$211:$L$213</c:f>
              <c:numCache>
                <c:formatCode>General</c:formatCode>
                <c:ptCount val="3"/>
                <c:pt idx="0">
                  <c:v>0.8</c:v>
                </c:pt>
                <c:pt idx="1">
                  <c:v>0.8</c:v>
                </c:pt>
                <c:pt idx="2">
                  <c:v>0.8</c:v>
                </c:pt>
              </c:numCache>
            </c:numRef>
          </c:xVal>
          <c:yVal>
            <c:numRef>
              <c:f>計算!$E$211:$E$213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8-95BE-47A8-B661-5E042259F142}"/>
            </c:ext>
          </c:extLst>
        </c:ser>
        <c:dLbls>
          <c:showLegendKey val="0"/>
          <c:showVal val="0"/>
          <c:showCatName val="0"/>
          <c:showSerName val="0"/>
          <c:showPercent val="0"/>
          <c:showBubbleSize val="0"/>
        </c:dLbls>
        <c:axId val="366360320"/>
        <c:axId val="366363064"/>
      </c:scatterChart>
      <c:valAx>
        <c:axId val="36636032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63064"/>
        <c:crosses val="autoZero"/>
        <c:crossBetween val="midCat"/>
      </c:valAx>
      <c:valAx>
        <c:axId val="366363064"/>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356040787623066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60320"/>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計算!$F$160</c:f>
          <c:strCache>
            <c:ptCount val="1"/>
            <c:pt idx="0">
              <c:v>ほう素</c:v>
            </c:pt>
          </c:strCache>
        </c:strRef>
      </c:tx>
      <c:layout>
        <c:manualLayout>
          <c:xMode val="edge"/>
          <c:yMode val="edge"/>
          <c:x val="2.487405492223926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5365266768547412"/>
          <c:y val="0.20978412698412699"/>
          <c:w val="0.5802918803418804"/>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計算!$M$163:$M$183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計算!$F$163:$F$183</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0-CDD0-422B-9F73-D650F5DC8D37}"/>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CDD0-422B-9F73-D650F5DC8D37}"/>
                </c:ext>
              </c:extLst>
            </c:dLbl>
            <c:dLbl>
              <c:idx val="1"/>
              <c:delete val="1"/>
              <c:extLst>
                <c:ext xmlns:c15="http://schemas.microsoft.com/office/drawing/2012/chart" uri="{CE6537A1-D6FC-4f65-9D91-7224C49458BB}"/>
                <c:ext xmlns:c16="http://schemas.microsoft.com/office/drawing/2014/chart" uri="{C3380CC4-5D6E-409C-BE32-E72D297353CC}">
                  <c16:uniqueId val="{00000002-CDD0-422B-9F73-D650F5DC8D37}"/>
                </c:ext>
              </c:extLst>
            </c:dLbl>
            <c:dLbl>
              <c:idx val="2"/>
              <c:spPr>
                <a:solidFill>
                  <a:sysClr val="window" lastClr="FFFFFF">
                    <a:alpha val="90000"/>
                  </a:sysClr>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CDD0-422B-9F73-D650F5DC8D37}"/>
                </c:ext>
              </c:extLst>
            </c:dLbl>
            <c:spPr>
              <a:solidFill>
                <a:schemeClr val="bg1">
                  <a:alpha val="90000"/>
                </a:schemeClr>
              </a:solidFill>
              <a:ln>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strRef>
              <c:f>計算!$M$216:$M$218</c:f>
              <c:strCache>
                <c:ptCount val="2"/>
                <c:pt idx="0">
                  <c:v>0</c:v>
                </c:pt>
                <c:pt idx="1">
                  <c:v>#VALUE!</c:v>
                </c:pt>
              </c:strCache>
            </c:strRef>
          </c:xVal>
          <c:yVal>
            <c:numRef>
              <c:f>計算!$F$216:$F$218</c:f>
              <c:numCache>
                <c:formatCode>General</c:formatCode>
                <c:ptCount val="3"/>
                <c:pt idx="0">
                  <c:v>#N/A</c:v>
                </c:pt>
                <c:pt idx="1">
                  <c:v>#N/A</c:v>
                </c:pt>
                <c:pt idx="2">
                  <c:v>#N/A</c:v>
                </c:pt>
              </c:numCache>
            </c:numRef>
          </c:yVal>
          <c:smooth val="0"/>
          <c:extLst>
            <c:ext xmlns:c16="http://schemas.microsoft.com/office/drawing/2014/chart" uri="{C3380CC4-5D6E-409C-BE32-E72D297353CC}">
              <c16:uniqueId val="{00000004-CDD0-422B-9F73-D650F5DC8D37}"/>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0"/>
              <c:spPr>
                <a:solidFill>
                  <a:sysClr val="window" lastClr="FFFFFF"/>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CDD0-422B-9F73-D650F5DC8D37}"/>
                </c:ext>
              </c:extLst>
            </c:dLbl>
            <c:dLbl>
              <c:idx val="1"/>
              <c:delete val="1"/>
              <c:extLst>
                <c:ext xmlns:c15="http://schemas.microsoft.com/office/drawing/2012/chart" uri="{CE6537A1-D6FC-4f65-9D91-7224C49458BB}"/>
                <c:ext xmlns:c16="http://schemas.microsoft.com/office/drawing/2014/chart" uri="{C3380CC4-5D6E-409C-BE32-E72D297353CC}">
                  <c16:uniqueId val="{00000006-CDD0-422B-9F73-D650F5DC8D37}"/>
                </c:ext>
              </c:extLst>
            </c:dLbl>
            <c:dLbl>
              <c:idx val="2"/>
              <c:delete val="1"/>
              <c:extLst>
                <c:ext xmlns:c15="http://schemas.microsoft.com/office/drawing/2012/chart" uri="{CE6537A1-D6FC-4f65-9D91-7224C49458BB}"/>
                <c:ext xmlns:c16="http://schemas.microsoft.com/office/drawing/2014/chart" uri="{C3380CC4-5D6E-409C-BE32-E72D297353CC}">
                  <c16:uniqueId val="{00000007-CDD0-422B-9F73-D650F5DC8D37}"/>
                </c:ext>
              </c:extLst>
            </c:dLbl>
            <c:spPr>
              <a:solidFill>
                <a:sysClr val="window" lastClr="FFFFFF"/>
              </a:solidFill>
              <a:ln>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計算!$M$211:$M$213</c:f>
              <c:numCache>
                <c:formatCode>General</c:formatCode>
                <c:ptCount val="3"/>
                <c:pt idx="0">
                  <c:v>1</c:v>
                </c:pt>
                <c:pt idx="1">
                  <c:v>1</c:v>
                </c:pt>
                <c:pt idx="2">
                  <c:v>1</c:v>
                </c:pt>
              </c:numCache>
            </c:numRef>
          </c:xVal>
          <c:yVal>
            <c:numRef>
              <c:f>計算!$F$211:$F$213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8-CDD0-422B-9F73-D650F5DC8D37}"/>
            </c:ext>
          </c:extLst>
        </c:ser>
        <c:dLbls>
          <c:showLegendKey val="0"/>
          <c:showVal val="0"/>
          <c:showCatName val="0"/>
          <c:showSerName val="0"/>
          <c:showPercent val="0"/>
          <c:showBubbleSize val="0"/>
        </c:dLbls>
        <c:axId val="366357968"/>
        <c:axId val="366339152"/>
      </c:scatterChart>
      <c:valAx>
        <c:axId val="366357968"/>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9152"/>
        <c:crosses val="autoZero"/>
        <c:crossBetween val="midCat"/>
      </c:valAx>
      <c:valAx>
        <c:axId val="366339152"/>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3542827004219409"/>
            </c:manualLayout>
          </c:layout>
          <c:overlay val="0"/>
          <c:spPr>
            <a:noFill/>
            <a:ln>
              <a:noFill/>
            </a:ln>
            <a:effectLst/>
          </c:spPr>
          <c:txPr>
            <a:bodyPr rot="-5400000" spcFirstLastPara="1" vertOverflow="ellipsis" vert="horz" wrap="square" anchor="ctr" anchorCtr="1"/>
            <a:lstStyle/>
            <a:p>
              <a:pPr algn="ct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57968"/>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計算!$G$160</c:f>
          <c:strCache>
            <c:ptCount val="1"/>
            <c:pt idx="0">
              <c:v>カドミウム</c:v>
            </c:pt>
          </c:strCache>
        </c:strRef>
      </c:tx>
      <c:layout>
        <c:manualLayout>
          <c:xMode val="edge"/>
          <c:yMode val="edge"/>
          <c:x val="2.487405492223926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4814062499999995"/>
          <c:y val="0.20978412698412699"/>
          <c:w val="0.58810726495726495"/>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計算!$N$163:$N$183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計算!$G$163:$G$183</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0-B024-497F-9259-C724C21D3B08}"/>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2"/>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B024-497F-9259-C724C21D3B08}"/>
                </c:ext>
              </c:extLst>
            </c:dLbl>
            <c:spPr>
              <a:solidFill>
                <a:schemeClr val="bg1"/>
              </a:solidFill>
              <a:ln>
                <a:no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xVal>
            <c:strRef>
              <c:f>計算!$N$216:$N$218</c:f>
              <c:strCache>
                <c:ptCount val="2"/>
                <c:pt idx="0">
                  <c:v>0</c:v>
                </c:pt>
                <c:pt idx="1">
                  <c:v>#VALUE!</c:v>
                </c:pt>
              </c:strCache>
            </c:strRef>
          </c:xVal>
          <c:yVal>
            <c:numRef>
              <c:f>計算!$G$216:$G$218</c:f>
              <c:numCache>
                <c:formatCode>General</c:formatCode>
                <c:ptCount val="3"/>
                <c:pt idx="0">
                  <c:v>#N/A</c:v>
                </c:pt>
                <c:pt idx="1">
                  <c:v>#N/A</c:v>
                </c:pt>
                <c:pt idx="2">
                  <c:v>#N/A</c:v>
                </c:pt>
              </c:numCache>
            </c:numRef>
          </c:yVal>
          <c:smooth val="0"/>
          <c:extLst>
            <c:ext xmlns:c16="http://schemas.microsoft.com/office/drawing/2014/chart" uri="{C3380CC4-5D6E-409C-BE32-E72D297353CC}">
              <c16:uniqueId val="{00000002-B024-497F-9259-C724C21D3B08}"/>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0"/>
              <c:tx>
                <c:rich>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fld id="{EC09DA11-0101-47DB-B583-BD21B93ED7ED}" type="SERIESNAME">
                      <a:rPr lang="zh-TW" altLang="en-US" sz="700" baseline="0"/>
                      <a:pPr>
                        <a:defRPr sz="700"/>
                      </a:pPr>
                      <a:t>[系列名]</a:t>
                    </a:fld>
                    <a:endParaRPr lang="ja-JP" altLang="en-US"/>
                  </a:p>
                </c:rich>
              </c:tx>
              <c:spPr>
                <a:solidFill>
                  <a:sysClr val="window" lastClr="FFFFFF"/>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3-B024-497F-9259-C724C21D3B08}"/>
                </c:ext>
              </c:extLst>
            </c:dLbl>
            <c:spPr>
              <a:solidFill>
                <a:schemeClr val="bg1"/>
              </a:solidFill>
              <a:ln>
                <a:no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xVal>
            <c:numRef>
              <c:f>計算!$N$211:$N$213</c:f>
              <c:numCache>
                <c:formatCode>General</c:formatCode>
                <c:ptCount val="3"/>
                <c:pt idx="0">
                  <c:v>3.0000000000000001E-3</c:v>
                </c:pt>
                <c:pt idx="1">
                  <c:v>3.0000000000000001E-3</c:v>
                </c:pt>
                <c:pt idx="2">
                  <c:v>3.0000000000000001E-3</c:v>
                </c:pt>
              </c:numCache>
            </c:numRef>
          </c:xVal>
          <c:yVal>
            <c:numRef>
              <c:f>計算!$G$211:$G$213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4-B024-497F-9259-C724C21D3B08}"/>
            </c:ext>
          </c:extLst>
        </c:ser>
        <c:dLbls>
          <c:showLegendKey val="0"/>
          <c:showVal val="0"/>
          <c:showCatName val="0"/>
          <c:showSerName val="0"/>
          <c:showPercent val="0"/>
          <c:showBubbleSize val="0"/>
        </c:dLbls>
        <c:axId val="366338760"/>
        <c:axId val="366334056"/>
      </c:scatterChart>
      <c:valAx>
        <c:axId val="36633876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4056"/>
        <c:crosses val="autoZero"/>
        <c:crossBetween val="midCat"/>
      </c:valAx>
      <c:valAx>
        <c:axId val="366334056"/>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31610759493670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8760"/>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計算!$H$160</c:f>
          <c:strCache>
            <c:ptCount val="1"/>
            <c:pt idx="0">
              <c:v>セレン</c:v>
            </c:pt>
          </c:strCache>
        </c:strRef>
      </c:tx>
      <c:layout>
        <c:manualLayout>
          <c:xMode val="edge"/>
          <c:yMode val="edge"/>
          <c:x val="2.487405492223926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4814051730012265"/>
          <c:y val="0.20978412698412699"/>
          <c:w val="0.57486452991452996"/>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計算!$O$163:$O$183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計算!$H$163:$H$183</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0-281E-40B3-901D-C2CF30B2DA09}"/>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2"/>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81E-40B3-901D-C2CF30B2DA09}"/>
                </c:ext>
              </c:extLst>
            </c:dLbl>
            <c:spPr>
              <a:solidFill>
                <a:srgbClr val="C00000">
                  <a:alpha val="90000"/>
                </a:srgbClr>
              </a:solidFill>
              <a:ln>
                <a:no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xVal>
            <c:strRef>
              <c:f>計算!$O$216:$O$218</c:f>
              <c:strCache>
                <c:ptCount val="2"/>
                <c:pt idx="0">
                  <c:v>0</c:v>
                </c:pt>
                <c:pt idx="1">
                  <c:v>#VALUE!</c:v>
                </c:pt>
              </c:strCache>
            </c:strRef>
          </c:xVal>
          <c:yVal>
            <c:numRef>
              <c:f>計算!$H$216:$H$218</c:f>
              <c:numCache>
                <c:formatCode>General</c:formatCode>
                <c:ptCount val="3"/>
                <c:pt idx="0">
                  <c:v>#N/A</c:v>
                </c:pt>
                <c:pt idx="1">
                  <c:v>#N/A</c:v>
                </c:pt>
                <c:pt idx="2">
                  <c:v>#N/A</c:v>
                </c:pt>
              </c:numCache>
            </c:numRef>
          </c:yVal>
          <c:smooth val="0"/>
          <c:extLst>
            <c:ext xmlns:c16="http://schemas.microsoft.com/office/drawing/2014/chart" uri="{C3380CC4-5D6E-409C-BE32-E72D297353CC}">
              <c16:uniqueId val="{00000002-281E-40B3-901D-C2CF30B2DA09}"/>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0"/>
              <c:spPr>
                <a:solidFill>
                  <a:sysClr val="window" lastClr="FFFFFF"/>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281E-40B3-901D-C2CF30B2DA09}"/>
                </c:ext>
              </c:extLst>
            </c:dLbl>
            <c:spPr>
              <a:solidFill>
                <a:schemeClr val="bg1"/>
              </a:solidFill>
              <a:ln>
                <a:no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xVal>
            <c:numRef>
              <c:f>計算!$O$211:$O$213</c:f>
              <c:numCache>
                <c:formatCode>General</c:formatCode>
                <c:ptCount val="3"/>
                <c:pt idx="0">
                  <c:v>0.01</c:v>
                </c:pt>
                <c:pt idx="1">
                  <c:v>0.01</c:v>
                </c:pt>
                <c:pt idx="2">
                  <c:v>0.01</c:v>
                </c:pt>
              </c:numCache>
            </c:numRef>
          </c:xVal>
          <c:yVal>
            <c:numRef>
              <c:f>計算!$H$211:$H$213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4-281E-40B3-901D-C2CF30B2DA09}"/>
            </c:ext>
          </c:extLst>
        </c:ser>
        <c:dLbls>
          <c:showLegendKey val="0"/>
          <c:showVal val="0"/>
          <c:showCatName val="0"/>
          <c:showSerName val="0"/>
          <c:showPercent val="0"/>
          <c:showBubbleSize val="0"/>
        </c:dLbls>
        <c:axId val="366337976"/>
        <c:axId val="366333272"/>
      </c:scatterChart>
      <c:valAx>
        <c:axId val="366337976"/>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3272"/>
        <c:crosses val="autoZero"/>
        <c:crossBetween val="midCat"/>
      </c:valAx>
      <c:valAx>
        <c:axId val="366333272"/>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48824894514767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7976"/>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計算!$I$160</c:f>
          <c:strCache>
            <c:ptCount val="1"/>
            <c:pt idx="0">
              <c:v>六価クロム</c:v>
            </c:pt>
          </c:strCache>
        </c:strRef>
      </c:tx>
      <c:layout>
        <c:manualLayout>
          <c:xMode val="edge"/>
          <c:yMode val="edge"/>
          <c:x val="2.487405492223926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4814062499999995"/>
          <c:y val="0.20978412698412699"/>
          <c:w val="0.58984401709401713"/>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計算!$P$163:$P$183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計算!$I$163:$I$183</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0-230C-40DC-886E-08518D245DFC}"/>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2"/>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30C-40DC-886E-08518D245DFC}"/>
                </c:ext>
              </c:extLst>
            </c:dLbl>
            <c:spPr>
              <a:noFill/>
              <a:ln>
                <a:no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xVal>
            <c:strRef>
              <c:f>計算!$P$216:$P$218</c:f>
              <c:strCache>
                <c:ptCount val="2"/>
                <c:pt idx="0">
                  <c:v>0</c:v>
                </c:pt>
                <c:pt idx="1">
                  <c:v>#VALUE!</c:v>
                </c:pt>
              </c:strCache>
            </c:strRef>
          </c:xVal>
          <c:yVal>
            <c:numRef>
              <c:f>計算!$I$216:$I$218</c:f>
              <c:numCache>
                <c:formatCode>General</c:formatCode>
                <c:ptCount val="3"/>
                <c:pt idx="0">
                  <c:v>#N/A</c:v>
                </c:pt>
                <c:pt idx="1">
                  <c:v>#N/A</c:v>
                </c:pt>
                <c:pt idx="2">
                  <c:v>#N/A</c:v>
                </c:pt>
              </c:numCache>
            </c:numRef>
          </c:yVal>
          <c:smooth val="0"/>
          <c:extLst>
            <c:ext xmlns:c16="http://schemas.microsoft.com/office/drawing/2014/chart" uri="{C3380CC4-5D6E-409C-BE32-E72D297353CC}">
              <c16:uniqueId val="{00000002-230C-40DC-886E-08518D245DFC}"/>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0"/>
              <c:spPr>
                <a:solidFill>
                  <a:sysClr val="window" lastClr="FFFFFF">
                    <a:alpha val="90000"/>
                  </a:sysClr>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230C-40DC-886E-08518D245DFC}"/>
                </c:ext>
              </c:extLst>
            </c:dLbl>
            <c:spPr>
              <a:solidFill>
                <a:schemeClr val="bg1"/>
              </a:solidFill>
              <a:ln>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計算!$P$211:$P$213</c:f>
              <c:numCache>
                <c:formatCode>General</c:formatCode>
                <c:ptCount val="3"/>
                <c:pt idx="0">
                  <c:v>0.05</c:v>
                </c:pt>
                <c:pt idx="1">
                  <c:v>0.05</c:v>
                </c:pt>
                <c:pt idx="2">
                  <c:v>0.05</c:v>
                </c:pt>
              </c:numCache>
            </c:numRef>
          </c:xVal>
          <c:yVal>
            <c:numRef>
              <c:f>計算!$I$211:$I$213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4-230C-40DC-886E-08518D245DFC}"/>
            </c:ext>
          </c:extLst>
        </c:ser>
        <c:dLbls>
          <c:showLegendKey val="0"/>
          <c:showVal val="0"/>
          <c:showCatName val="0"/>
          <c:showSerName val="0"/>
          <c:showPercent val="0"/>
          <c:showBubbleSize val="0"/>
        </c:dLbls>
        <c:axId val="366336408"/>
        <c:axId val="366338368"/>
      </c:scatterChart>
      <c:valAx>
        <c:axId val="366336408"/>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8368"/>
        <c:crosses val="autoZero"/>
        <c:crossBetween val="midCat"/>
      </c:valAx>
      <c:valAx>
        <c:axId val="366338368"/>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40541842475386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6408"/>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55561506198758"/>
          <c:y val="0.385984574105314"/>
          <c:w val="2.8250874495336906E-2"/>
          <c:h val="4.3897990867791614E-2"/>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計算!$K$163:$K$183</c:f>
              <c:numCache>
                <c:formatCode>General</c:formatCode>
                <c:ptCount val="21"/>
                <c:pt idx="0">
                  <c:v>2.5999999535921917E-2</c:v>
                </c:pt>
                <c:pt idx="1">
                  <c:v>2.5999999257165517E-2</c:v>
                </c:pt>
                <c:pt idx="2">
                  <c:v>2.5999998863473251E-2</c:v>
                </c:pt>
                <c:pt idx="3">
                  <c:v>2.5999998315165702E-2</c:v>
                </c:pt>
                <c:pt idx="4">
                  <c:v>2.5999997560465279E-2</c:v>
                </c:pt>
                <c:pt idx="5">
                  <c:v>2.5999996532181085E-2</c:v>
                </c:pt>
                <c:pt idx="6">
                  <c:v>2.5999995143575996E-2</c:v>
                </c:pt>
                <c:pt idx="7">
                  <c:v>2.5999993283235774E-2</c:v>
                </c:pt>
                <c:pt idx="8">
                  <c:v>2.5999990808725913E-2</c:v>
                </c:pt>
                <c:pt idx="9">
                  <c:v>2.5999987538781653E-2</c:v>
                </c:pt>
                <c:pt idx="10">
                  <c:v>2.599998324373087E-2</c:v>
                </c:pt>
                <c:pt idx="11">
                  <c:v>2.5999977633796502E-2</c:v>
                </c:pt>
                <c:pt idx="12">
                  <c:v>2.5999970344865331E-2</c:v>
                </c:pt>
                <c:pt idx="13">
                  <c:v>2.599996092124186E-2</c:v>
                </c:pt>
                <c:pt idx="14">
                  <c:v>2.5999948794829326E-2</c:v>
                </c:pt>
                <c:pt idx="15">
                  <c:v>2.5999933260094414E-2</c:v>
                </c:pt>
                <c:pt idx="16">
                  <c:v>2.5999913444077032E-2</c:v>
                </c:pt>
                <c:pt idx="17">
                  <c:v>2.5999888270601637E-2</c:v>
                </c:pt>
                <c:pt idx="18">
                  <c:v>2.5999856417731594E-2</c:v>
                </c:pt>
                <c:pt idx="19">
                  <c:v>2.5999816267383648E-2</c:v>
                </c:pt>
                <c:pt idx="20">
                  <c:v>2.5999765845885064E-2</c:v>
                </c:pt>
              </c:numCache>
            </c:numRef>
          </c:xVal>
          <c:yVal>
            <c:numRef>
              <c:f>計算!$D$163:$D$183</c:f>
              <c:numCache>
                <c:formatCode>General</c:formatCode>
                <c:ptCount val="21"/>
                <c:pt idx="0">
                  <c:v>0</c:v>
                </c:pt>
                <c:pt idx="1">
                  <c:v>2.5000000000000001E-2</c:v>
                </c:pt>
                <c:pt idx="2">
                  <c:v>0.05</c:v>
                </c:pt>
                <c:pt idx="3">
                  <c:v>7.5000000000000011E-2</c:v>
                </c:pt>
                <c:pt idx="4">
                  <c:v>0.1</c:v>
                </c:pt>
                <c:pt idx="5">
                  <c:v>0.125</c:v>
                </c:pt>
                <c:pt idx="6">
                  <c:v>0.15</c:v>
                </c:pt>
                <c:pt idx="7">
                  <c:v>0.17499999999999999</c:v>
                </c:pt>
                <c:pt idx="8">
                  <c:v>0.19999999999999998</c:v>
                </c:pt>
                <c:pt idx="9">
                  <c:v>0.22499999999999998</c:v>
                </c:pt>
                <c:pt idx="10">
                  <c:v>0.24999999999999997</c:v>
                </c:pt>
                <c:pt idx="11">
                  <c:v>0.27499999999999997</c:v>
                </c:pt>
                <c:pt idx="12">
                  <c:v>0.3</c:v>
                </c:pt>
                <c:pt idx="13">
                  <c:v>0.32500000000000001</c:v>
                </c:pt>
                <c:pt idx="14">
                  <c:v>0.35000000000000003</c:v>
                </c:pt>
                <c:pt idx="15">
                  <c:v>0.37500000000000006</c:v>
                </c:pt>
                <c:pt idx="16">
                  <c:v>0.40000000000000008</c:v>
                </c:pt>
                <c:pt idx="17">
                  <c:v>0.4250000000000001</c:v>
                </c:pt>
                <c:pt idx="18">
                  <c:v>0.45000000000000012</c:v>
                </c:pt>
                <c:pt idx="19">
                  <c:v>0.47500000000000014</c:v>
                </c:pt>
                <c:pt idx="20">
                  <c:v>0.50000000000000011</c:v>
                </c:pt>
              </c:numCache>
            </c:numRef>
          </c:yVal>
          <c:smooth val="0"/>
          <c:extLst>
            <c:ext xmlns:c16="http://schemas.microsoft.com/office/drawing/2014/chart" uri="{C3380CC4-5D6E-409C-BE32-E72D297353CC}">
              <c16:uniqueId val="{00000000-E7A2-4062-9527-F4CCCE444402}"/>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xVal>
            <c:numRef>
              <c:f>計算!$K$216:$K$218</c:f>
              <c:numCache>
                <c:formatCode>General</c:formatCode>
                <c:ptCount val="3"/>
                <c:pt idx="0">
                  <c:v>0</c:v>
                </c:pt>
                <c:pt idx="1">
                  <c:v>1.2999999999999999E-2</c:v>
                </c:pt>
                <c:pt idx="2">
                  <c:v>2.5999999999999999E-2</c:v>
                </c:pt>
              </c:numCache>
            </c:numRef>
          </c:xVal>
          <c:yVal>
            <c:numRef>
              <c:f>計算!$D$216:$D$218</c:f>
              <c:numCache>
                <c:formatCode>General</c:formatCode>
                <c:ptCount val="3"/>
                <c:pt idx="0">
                  <c:v>0.5</c:v>
                </c:pt>
                <c:pt idx="1">
                  <c:v>0.5</c:v>
                </c:pt>
                <c:pt idx="2">
                  <c:v>0.5</c:v>
                </c:pt>
              </c:numCache>
            </c:numRef>
          </c:yVal>
          <c:smooth val="0"/>
          <c:extLst>
            <c:ext xmlns:c16="http://schemas.microsoft.com/office/drawing/2014/chart" uri="{C3380CC4-5D6E-409C-BE32-E72D297353CC}">
              <c16:uniqueId val="{00000001-E7A2-4062-9527-F4CCCE444402}"/>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xVal>
            <c:numRef>
              <c:f>計算!$K$211:$K$213</c:f>
              <c:numCache>
                <c:formatCode>General</c:formatCode>
                <c:ptCount val="3"/>
                <c:pt idx="0">
                  <c:v>0.01</c:v>
                </c:pt>
                <c:pt idx="1">
                  <c:v>0.01</c:v>
                </c:pt>
                <c:pt idx="2">
                  <c:v>0.01</c:v>
                </c:pt>
              </c:numCache>
            </c:numRef>
          </c:xVal>
          <c:yVal>
            <c:numRef>
              <c:f>計算!$D$211:$D$213</c:f>
              <c:numCache>
                <c:formatCode>General</c:formatCode>
                <c:ptCount val="3"/>
                <c:pt idx="0">
                  <c:v>0</c:v>
                </c:pt>
                <c:pt idx="1">
                  <c:v>0.25</c:v>
                </c:pt>
                <c:pt idx="2">
                  <c:v>0.5</c:v>
                </c:pt>
              </c:numCache>
            </c:numRef>
          </c:yVal>
          <c:smooth val="0"/>
          <c:extLst>
            <c:ext xmlns:c16="http://schemas.microsoft.com/office/drawing/2014/chart" uri="{C3380CC4-5D6E-409C-BE32-E72D297353CC}">
              <c16:uniqueId val="{00000002-E7A2-4062-9527-F4CCCE444402}"/>
            </c:ext>
          </c:extLst>
        </c:ser>
        <c:ser>
          <c:idx val="3"/>
          <c:order val="3"/>
          <c:tx>
            <c:strRef>
              <c:f>計算!$A$221</c:f>
              <c:strCache>
                <c:ptCount val="1"/>
                <c:pt idx="0">
                  <c:v>③土壌溶出量基準値となる層厚の目安</c:v>
                </c:pt>
              </c:strCache>
            </c:strRef>
          </c:tx>
          <c:spPr>
            <a:ln w="19050" cap="rnd">
              <a:solidFill>
                <a:srgbClr val="00B050"/>
              </a:solidFill>
              <a:prstDash val="sysDash"/>
              <a:round/>
            </a:ln>
            <a:effectLst/>
          </c:spPr>
          <c:marker>
            <c:symbol val="none"/>
          </c:marker>
          <c:xVal>
            <c:numRef>
              <c:f>計算!$K$221:$K$223</c:f>
              <c:numCache>
                <c:formatCode>General</c:formatCode>
                <c:ptCount val="3"/>
                <c:pt idx="0">
                  <c:v>0</c:v>
                </c:pt>
                <c:pt idx="1">
                  <c:v>1.2999999999999999E-2</c:v>
                </c:pt>
                <c:pt idx="2">
                  <c:v>2.5999999999999999E-2</c:v>
                </c:pt>
              </c:numCache>
            </c:numRef>
          </c:xVal>
          <c:yVal>
            <c:numRef>
              <c:f>計算!$D$221:$D$223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3-E7A2-4062-9527-F4CCCE444402}"/>
            </c:ext>
          </c:extLst>
        </c:ser>
        <c:dLbls>
          <c:showLegendKey val="0"/>
          <c:showVal val="0"/>
          <c:showCatName val="0"/>
          <c:showSerName val="0"/>
          <c:showPercent val="0"/>
          <c:showBubbleSize val="0"/>
        </c:dLbls>
        <c:axId val="366334448"/>
        <c:axId val="366339544"/>
      </c:scatterChart>
      <c:valAx>
        <c:axId val="366334448"/>
        <c:scaling>
          <c:orientation val="minMax"/>
        </c:scaling>
        <c:delete val="1"/>
        <c:axPos val="t"/>
        <c:numFmt formatCode="General" sourceLinked="1"/>
        <c:majorTickMark val="none"/>
        <c:minorTickMark val="none"/>
        <c:tickLblPos val="nextTo"/>
        <c:crossAx val="366339544"/>
        <c:crosses val="autoZero"/>
        <c:crossBetween val="midCat"/>
      </c:valAx>
      <c:valAx>
        <c:axId val="366339544"/>
        <c:scaling>
          <c:orientation val="maxMin"/>
        </c:scaling>
        <c:delete val="1"/>
        <c:axPos val="l"/>
        <c:numFmt formatCode="General" sourceLinked="1"/>
        <c:majorTickMark val="none"/>
        <c:minorTickMark val="none"/>
        <c:tickLblPos val="nextTo"/>
        <c:crossAx val="366334448"/>
        <c:crosses val="autoZero"/>
        <c:crossBetween val="midCat"/>
      </c:valAx>
      <c:spPr>
        <a:noFill/>
        <a:ln w="25400">
          <a:noFill/>
        </a:ln>
        <a:effectLst/>
      </c:spPr>
    </c:plotArea>
    <c:legend>
      <c:legendPos val="t"/>
      <c:layout>
        <c:manualLayout>
          <c:xMode val="edge"/>
          <c:yMode val="edge"/>
          <c:x val="0"/>
          <c:y val="2.4820486762259001E-3"/>
          <c:w val="1"/>
          <c:h val="0.9975184868837641"/>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chemeClr val="tx1"/>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11</xdr:col>
      <xdr:colOff>29647</xdr:colOff>
      <xdr:row>6</xdr:row>
      <xdr:rowOff>43130</xdr:rowOff>
    </xdr:from>
    <xdr:to>
      <xdr:col>18</xdr:col>
      <xdr:colOff>68036</xdr:colOff>
      <xdr:row>7</xdr:row>
      <xdr:rowOff>148441</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31767</xdr:colOff>
      <xdr:row>7</xdr:row>
      <xdr:rowOff>195035</xdr:rowOff>
    </xdr:from>
    <xdr:to>
      <xdr:col>14</xdr:col>
      <xdr:colOff>314367</xdr:colOff>
      <xdr:row>17</xdr:row>
      <xdr:rowOff>96635</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340827</xdr:colOff>
      <xdr:row>7</xdr:row>
      <xdr:rowOff>184394</xdr:rowOff>
    </xdr:from>
    <xdr:to>
      <xdr:col>18</xdr:col>
      <xdr:colOff>80502</xdr:colOff>
      <xdr:row>17</xdr:row>
      <xdr:rowOff>85994</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31766</xdr:colOff>
      <xdr:row>17</xdr:row>
      <xdr:rowOff>346284</xdr:rowOff>
    </xdr:from>
    <xdr:to>
      <xdr:col>14</xdr:col>
      <xdr:colOff>314366</xdr:colOff>
      <xdr:row>26</xdr:row>
      <xdr:rowOff>209784</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340827</xdr:colOff>
      <xdr:row>17</xdr:row>
      <xdr:rowOff>340654</xdr:rowOff>
    </xdr:from>
    <xdr:to>
      <xdr:col>18</xdr:col>
      <xdr:colOff>80502</xdr:colOff>
      <xdr:row>26</xdr:row>
      <xdr:rowOff>204154</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31766</xdr:colOff>
      <xdr:row>27</xdr:row>
      <xdr:rowOff>198177</xdr:rowOff>
    </xdr:from>
    <xdr:to>
      <xdr:col>14</xdr:col>
      <xdr:colOff>314366</xdr:colOff>
      <xdr:row>37</xdr:row>
      <xdr:rowOff>214077</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340827</xdr:colOff>
      <xdr:row>27</xdr:row>
      <xdr:rowOff>197558</xdr:rowOff>
    </xdr:from>
    <xdr:to>
      <xdr:col>18</xdr:col>
      <xdr:colOff>80502</xdr:colOff>
      <xdr:row>37</xdr:row>
      <xdr:rowOff>213458</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6350</xdr:colOff>
      <xdr:row>162</xdr:row>
      <xdr:rowOff>17647</xdr:rowOff>
    </xdr:from>
    <xdr:to>
      <xdr:col>26</xdr:col>
      <xdr:colOff>0</xdr:colOff>
      <xdr:row>164</xdr:row>
      <xdr:rowOff>139700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39"/>
  <sheetViews>
    <sheetView showGridLines="0" tabSelected="1" zoomScale="85" zoomScaleNormal="85" workbookViewId="0">
      <selection activeCell="G4" sqref="G4:I4"/>
    </sheetView>
  </sheetViews>
  <sheetFormatPr defaultColWidth="9" defaultRowHeight="15.75" x14ac:dyDescent="0.15"/>
  <cols>
    <col min="1" max="1" width="2.125" style="56" customWidth="1"/>
    <col min="2" max="2" width="2" style="56" customWidth="1"/>
    <col min="3" max="3" width="39.625" style="56" customWidth="1"/>
    <col min="4" max="6" width="12.375" style="56" customWidth="1"/>
    <col min="7" max="7" width="13.375" style="56" customWidth="1"/>
    <col min="8" max="9" width="12.375" style="56" customWidth="1"/>
    <col min="10" max="11" width="2" style="56" customWidth="1"/>
    <col min="12" max="15" width="9" style="56"/>
    <col min="16" max="16" width="7.125" style="56" customWidth="1"/>
    <col min="17" max="18" width="9" style="56"/>
    <col min="19" max="19" width="1.625" style="56" customWidth="1"/>
    <col min="20" max="20" width="2" style="56" customWidth="1"/>
    <col min="21" max="16384" width="9" style="56"/>
  </cols>
  <sheetData>
    <row r="1" spans="2:19" ht="10.5" customHeight="1" thickBot="1" x14ac:dyDescent="0.2"/>
    <row r="2" spans="2:19" ht="20.45" customHeight="1" thickTop="1" thickBot="1" x14ac:dyDescent="0.2">
      <c r="B2" s="57" t="s">
        <v>169</v>
      </c>
      <c r="C2" s="58"/>
      <c r="L2" s="114" t="s">
        <v>157</v>
      </c>
      <c r="M2" s="115"/>
      <c r="N2" s="115"/>
      <c r="O2" s="115"/>
      <c r="P2" s="115"/>
      <c r="Q2" s="121"/>
      <c r="R2" s="122"/>
      <c r="S2" s="123"/>
    </row>
    <row r="3" spans="2:19" ht="6" customHeight="1" thickTop="1" thickBot="1" x14ac:dyDescent="0.2">
      <c r="B3" s="57"/>
      <c r="C3" s="58"/>
      <c r="L3" s="59"/>
      <c r="M3" s="59"/>
      <c r="N3" s="59"/>
      <c r="O3" s="59"/>
      <c r="P3" s="59"/>
      <c r="Q3" s="60"/>
      <c r="R3" s="60"/>
      <c r="S3" s="60"/>
    </row>
    <row r="4" spans="2:19" ht="20.45" customHeight="1" thickTop="1" thickBot="1" x14ac:dyDescent="0.2">
      <c r="E4" s="124" t="s">
        <v>155</v>
      </c>
      <c r="F4" s="125"/>
      <c r="G4" s="126"/>
      <c r="H4" s="127"/>
      <c r="I4" s="128"/>
      <c r="L4" s="116" t="s">
        <v>156</v>
      </c>
      <c r="M4" s="117"/>
      <c r="N4" s="117"/>
      <c r="O4" s="117"/>
      <c r="P4" s="117"/>
      <c r="Q4" s="118"/>
      <c r="R4" s="119"/>
      <c r="S4" s="120"/>
    </row>
    <row r="5" spans="2:19" ht="15" customHeight="1" thickTop="1" thickBot="1" x14ac:dyDescent="0.2">
      <c r="C5" s="61"/>
      <c r="I5" s="62"/>
    </row>
    <row r="6" spans="2:19" ht="20.25" customHeight="1" x14ac:dyDescent="0.15">
      <c r="B6" s="63" t="s">
        <v>158</v>
      </c>
      <c r="C6" s="64"/>
      <c r="D6" s="64"/>
      <c r="E6" s="64"/>
      <c r="F6" s="64"/>
      <c r="G6" s="64"/>
      <c r="H6" s="64"/>
      <c r="I6" s="65"/>
      <c r="J6" s="66"/>
      <c r="K6" s="67"/>
      <c r="L6" s="63" t="s">
        <v>108</v>
      </c>
      <c r="M6" s="68"/>
      <c r="N6" s="68"/>
      <c r="O6" s="68"/>
      <c r="P6" s="68"/>
      <c r="Q6" s="68"/>
      <c r="R6" s="68"/>
      <c r="S6" s="69"/>
    </row>
    <row r="7" spans="2:19" ht="20.25" customHeight="1" thickBot="1" x14ac:dyDescent="0.2">
      <c r="B7" s="70"/>
      <c r="C7" s="71" t="s">
        <v>147</v>
      </c>
      <c r="D7" s="72"/>
      <c r="E7" s="72"/>
      <c r="F7" s="72"/>
      <c r="G7" s="72"/>
      <c r="H7" s="72"/>
      <c r="I7" s="72"/>
      <c r="J7" s="73"/>
      <c r="L7" s="74"/>
      <c r="S7" s="73"/>
    </row>
    <row r="8" spans="2:19" ht="20.25" customHeight="1" thickTop="1" thickBot="1" x14ac:dyDescent="0.2">
      <c r="B8" s="70"/>
      <c r="C8" s="75" t="s">
        <v>148</v>
      </c>
      <c r="D8" s="47">
        <v>0.5</v>
      </c>
      <c r="E8" s="72"/>
      <c r="F8" s="72"/>
      <c r="G8" s="72"/>
      <c r="H8" s="72"/>
      <c r="I8" s="72"/>
      <c r="J8" s="73"/>
      <c r="L8" s="74"/>
      <c r="S8" s="73"/>
    </row>
    <row r="9" spans="2:19" ht="18" customHeight="1" thickTop="1" x14ac:dyDescent="0.15">
      <c r="B9" s="70"/>
      <c r="C9" s="72"/>
      <c r="D9" s="76"/>
      <c r="E9" s="72"/>
      <c r="F9" s="72"/>
      <c r="G9" s="72"/>
      <c r="H9" s="72"/>
      <c r="I9" s="72"/>
      <c r="J9" s="73"/>
      <c r="L9" s="74"/>
      <c r="S9" s="73"/>
    </row>
    <row r="10" spans="2:19" ht="20.25" customHeight="1" thickBot="1" x14ac:dyDescent="0.2">
      <c r="B10" s="70"/>
      <c r="C10" s="71" t="s">
        <v>143</v>
      </c>
      <c r="D10" s="76"/>
      <c r="E10" s="72"/>
      <c r="F10" s="72" t="s">
        <v>107</v>
      </c>
      <c r="G10" s="72"/>
      <c r="H10" s="72"/>
      <c r="I10" s="72"/>
      <c r="J10" s="73"/>
      <c r="L10" s="74"/>
      <c r="S10" s="73"/>
    </row>
    <row r="11" spans="2:19" ht="20.25" customHeight="1" thickTop="1" thickBot="1" x14ac:dyDescent="0.2">
      <c r="B11" s="70"/>
      <c r="C11" s="75" t="s">
        <v>144</v>
      </c>
      <c r="D11" s="47">
        <v>2700</v>
      </c>
      <c r="E11" s="72"/>
      <c r="F11" s="72"/>
      <c r="G11" s="72"/>
      <c r="H11" s="72"/>
      <c r="I11" s="72"/>
      <c r="J11" s="73"/>
      <c r="L11" s="74"/>
      <c r="S11" s="73"/>
    </row>
    <row r="12" spans="2:19" ht="20.25" customHeight="1" thickTop="1" x14ac:dyDescent="0.15">
      <c r="B12" s="70"/>
      <c r="C12" s="77" t="s">
        <v>145</v>
      </c>
      <c r="D12" s="78">
        <f>計算!D25</f>
        <v>810</v>
      </c>
      <c r="E12" s="72"/>
      <c r="F12" s="72"/>
      <c r="G12" s="72"/>
      <c r="H12" s="72"/>
      <c r="I12" s="72"/>
      <c r="J12" s="73"/>
      <c r="L12" s="74"/>
      <c r="S12" s="73"/>
    </row>
    <row r="13" spans="2:19" ht="20.25" customHeight="1" x14ac:dyDescent="0.15">
      <c r="B13" s="70"/>
      <c r="C13" s="77" t="s">
        <v>146</v>
      </c>
      <c r="D13" s="79">
        <f>計算!D26</f>
        <v>800</v>
      </c>
      <c r="E13" s="72"/>
      <c r="F13" s="72"/>
      <c r="G13" s="72"/>
      <c r="H13" s="72"/>
      <c r="I13" s="72"/>
      <c r="J13" s="73"/>
      <c r="L13" s="74"/>
      <c r="S13" s="73"/>
    </row>
    <row r="14" spans="2:19" ht="18" customHeight="1" x14ac:dyDescent="0.15">
      <c r="B14" s="70"/>
      <c r="C14" s="72"/>
      <c r="D14" s="76"/>
      <c r="E14" s="72"/>
      <c r="F14" s="72"/>
      <c r="G14" s="72"/>
      <c r="H14" s="72"/>
      <c r="I14" s="72"/>
      <c r="J14" s="73"/>
      <c r="L14" s="74"/>
      <c r="S14" s="73"/>
    </row>
    <row r="15" spans="2:19" ht="20.25" customHeight="1" x14ac:dyDescent="0.15">
      <c r="B15" s="70"/>
      <c r="C15" s="71" t="s">
        <v>149</v>
      </c>
      <c r="D15" s="80" t="str">
        <f>計算!D43</f>
        <v/>
      </c>
      <c r="E15" s="72"/>
      <c r="F15" s="72"/>
      <c r="G15" s="72"/>
      <c r="H15" s="81" t="s">
        <v>167</v>
      </c>
      <c r="I15" s="72"/>
      <c r="J15" s="73"/>
      <c r="L15" s="74"/>
      <c r="S15" s="73"/>
    </row>
    <row r="16" spans="2:19" ht="20.25" customHeight="1" thickBot="1" x14ac:dyDescent="0.2">
      <c r="B16" s="70"/>
      <c r="C16" s="77" t="s">
        <v>150</v>
      </c>
      <c r="D16" s="54" t="str">
        <f t="shared" ref="D16:I16" si="0">D36</f>
        <v>砒素</v>
      </c>
      <c r="E16" s="54" t="str">
        <f t="shared" si="0"/>
        <v>ふっ素</v>
      </c>
      <c r="F16" s="54" t="str">
        <f t="shared" si="0"/>
        <v>ほう素</v>
      </c>
      <c r="G16" s="54" t="str">
        <f t="shared" si="0"/>
        <v>カドミウム</v>
      </c>
      <c r="H16" s="54" t="str">
        <f t="shared" si="0"/>
        <v>セレン</v>
      </c>
      <c r="I16" s="54" t="str">
        <f t="shared" si="0"/>
        <v>六価クロム</v>
      </c>
      <c r="J16" s="73"/>
      <c r="L16" s="74"/>
      <c r="S16" s="73"/>
    </row>
    <row r="17" spans="2:19" ht="19.5" customHeight="1" thickTop="1" thickBot="1" x14ac:dyDescent="0.2">
      <c r="B17" s="70"/>
      <c r="C17" s="75" t="s">
        <v>9</v>
      </c>
      <c r="D17" s="48">
        <v>20</v>
      </c>
      <c r="E17" s="48"/>
      <c r="F17" s="48"/>
      <c r="G17" s="48"/>
      <c r="H17" s="48"/>
      <c r="I17" s="48"/>
      <c r="J17" s="73"/>
      <c r="L17" s="74"/>
      <c r="S17" s="73"/>
    </row>
    <row r="18" spans="2:19" ht="43.5" customHeight="1" thickTop="1" x14ac:dyDescent="0.15">
      <c r="B18" s="70"/>
      <c r="C18" s="77" t="s">
        <v>50</v>
      </c>
      <c r="D18" s="82">
        <v>3</v>
      </c>
      <c r="E18" s="82">
        <v>0.6</v>
      </c>
      <c r="F18" s="82">
        <v>0.1</v>
      </c>
      <c r="G18" s="83" t="s">
        <v>170</v>
      </c>
      <c r="H18" s="82">
        <v>5</v>
      </c>
      <c r="I18" s="82">
        <v>0.8</v>
      </c>
      <c r="J18" s="73"/>
      <c r="L18" s="74"/>
      <c r="S18" s="73"/>
    </row>
    <row r="19" spans="2:19" ht="18" customHeight="1" x14ac:dyDescent="0.15">
      <c r="B19" s="70"/>
      <c r="C19" s="72"/>
      <c r="D19" s="72"/>
      <c r="E19" s="72"/>
      <c r="F19" s="72"/>
      <c r="G19" s="72"/>
      <c r="H19" s="72"/>
      <c r="I19" s="72"/>
      <c r="J19" s="73"/>
      <c r="L19" s="74"/>
      <c r="S19" s="73"/>
    </row>
    <row r="20" spans="2:19" ht="20.25" customHeight="1" x14ac:dyDescent="0.15">
      <c r="B20" s="70"/>
      <c r="C20" s="71" t="s">
        <v>151</v>
      </c>
      <c r="D20" s="80" t="str">
        <f>計算!D47</f>
        <v/>
      </c>
      <c r="E20" s="72"/>
      <c r="F20" s="72"/>
      <c r="G20" s="72"/>
      <c r="H20" s="81" t="s">
        <v>167</v>
      </c>
      <c r="I20" s="72"/>
      <c r="J20" s="73"/>
      <c r="L20" s="74"/>
      <c r="S20" s="73"/>
    </row>
    <row r="21" spans="2:19" ht="20.25" customHeight="1" thickBot="1" x14ac:dyDescent="0.2">
      <c r="B21" s="70"/>
      <c r="C21" s="77" t="s">
        <v>150</v>
      </c>
      <c r="D21" s="55" t="str">
        <f>D36</f>
        <v>砒素</v>
      </c>
      <c r="E21" s="54" t="str">
        <f t="shared" ref="E21:I21" si="1">E36</f>
        <v>ふっ素</v>
      </c>
      <c r="F21" s="54" t="str">
        <f t="shared" si="1"/>
        <v>ほう素</v>
      </c>
      <c r="G21" s="54" t="str">
        <f t="shared" si="1"/>
        <v>カドミウム</v>
      </c>
      <c r="H21" s="54" t="str">
        <f t="shared" si="1"/>
        <v>セレン</v>
      </c>
      <c r="I21" s="54" t="str">
        <f t="shared" si="1"/>
        <v>六価クロム</v>
      </c>
      <c r="J21" s="73"/>
      <c r="L21" s="74"/>
      <c r="S21" s="73"/>
    </row>
    <row r="22" spans="2:19" ht="20.25" customHeight="1" thickTop="1" thickBot="1" x14ac:dyDescent="0.2">
      <c r="B22" s="70"/>
      <c r="C22" s="75" t="s">
        <v>152</v>
      </c>
      <c r="D22" s="47">
        <v>2.5999999999999999E-2</v>
      </c>
      <c r="E22" s="47"/>
      <c r="F22" s="47"/>
      <c r="G22" s="47"/>
      <c r="H22" s="47"/>
      <c r="I22" s="47"/>
      <c r="J22" s="73"/>
      <c r="L22" s="74"/>
      <c r="S22" s="73"/>
    </row>
    <row r="23" spans="2:19" ht="18" customHeight="1" thickTop="1" thickBot="1" x14ac:dyDescent="0.2">
      <c r="B23" s="84"/>
      <c r="C23" s="85"/>
      <c r="D23" s="86" t="str">
        <f>計算!D51</f>
        <v/>
      </c>
      <c r="E23" s="87"/>
      <c r="F23" s="87"/>
      <c r="G23" s="87"/>
      <c r="H23" s="87"/>
      <c r="I23" s="87"/>
      <c r="J23" s="88"/>
      <c r="L23" s="74"/>
      <c r="S23" s="73"/>
    </row>
    <row r="24" spans="2:19" ht="18" customHeight="1" thickBot="1" x14ac:dyDescent="0.2">
      <c r="B24" s="72"/>
      <c r="C24" s="72"/>
      <c r="D24" s="89"/>
      <c r="E24" s="89"/>
      <c r="F24" s="89"/>
      <c r="G24" s="89"/>
      <c r="H24" s="89"/>
      <c r="I24" s="89"/>
      <c r="L24" s="74"/>
      <c r="S24" s="73"/>
    </row>
    <row r="25" spans="2:19" ht="20.25" customHeight="1" x14ac:dyDescent="0.15">
      <c r="B25" s="90" t="s">
        <v>153</v>
      </c>
      <c r="C25" s="91"/>
      <c r="D25" s="91"/>
      <c r="E25" s="91"/>
      <c r="F25" s="91"/>
      <c r="G25" s="91"/>
      <c r="H25" s="91"/>
      <c r="I25" s="91"/>
      <c r="J25" s="92"/>
      <c r="K25" s="67"/>
      <c r="L25" s="74"/>
      <c r="S25" s="73"/>
    </row>
    <row r="26" spans="2:19" ht="20.25" customHeight="1" x14ac:dyDescent="0.15">
      <c r="B26" s="93"/>
      <c r="C26" s="71" t="s">
        <v>154</v>
      </c>
      <c r="D26" s="72"/>
      <c r="E26" s="72"/>
      <c r="F26" s="72"/>
      <c r="G26" s="72"/>
      <c r="H26" s="72"/>
      <c r="I26" s="72"/>
      <c r="J26" s="94"/>
      <c r="L26" s="74"/>
      <c r="S26" s="73"/>
    </row>
    <row r="27" spans="2:19" ht="20.25" customHeight="1" thickBot="1" x14ac:dyDescent="0.2">
      <c r="B27" s="93"/>
      <c r="C27" s="77" t="s">
        <v>150</v>
      </c>
      <c r="D27" s="54" t="str">
        <f>D36</f>
        <v>砒素</v>
      </c>
      <c r="E27" s="54" t="str">
        <f t="shared" ref="E27:I27" si="2">E36</f>
        <v>ふっ素</v>
      </c>
      <c r="F27" s="54" t="str">
        <f t="shared" si="2"/>
        <v>ほう素</v>
      </c>
      <c r="G27" s="54" t="str">
        <f t="shared" si="2"/>
        <v>カドミウム</v>
      </c>
      <c r="H27" s="54" t="str">
        <f t="shared" si="2"/>
        <v>セレン</v>
      </c>
      <c r="I27" s="54" t="str">
        <f t="shared" si="2"/>
        <v>六価クロム</v>
      </c>
      <c r="J27" s="94"/>
      <c r="L27" s="74"/>
      <c r="S27" s="73"/>
    </row>
    <row r="28" spans="2:19" ht="20.25" customHeight="1" thickTop="1" thickBot="1" x14ac:dyDescent="0.2">
      <c r="B28" s="93"/>
      <c r="C28" s="75" t="s">
        <v>10</v>
      </c>
      <c r="D28" s="53">
        <f>計算!D58</f>
        <v>0.01</v>
      </c>
      <c r="E28" s="53" t="str">
        <f>計算!E58</f>
        <v>-</v>
      </c>
      <c r="F28" s="53" t="str">
        <f>計算!F58</f>
        <v>-</v>
      </c>
      <c r="G28" s="53" t="str">
        <f>計算!G58</f>
        <v>-</v>
      </c>
      <c r="H28" s="53" t="str">
        <f>計算!H58</f>
        <v>-</v>
      </c>
      <c r="I28" s="53" t="str">
        <f>計算!I58</f>
        <v>-</v>
      </c>
      <c r="J28" s="94"/>
      <c r="L28" s="74"/>
      <c r="S28" s="73"/>
    </row>
    <row r="29" spans="2:19" ht="20.25" customHeight="1" thickTop="1" thickBot="1" x14ac:dyDescent="0.2">
      <c r="B29" s="93"/>
      <c r="C29" s="75" t="s">
        <v>142</v>
      </c>
      <c r="D29" s="53" t="str">
        <f>計算!D63</f>
        <v>クラス2</v>
      </c>
      <c r="E29" s="53" t="str">
        <f>計算!E63</f>
        <v>-</v>
      </c>
      <c r="F29" s="53" t="str">
        <f>計算!F63</f>
        <v>-</v>
      </c>
      <c r="G29" s="53" t="str">
        <f>計算!G63</f>
        <v>-</v>
      </c>
      <c r="H29" s="53" t="str">
        <f>計算!H63</f>
        <v>-</v>
      </c>
      <c r="I29" s="53" t="str">
        <f>計算!I63</f>
        <v>-</v>
      </c>
      <c r="J29" s="94"/>
      <c r="L29" s="74"/>
      <c r="S29" s="73"/>
    </row>
    <row r="30" spans="2:19" ht="18" customHeight="1" thickTop="1" thickBot="1" x14ac:dyDescent="0.2">
      <c r="B30" s="93"/>
      <c r="C30" s="72"/>
      <c r="D30" s="95"/>
      <c r="E30" s="95"/>
      <c r="F30" s="95"/>
      <c r="G30" s="95"/>
      <c r="H30" s="95"/>
      <c r="I30" s="95"/>
      <c r="J30" s="94"/>
      <c r="L30" s="74"/>
      <c r="S30" s="73"/>
    </row>
    <row r="31" spans="2:19" ht="20.25" customHeight="1" thickTop="1" thickBot="1" x14ac:dyDescent="0.2">
      <c r="B31" s="93"/>
      <c r="C31" s="96" t="s">
        <v>153</v>
      </c>
      <c r="D31" s="111" t="str">
        <f>計算!D69</f>
        <v>クラス2（遮水工等の措置が必要）</v>
      </c>
      <c r="E31" s="112"/>
      <c r="F31" s="112"/>
      <c r="G31" s="113"/>
      <c r="H31" s="95"/>
      <c r="I31" s="95"/>
      <c r="J31" s="94"/>
      <c r="L31" s="74"/>
      <c r="S31" s="73"/>
    </row>
    <row r="32" spans="2:19" ht="18" customHeight="1" thickTop="1" thickBot="1" x14ac:dyDescent="0.2">
      <c r="B32" s="97"/>
      <c r="C32" s="98"/>
      <c r="D32" s="99"/>
      <c r="E32" s="100"/>
      <c r="F32" s="100"/>
      <c r="G32" s="100"/>
      <c r="H32" s="100"/>
      <c r="I32" s="100"/>
      <c r="J32" s="101"/>
      <c r="L32" s="74"/>
      <c r="S32" s="73"/>
    </row>
    <row r="33" spans="2:19" ht="12" customHeight="1" thickBot="1" x14ac:dyDescent="0.2">
      <c r="B33" s="72"/>
      <c r="C33" s="71"/>
      <c r="D33" s="102"/>
      <c r="E33" s="95"/>
      <c r="F33" s="95"/>
      <c r="G33" s="95"/>
      <c r="H33" s="95"/>
      <c r="I33" s="95"/>
      <c r="L33" s="74"/>
      <c r="S33" s="73"/>
    </row>
    <row r="34" spans="2:19" ht="20.25" customHeight="1" x14ac:dyDescent="0.15">
      <c r="B34" s="63" t="s">
        <v>168</v>
      </c>
      <c r="C34" s="64"/>
      <c r="D34" s="103"/>
      <c r="E34" s="104"/>
      <c r="F34" s="104"/>
      <c r="G34" s="104"/>
      <c r="H34" s="104"/>
      <c r="I34" s="104"/>
      <c r="J34" s="66"/>
      <c r="K34" s="67"/>
      <c r="L34" s="74"/>
      <c r="S34" s="73"/>
    </row>
    <row r="35" spans="2:19" ht="18" customHeight="1" x14ac:dyDescent="0.15">
      <c r="B35" s="105"/>
      <c r="C35" s="72"/>
      <c r="D35" s="106"/>
      <c r="E35" s="95"/>
      <c r="F35" s="95"/>
      <c r="G35" s="95"/>
      <c r="H35" s="95"/>
      <c r="I35" s="95"/>
      <c r="J35" s="73"/>
      <c r="L35" s="74"/>
      <c r="S35" s="73"/>
    </row>
    <row r="36" spans="2:19" ht="20.25" customHeight="1" x14ac:dyDescent="0.15">
      <c r="B36" s="74"/>
      <c r="C36" s="77" t="s">
        <v>6</v>
      </c>
      <c r="D36" s="107" t="s">
        <v>109</v>
      </c>
      <c r="E36" s="107" t="s">
        <v>110</v>
      </c>
      <c r="F36" s="107" t="s">
        <v>7</v>
      </c>
      <c r="G36" s="107" t="s">
        <v>111</v>
      </c>
      <c r="H36" s="107" t="s">
        <v>112</v>
      </c>
      <c r="I36" s="107" t="s">
        <v>8</v>
      </c>
      <c r="J36" s="73"/>
      <c r="L36" s="74"/>
      <c r="S36" s="73"/>
    </row>
    <row r="37" spans="2:19" ht="20.25" customHeight="1" x14ac:dyDescent="0.15">
      <c r="B37" s="74"/>
      <c r="C37" s="77" t="s">
        <v>51</v>
      </c>
      <c r="D37" s="108">
        <v>0.01</v>
      </c>
      <c r="E37" s="108">
        <v>0.8</v>
      </c>
      <c r="F37" s="108">
        <v>1</v>
      </c>
      <c r="G37" s="108">
        <v>3.0000000000000001E-3</v>
      </c>
      <c r="H37" s="108">
        <v>0.01</v>
      </c>
      <c r="I37" s="108">
        <v>0.05</v>
      </c>
      <c r="J37" s="73"/>
      <c r="L37" s="74"/>
      <c r="S37" s="73"/>
    </row>
    <row r="38" spans="2:19" ht="20.25" customHeight="1" x14ac:dyDescent="0.15">
      <c r="B38" s="74"/>
      <c r="C38" s="77" t="s">
        <v>98</v>
      </c>
      <c r="D38" s="108">
        <v>0.3</v>
      </c>
      <c r="E38" s="108">
        <v>24</v>
      </c>
      <c r="F38" s="108">
        <v>30</v>
      </c>
      <c r="G38" s="108">
        <v>0.09</v>
      </c>
      <c r="H38" s="108">
        <v>0.3</v>
      </c>
      <c r="I38" s="108">
        <v>1.5</v>
      </c>
      <c r="J38" s="73"/>
      <c r="L38" s="74"/>
      <c r="S38" s="73"/>
    </row>
    <row r="39" spans="2:19" ht="18" customHeight="1" thickBot="1" x14ac:dyDescent="0.2">
      <c r="B39" s="109"/>
      <c r="C39" s="85"/>
      <c r="D39" s="85"/>
      <c r="E39" s="85"/>
      <c r="F39" s="85"/>
      <c r="G39" s="85"/>
      <c r="H39" s="85"/>
      <c r="I39" s="85"/>
      <c r="J39" s="88"/>
      <c r="L39" s="109"/>
      <c r="M39" s="110"/>
      <c r="N39" s="110"/>
      <c r="O39" s="110"/>
      <c r="P39" s="110"/>
      <c r="Q39" s="110"/>
      <c r="R39" s="110"/>
      <c r="S39" s="88"/>
    </row>
  </sheetData>
  <sheetProtection algorithmName="SHA-512" hashValue="wfN7ThK3fFrpJdoQI2SxnoO8hdyXy8TjTe22FkTCzWhn6CxE6B67hDtd5cYBhrNKNCEteRO/QPXSWlTikdajGw==" saltValue="UeGSxmx29aMCKX0JEf7dYw==" spinCount="100000" sheet="1" selectLockedCells="1"/>
  <protectedRanges>
    <protectedRange sqref="D22:I22" name="範囲2"/>
    <protectedRange sqref="G4:I4" name="範囲1"/>
  </protectedRanges>
  <mergeCells count="7">
    <mergeCell ref="D31:G31"/>
    <mergeCell ref="L2:P2"/>
    <mergeCell ref="L4:P4"/>
    <mergeCell ref="Q4:S4"/>
    <mergeCell ref="Q2:S2"/>
    <mergeCell ref="E4:F4"/>
    <mergeCell ref="G4:I4"/>
  </mergeCells>
  <phoneticPr fontId="1"/>
  <conditionalFormatting sqref="D16">
    <cfRule type="expression" dxfId="23" priority="24">
      <formula>$D$17&lt;0</formula>
    </cfRule>
  </conditionalFormatting>
  <conditionalFormatting sqref="E16">
    <cfRule type="expression" dxfId="22" priority="23">
      <formula>$E$17&lt;0</formula>
    </cfRule>
  </conditionalFormatting>
  <conditionalFormatting sqref="F16">
    <cfRule type="expression" dxfId="21" priority="22">
      <formula>$F$17&lt;0</formula>
    </cfRule>
  </conditionalFormatting>
  <conditionalFormatting sqref="G16">
    <cfRule type="expression" dxfId="20" priority="21">
      <formula>$G$17&lt;0</formula>
    </cfRule>
  </conditionalFormatting>
  <conditionalFormatting sqref="H16">
    <cfRule type="expression" dxfId="19" priority="20">
      <formula>$H$17&lt;0</formula>
    </cfRule>
  </conditionalFormatting>
  <conditionalFormatting sqref="I16">
    <cfRule type="expression" dxfId="18" priority="19">
      <formula>$I$17&lt;0</formula>
    </cfRule>
  </conditionalFormatting>
  <conditionalFormatting sqref="D21">
    <cfRule type="expression" dxfId="17" priority="18">
      <formula>$D$22&gt;$D$38</formula>
    </cfRule>
    <cfRule type="expression" dxfId="16" priority="17">
      <formula>$D$22&lt;=$D$37</formula>
    </cfRule>
    <cfRule type="expression" dxfId="15" priority="6">
      <formula>$D$22=""</formula>
    </cfRule>
  </conditionalFormatting>
  <conditionalFormatting sqref="E21">
    <cfRule type="expression" dxfId="14" priority="16">
      <formula>$E$22&gt;$E$38</formula>
    </cfRule>
    <cfRule type="expression" dxfId="13" priority="15">
      <formula>$E$22&lt;=$E$37</formula>
    </cfRule>
    <cfRule type="expression" dxfId="12" priority="5">
      <formula>$E$22=""</formula>
    </cfRule>
  </conditionalFormatting>
  <conditionalFormatting sqref="F21">
    <cfRule type="expression" dxfId="11" priority="14">
      <formula>$F$22&gt;$F$38</formula>
    </cfRule>
    <cfRule type="expression" dxfId="10" priority="13">
      <formula>$F$22&lt;=$F$37</formula>
    </cfRule>
    <cfRule type="expression" dxfId="9" priority="4">
      <formula>$F$22=""</formula>
    </cfRule>
  </conditionalFormatting>
  <conditionalFormatting sqref="G21">
    <cfRule type="expression" dxfId="8" priority="12">
      <formula>$G$22&gt;$G$38</formula>
    </cfRule>
    <cfRule type="expression" dxfId="7" priority="11">
      <formula>$G$22&lt;=$G$37</formula>
    </cfRule>
    <cfRule type="expression" dxfId="6" priority="3">
      <formula>$G$22=""</formula>
    </cfRule>
  </conditionalFormatting>
  <conditionalFormatting sqref="H21">
    <cfRule type="expression" dxfId="5" priority="10">
      <formula>$H$22&gt;$H$38</formula>
    </cfRule>
    <cfRule type="expression" dxfId="4" priority="9">
      <formula>$H$22&lt;=$H$37</formula>
    </cfRule>
    <cfRule type="expression" dxfId="3" priority="2">
      <formula>$H$22=""</formula>
    </cfRule>
  </conditionalFormatting>
  <conditionalFormatting sqref="I21">
    <cfRule type="expression" dxfId="2" priority="8">
      <formula>$I$22&gt;$I$38</formula>
    </cfRule>
    <cfRule type="expression" dxfId="1" priority="7">
      <formula>$I$22&lt;=$I$37</formula>
    </cfRule>
    <cfRule type="expression" dxfId="0" priority="1">
      <formula>$I$22=""</formula>
    </cfRule>
  </conditionalFormatting>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8"/>
  <sheetViews>
    <sheetView zoomScale="70" zoomScaleNormal="70" workbookViewId="0">
      <pane ySplit="18" topLeftCell="A19" activePane="bottomLeft" state="frozen"/>
      <selection pane="bottomLeft"/>
    </sheetView>
  </sheetViews>
  <sheetFormatPr defaultColWidth="8.875" defaultRowHeight="13.5" x14ac:dyDescent="0.15"/>
  <cols>
    <col min="1" max="1" width="28" customWidth="1"/>
    <col min="2" max="2" width="30.625" customWidth="1"/>
    <col min="3" max="9" width="10.5" customWidth="1"/>
    <col min="10" max="10" width="27.375" customWidth="1"/>
  </cols>
  <sheetData>
    <row r="1" spans="1:9" ht="14.25" x14ac:dyDescent="0.15">
      <c r="A1" s="5" t="s">
        <v>171</v>
      </c>
    </row>
    <row r="3" spans="1:9" x14ac:dyDescent="0.15">
      <c r="A3" s="12" t="s">
        <v>53</v>
      </c>
      <c r="B3" s="10" t="s">
        <v>3</v>
      </c>
      <c r="C3" s="10" t="s">
        <v>11</v>
      </c>
      <c r="D3" s="9">
        <f>個別サイト評価計算ツール!D8</f>
        <v>0.5</v>
      </c>
    </row>
    <row r="4" spans="1:9" x14ac:dyDescent="0.15">
      <c r="B4" s="10" t="s">
        <v>4</v>
      </c>
      <c r="C4" s="10" t="s">
        <v>54</v>
      </c>
      <c r="D4" s="9">
        <f>個別サイト評価計算ツール!D11</f>
        <v>2700</v>
      </c>
    </row>
    <row r="5" spans="1:9" x14ac:dyDescent="0.15">
      <c r="B5" s="10" t="s">
        <v>6</v>
      </c>
      <c r="C5" s="10"/>
      <c r="D5" s="10" t="str">
        <f>個別サイト評価計算ツール!D36</f>
        <v>砒素</v>
      </c>
      <c r="E5" s="10" t="str">
        <f>個別サイト評価計算ツール!E36</f>
        <v>ふっ素</v>
      </c>
      <c r="F5" s="10" t="str">
        <f>個別サイト評価計算ツール!F36</f>
        <v>ほう素</v>
      </c>
      <c r="G5" s="10" t="str">
        <f>個別サイト評価計算ツール!G36</f>
        <v>カドミウム</v>
      </c>
      <c r="H5" s="10" t="str">
        <f>個別サイト評価計算ツール!H36</f>
        <v>セレン</v>
      </c>
      <c r="I5" s="10" t="str">
        <f>個別サイト評価計算ツール!I36</f>
        <v>六価クロム</v>
      </c>
    </row>
    <row r="6" spans="1:9" x14ac:dyDescent="0.15">
      <c r="B6" s="10" t="s">
        <v>57</v>
      </c>
      <c r="C6" s="10" t="s">
        <v>55</v>
      </c>
      <c r="D6" s="9">
        <f>IF(個別サイト評価計算ツール!D17="","",個別サイト評価計算ツール!D17)</f>
        <v>20</v>
      </c>
      <c r="E6" s="9" t="str">
        <f>IF(個別サイト評価計算ツール!E17="","",個別サイト評価計算ツール!E17)</f>
        <v/>
      </c>
      <c r="F6" s="9" t="str">
        <f>IF(個別サイト評価計算ツール!F17="","",個別サイト評価計算ツール!F17)</f>
        <v/>
      </c>
      <c r="G6" s="9" t="str">
        <f>IF(個別サイト評価計算ツール!G17="","",個別サイト評価計算ツール!G17)</f>
        <v/>
      </c>
      <c r="H6" s="9" t="str">
        <f>IF(個別サイト評価計算ツール!H17="","",個別サイト評価計算ツール!H17)</f>
        <v/>
      </c>
      <c r="I6" s="9" t="str">
        <f>IF(個別サイト評価計算ツール!I17="","",個別サイト評価計算ツール!I17)</f>
        <v/>
      </c>
    </row>
    <row r="7" spans="1:9" x14ac:dyDescent="0.15">
      <c r="B7" s="10" t="s">
        <v>6</v>
      </c>
      <c r="C7" s="10"/>
      <c r="D7" s="10" t="str">
        <f>D5</f>
        <v>砒素</v>
      </c>
      <c r="E7" s="10" t="str">
        <f t="shared" ref="E7:I7" si="0">E5</f>
        <v>ふっ素</v>
      </c>
      <c r="F7" s="10" t="str">
        <f t="shared" si="0"/>
        <v>ほう素</v>
      </c>
      <c r="G7" s="10" t="str">
        <f t="shared" si="0"/>
        <v>カドミウム</v>
      </c>
      <c r="H7" s="10" t="str">
        <f t="shared" si="0"/>
        <v>セレン</v>
      </c>
      <c r="I7" s="10" t="str">
        <f t="shared" si="0"/>
        <v>六価クロム</v>
      </c>
    </row>
    <row r="8" spans="1:9" x14ac:dyDescent="0.15">
      <c r="B8" s="10" t="s">
        <v>58</v>
      </c>
      <c r="C8" s="10" t="s">
        <v>56</v>
      </c>
      <c r="D8" s="9">
        <f>IF(個別サイト評価計算ツール!D22="","",個別サイト評価計算ツール!D22)</f>
        <v>2.5999999999999999E-2</v>
      </c>
      <c r="E8" s="9" t="str">
        <f>IF(個別サイト評価計算ツール!E22="","",個別サイト評価計算ツール!E22)</f>
        <v/>
      </c>
      <c r="F8" s="9" t="str">
        <f>IF(個別サイト評価計算ツール!F22="","",個別サイト評価計算ツール!F22)</f>
        <v/>
      </c>
      <c r="G8" s="9" t="str">
        <f>IF(個別サイト評価計算ツール!G22="","",個別サイト評価計算ツール!G22)</f>
        <v/>
      </c>
      <c r="H8" s="9" t="str">
        <f>IF(個別サイト評価計算ツール!H22="","",個別サイト評価計算ツール!H22)</f>
        <v/>
      </c>
      <c r="I8" s="9" t="str">
        <f>IF(個別サイト評価計算ツール!I22="","",個別サイト評価計算ツール!I22)</f>
        <v/>
      </c>
    </row>
    <row r="9" spans="1:9" x14ac:dyDescent="0.15">
      <c r="B9" s="10" t="s">
        <v>52</v>
      </c>
    </row>
    <row r="10" spans="1:9" x14ac:dyDescent="0.15">
      <c r="B10" s="10" t="s">
        <v>6</v>
      </c>
      <c r="C10" s="10"/>
      <c r="D10" s="10" t="str">
        <f>D5</f>
        <v>砒素</v>
      </c>
      <c r="E10" s="10" t="str">
        <f t="shared" ref="E10:I10" si="1">E5</f>
        <v>ふっ素</v>
      </c>
      <c r="F10" s="10" t="str">
        <f t="shared" si="1"/>
        <v>ほう素</v>
      </c>
      <c r="G10" s="10" t="str">
        <f t="shared" si="1"/>
        <v>カドミウム</v>
      </c>
      <c r="H10" s="10" t="str">
        <f t="shared" si="1"/>
        <v>セレン</v>
      </c>
      <c r="I10" s="10" t="str">
        <f t="shared" si="1"/>
        <v>六価クロム</v>
      </c>
    </row>
    <row r="11" spans="1:9" x14ac:dyDescent="0.15">
      <c r="B11" s="10" t="s">
        <v>59</v>
      </c>
      <c r="C11" s="10" t="s">
        <v>56</v>
      </c>
      <c r="D11" s="9">
        <f>個別サイト評価計算ツール!D37</f>
        <v>0.01</v>
      </c>
      <c r="E11" s="9">
        <f>個別サイト評価計算ツール!E37</f>
        <v>0.8</v>
      </c>
      <c r="F11" s="9">
        <f>個別サイト評価計算ツール!F37</f>
        <v>1</v>
      </c>
      <c r="G11" s="9">
        <f>個別サイト評価計算ツール!G37</f>
        <v>3.0000000000000001E-3</v>
      </c>
      <c r="H11" s="9">
        <f>個別サイト評価計算ツール!H37</f>
        <v>0.01</v>
      </c>
      <c r="I11" s="9">
        <f>個別サイト評価計算ツール!I37</f>
        <v>0.05</v>
      </c>
    </row>
    <row r="12" spans="1:9" x14ac:dyDescent="0.15">
      <c r="B12" s="10" t="s">
        <v>60</v>
      </c>
      <c r="C12" s="10" t="s">
        <v>56</v>
      </c>
      <c r="D12" s="9">
        <f>個別サイト評価計算ツール!D38</f>
        <v>0.3</v>
      </c>
      <c r="E12" s="9">
        <f>個別サイト評価計算ツール!E38</f>
        <v>24</v>
      </c>
      <c r="F12" s="9">
        <f>個別サイト評価計算ツール!F38</f>
        <v>30</v>
      </c>
      <c r="G12" s="9">
        <f>個別サイト評価計算ツール!G38</f>
        <v>0.09</v>
      </c>
      <c r="H12" s="9">
        <f>個別サイト評価計算ツール!H38</f>
        <v>0.3</v>
      </c>
      <c r="I12" s="9">
        <f>個別サイト評価計算ツール!I38</f>
        <v>1.5</v>
      </c>
    </row>
    <row r="14" spans="1:9" x14ac:dyDescent="0.15">
      <c r="D14" s="10" t="str">
        <f>D5</f>
        <v>砒素</v>
      </c>
      <c r="E14" s="10" t="str">
        <f t="shared" ref="E14:I14" si="2">E5</f>
        <v>ふっ素</v>
      </c>
      <c r="F14" s="10" t="str">
        <f t="shared" si="2"/>
        <v>ほう素</v>
      </c>
      <c r="G14" s="10" t="str">
        <f t="shared" si="2"/>
        <v>カドミウム</v>
      </c>
      <c r="H14" s="10" t="str">
        <f t="shared" si="2"/>
        <v>セレン</v>
      </c>
      <c r="I14" s="10" t="str">
        <f t="shared" si="2"/>
        <v>六価クロム</v>
      </c>
    </row>
    <row r="15" spans="1:9" x14ac:dyDescent="0.15">
      <c r="A15" s="12" t="s">
        <v>120</v>
      </c>
      <c r="B15" s="10" t="s">
        <v>119</v>
      </c>
      <c r="C15" s="9" t="s">
        <v>118</v>
      </c>
      <c r="D15" s="9">
        <f>個別サイト評価計算ツール!D18</f>
        <v>3</v>
      </c>
      <c r="E15" s="9">
        <f>個別サイト評価計算ツール!E18</f>
        <v>0.6</v>
      </c>
      <c r="F15" s="9">
        <f>個別サイト評価計算ツール!F18</f>
        <v>0.1</v>
      </c>
      <c r="G15" s="9">
        <v>20</v>
      </c>
      <c r="H15" s="9">
        <f>個別サイト評価計算ツール!H18</f>
        <v>5</v>
      </c>
      <c r="I15" s="9">
        <f>個別サイト評価計算ツール!I18</f>
        <v>0.8</v>
      </c>
    </row>
    <row r="17" spans="1:10" x14ac:dyDescent="0.15">
      <c r="D17" s="10" t="str">
        <f>D5</f>
        <v>砒素</v>
      </c>
      <c r="E17" s="10" t="str">
        <f t="shared" ref="E17:I17" si="3">E5</f>
        <v>ふっ素</v>
      </c>
      <c r="F17" s="10" t="str">
        <f t="shared" si="3"/>
        <v>ほう素</v>
      </c>
      <c r="G17" s="10" t="str">
        <f t="shared" si="3"/>
        <v>カドミウム</v>
      </c>
      <c r="H17" s="10" t="str">
        <f t="shared" si="3"/>
        <v>セレン</v>
      </c>
      <c r="I17" s="10" t="str">
        <f t="shared" si="3"/>
        <v>六価クロム</v>
      </c>
    </row>
    <row r="18" spans="1:10" x14ac:dyDescent="0.15">
      <c r="A18" s="12" t="s">
        <v>120</v>
      </c>
      <c r="B18" s="10" t="s">
        <v>124</v>
      </c>
      <c r="C18" s="9" t="s">
        <v>125</v>
      </c>
      <c r="D18" s="9">
        <f>計算!D11</f>
        <v>0.01</v>
      </c>
      <c r="E18" s="9">
        <f>計算!E11</f>
        <v>0.8</v>
      </c>
      <c r="F18" s="9">
        <f>計算!F11</f>
        <v>1</v>
      </c>
      <c r="G18" s="9">
        <f>計算!G11</f>
        <v>3.0000000000000001E-3</v>
      </c>
      <c r="H18" s="9">
        <f>計算!H11</f>
        <v>0.01</v>
      </c>
      <c r="I18" s="9">
        <f>計算!I11</f>
        <v>0.05</v>
      </c>
    </row>
    <row r="20" spans="1:10" x14ac:dyDescent="0.15">
      <c r="A20" t="s">
        <v>12</v>
      </c>
    </row>
    <row r="21" spans="1:10" x14ac:dyDescent="0.15">
      <c r="B21" s="10" t="s">
        <v>2</v>
      </c>
      <c r="C21" s="10" t="s">
        <v>11</v>
      </c>
      <c r="D21" s="9">
        <f>D3*0.1</f>
        <v>0.05</v>
      </c>
    </row>
    <row r="22" spans="1:10" x14ac:dyDescent="0.15">
      <c r="B22" s="10" t="s">
        <v>1</v>
      </c>
      <c r="C22" s="10"/>
      <c r="D22" s="9">
        <v>0.3</v>
      </c>
    </row>
    <row r="23" spans="1:10" x14ac:dyDescent="0.15">
      <c r="B23" s="10" t="s">
        <v>0</v>
      </c>
      <c r="C23" s="10" t="s">
        <v>14</v>
      </c>
      <c r="D23" s="9">
        <v>1500</v>
      </c>
    </row>
    <row r="24" spans="1:10" x14ac:dyDescent="0.15">
      <c r="B24" s="10" t="s">
        <v>5</v>
      </c>
      <c r="C24" s="10"/>
      <c r="D24" s="9">
        <v>0.3</v>
      </c>
    </row>
    <row r="25" spans="1:10" x14ac:dyDescent="0.15">
      <c r="A25" s="13" t="s">
        <v>61</v>
      </c>
      <c r="B25" s="10" t="s">
        <v>48</v>
      </c>
      <c r="C25" s="10" t="s">
        <v>54</v>
      </c>
      <c r="D25" s="9">
        <f>D4*D24</f>
        <v>810</v>
      </c>
    </row>
    <row r="26" spans="1:10" x14ac:dyDescent="0.15">
      <c r="A26" s="13" t="s">
        <v>61</v>
      </c>
      <c r="B26" s="10" t="s">
        <v>49</v>
      </c>
      <c r="C26" s="10" t="s">
        <v>54</v>
      </c>
      <c r="D26" s="9">
        <f>IF(D25&gt;800,800,D25)</f>
        <v>800</v>
      </c>
    </row>
    <row r="27" spans="1:10" x14ac:dyDescent="0.15">
      <c r="B27" s="10" t="s">
        <v>62</v>
      </c>
      <c r="C27" s="10" t="s">
        <v>67</v>
      </c>
      <c r="D27" s="9">
        <v>100</v>
      </c>
    </row>
    <row r="28" spans="1:10" x14ac:dyDescent="0.15">
      <c r="B28" s="10" t="s">
        <v>63</v>
      </c>
      <c r="C28" s="10" t="s">
        <v>68</v>
      </c>
      <c r="D28" s="9">
        <f>D26/1000/D22</f>
        <v>2.666666666666667</v>
      </c>
      <c r="E28" s="1" t="s">
        <v>71</v>
      </c>
    </row>
    <row r="29" spans="1:10" x14ac:dyDescent="0.15">
      <c r="B29" s="10" t="s">
        <v>64</v>
      </c>
      <c r="C29" s="10" t="s">
        <v>69</v>
      </c>
      <c r="D29" s="9">
        <f>D21*D28</f>
        <v>0.13333333333333336</v>
      </c>
      <c r="E29" s="1" t="s">
        <v>13</v>
      </c>
    </row>
    <row r="30" spans="1:10" x14ac:dyDescent="0.15">
      <c r="B30" s="10" t="s">
        <v>6</v>
      </c>
      <c r="C30" s="10"/>
      <c r="D30" s="10" t="str">
        <f>D5</f>
        <v>砒素</v>
      </c>
      <c r="E30" s="10" t="str">
        <f t="shared" ref="E30:I30" si="4">E5</f>
        <v>ふっ素</v>
      </c>
      <c r="F30" s="10" t="str">
        <f t="shared" si="4"/>
        <v>ほう素</v>
      </c>
      <c r="G30" s="10" t="str">
        <f t="shared" si="4"/>
        <v>カドミウム</v>
      </c>
      <c r="H30" s="10" t="str">
        <f t="shared" si="4"/>
        <v>セレン</v>
      </c>
      <c r="I30" s="10" t="str">
        <f t="shared" si="4"/>
        <v>六価クロム</v>
      </c>
    </row>
    <row r="31" spans="1:10" x14ac:dyDescent="0.15">
      <c r="B31" s="10" t="s">
        <v>65</v>
      </c>
      <c r="C31" s="10" t="s">
        <v>70</v>
      </c>
      <c r="D31" s="9">
        <f>D6/1000</f>
        <v>0.02</v>
      </c>
      <c r="E31" s="9" t="e">
        <f t="shared" ref="E31:I31" si="5">E6/1000</f>
        <v>#VALUE!</v>
      </c>
      <c r="F31" s="9" t="e">
        <f>F6/1000</f>
        <v>#VALUE!</v>
      </c>
      <c r="G31" s="9" t="e">
        <f>G6/1000</f>
        <v>#VALUE!</v>
      </c>
      <c r="H31" s="9" t="e">
        <f t="shared" si="5"/>
        <v>#VALUE!</v>
      </c>
      <c r="I31" s="9" t="e">
        <f t="shared" si="5"/>
        <v>#VALUE!</v>
      </c>
    </row>
    <row r="32" spans="1:10" x14ac:dyDescent="0.15">
      <c r="B32" s="10" t="s">
        <v>66</v>
      </c>
      <c r="C32" s="10"/>
      <c r="D32" s="9">
        <f>1+D31*$D$23/$D$22</f>
        <v>101</v>
      </c>
      <c r="E32" s="9" t="e">
        <f t="shared" ref="E32:I32" si="6">1+E31*$D$23/$D$22</f>
        <v>#VALUE!</v>
      </c>
      <c r="F32" s="9" t="e">
        <f t="shared" si="6"/>
        <v>#VALUE!</v>
      </c>
      <c r="G32" s="9" t="e">
        <f>1+G31*$D$23/$D$22</f>
        <v>#VALUE!</v>
      </c>
      <c r="H32" s="9" t="e">
        <f t="shared" si="6"/>
        <v>#VALUE!</v>
      </c>
      <c r="I32" s="9" t="e">
        <f t="shared" si="6"/>
        <v>#VALUE!</v>
      </c>
      <c r="J32" t="s">
        <v>72</v>
      </c>
    </row>
    <row r="34" spans="1:11" x14ac:dyDescent="0.15">
      <c r="A34" t="s">
        <v>73</v>
      </c>
      <c r="D34" s="11" t="str">
        <f>D5</f>
        <v>砒素</v>
      </c>
      <c r="E34" s="11" t="str">
        <f t="shared" ref="E34:I34" si="7">E5</f>
        <v>ふっ素</v>
      </c>
      <c r="F34" s="11" t="str">
        <f t="shared" si="7"/>
        <v>ほう素</v>
      </c>
      <c r="G34" s="11" t="str">
        <f t="shared" si="7"/>
        <v>カドミウム</v>
      </c>
      <c r="H34" s="11" t="str">
        <f t="shared" si="7"/>
        <v>セレン</v>
      </c>
      <c r="I34" s="11" t="str">
        <f t="shared" si="7"/>
        <v>六価クロム</v>
      </c>
    </row>
    <row r="35" spans="1:11" x14ac:dyDescent="0.15">
      <c r="B35" s="14" t="s">
        <v>16</v>
      </c>
      <c r="C35" s="10"/>
      <c r="D35" s="9">
        <f>0.5*ERFC((D$32*$D3-$D$28*$D$27)/(SQRT(4*$D$29*D$32*$D$27)))+SQRT($D$28*$D$28*$D$27/(PI()*$D$29*D$32))*EXP(-(D$32*$D3-$D$28*$D$27)*(D$32*$D3-$D$28*$D$27)/(4*$D$29*D$32*$D$27))-0.5*(1+$D$28*$D3/$D$29+$D$28*$D$28*$D$27/$D$29/D$32)*EXP($D$28*$D3/$D$29)*ERFC((D$32*$D3+$D$28*$D$27)/(SQRT(4*$D$29*D$32*$D$27)))</f>
        <v>0.99999099407250247</v>
      </c>
      <c r="E35" s="9" t="e">
        <f>0.5*ERFC((E$32*$D3-$D$28*$D$27)/(SQRT(4*$D$29*E$32*$D$27)))+SQRT($D$28*$D$28*$D$27/(PI()*$D$29*E$32))*EXP(-(E$32*$D3-$D$28*$D$27)*(E$32*$D3-$D$28*$D$27)/(4*$D$29*E$32*$D$27))-0.5*(1+$D$28*$D3/$D$29+$D$28*$D$28*$D$27/$D$29/E$32)*EXP($D$28*$D3/$D$29)*ERFC((E$32*$D3+$D$28*$D$27)/(SQRT(4*$D$29*E$32*$D$27)))</f>
        <v>#VALUE!</v>
      </c>
      <c r="F35" s="9" t="e">
        <f>0.5*ERFC((F$32*$D3-$D$28*$D$27)/(SQRT(4*$D$29*F$32*$D$27)))+SQRT($D$28*$D$28*$D$27/(PI()*$D$29*F$32))*EXP(-(F$32*$D3-$D$28*$D$27)*(F$32*$D3-$D$28*$D$27)/(4*$D$29*F$32*$D$27))-0.5*(1+$D$28*$D3/$D$29+$D$28*$D$28*$D$27/$D$29/F$32)*EXP($D$28*$D3/$D$29)*ERFC((F$32*$D3+$D$28*$D$27)/(SQRT(4*$D$29*F$32*$D$27)))</f>
        <v>#VALUE!</v>
      </c>
      <c r="G35" s="9" t="e">
        <f>0.5*ERFC((G$32*$D3-$D$28*$D$27)/(SQRT(4*$D$29*G$32*$D$27)))+SQRT($D$28*$D$28*$D$27/(PI()*$D$29*G$32))*EXP(-(G$32*$D3-$D$28*$D$27)*(G$32*$D3-$D$28*$D$27)/(4*$D$29*G$32*$D$27))-0.5*(1+$D$28*$D3/$D$29+$D$28*$D$28*$D$27/$D$29/G$32)*EXP($D$28*$D3/$D$29)*ERFC((G$32*$D3+$D$28*$D$27)/(SQRT(4*$D$29*G$32*$D$27)))</f>
        <v>#VALUE!</v>
      </c>
      <c r="H35" s="9" t="e">
        <f t="shared" ref="H35" si="8">0.5*ERFC((H$32*$D3-$D$28*$D$27)/(SQRT(4*$D$29*H$32*$D$27)))+SQRT($D$28*$D$28*$D$27/(PI()*$D$29*H$32))*EXP(-(H$32*$D3-$D$28*$D$27)*(H$32*$D3-$D$28*$D$27)/(4*$D$29*H$32*$D$27))-0.5*(1+$D$28*$D3/$D$29+$D$28*$D$28*$D$27/$D$29/H$32)*EXP($D$28*$D3/$D$29)*ERFC((H$32*$D3+$D$28*$D$27)/(SQRT(4*$D$29*H$32*$D$27)))</f>
        <v>#VALUE!</v>
      </c>
      <c r="I35" s="9" t="e">
        <f>0.5*ERFC((I$32*$D3-$D$28*$D$27)/(SQRT(4*$D$29*I$32*$D$27)))+SQRT($D$28*$D$28*$D$27/(PI()*$D$29*I$32))*EXP(-(I$32*$D3-$D$28*$D$27)*(I$32*$D3-$D$28*$D$27)/(4*$D$29*I$32*$D$27))-0.5*(1+$D$28*$D3/$D$29+$D$28*$D$28*$D$27/$D$29/I$32)*EXP($D$28*$D3/$D$29)*ERFC((I$32*$D3+$D$28*$D$27)/(SQRT(4*$D$29*I$32*$D$27)))</f>
        <v>#VALUE!</v>
      </c>
      <c r="J35" t="s">
        <v>20</v>
      </c>
    </row>
    <row r="36" spans="1:11" x14ac:dyDescent="0.15">
      <c r="B36" s="14" t="s">
        <v>19</v>
      </c>
      <c r="C36" s="10"/>
      <c r="D36" s="3">
        <f>IF(D35&lt;0.000001,0.000001,D35)</f>
        <v>0.99999099407250247</v>
      </c>
      <c r="E36" s="3" t="e">
        <f t="shared" ref="E36:I36" si="9">IF(E35&lt;0.000001,0.000001,E35)</f>
        <v>#VALUE!</v>
      </c>
      <c r="F36" s="3" t="e">
        <f>IF(F35&lt;0.000001,0.000001,F35)</f>
        <v>#VALUE!</v>
      </c>
      <c r="G36" s="3" t="e">
        <f>IF(G35&lt;0.000001,0.000001,G35)</f>
        <v>#VALUE!</v>
      </c>
      <c r="H36" s="3" t="e">
        <f t="shared" si="9"/>
        <v>#VALUE!</v>
      </c>
      <c r="I36" s="3" t="e">
        <f t="shared" si="9"/>
        <v>#VALUE!</v>
      </c>
      <c r="J36" t="s">
        <v>21</v>
      </c>
    </row>
    <row r="38" spans="1:11" x14ac:dyDescent="0.15">
      <c r="A38" t="s">
        <v>123</v>
      </c>
      <c r="D38" s="11" t="str">
        <f>D5</f>
        <v>砒素</v>
      </c>
      <c r="E38" s="11" t="str">
        <f t="shared" ref="E38:I38" si="10">E5</f>
        <v>ふっ素</v>
      </c>
      <c r="F38" s="11" t="str">
        <f t="shared" si="10"/>
        <v>ほう素</v>
      </c>
      <c r="G38" s="11" t="str">
        <f t="shared" si="10"/>
        <v>カドミウム</v>
      </c>
      <c r="H38" s="11" t="str">
        <f t="shared" si="10"/>
        <v>セレン</v>
      </c>
      <c r="I38" s="11" t="str">
        <f t="shared" si="10"/>
        <v>六価クロム</v>
      </c>
    </row>
    <row r="39" spans="1:11" x14ac:dyDescent="0.15">
      <c r="B39" s="10" t="s">
        <v>75</v>
      </c>
      <c r="C39" s="10"/>
      <c r="D39" s="9" t="b">
        <f>NOT(OR(D6="",D8=""))</f>
        <v>1</v>
      </c>
      <c r="E39" s="9" t="b">
        <f t="shared" ref="E39:I39" si="11">NOT(OR(E6="",E8=""))</f>
        <v>0</v>
      </c>
      <c r="F39" s="9" t="b">
        <f>NOT(OR(F6="",F8=""))</f>
        <v>0</v>
      </c>
      <c r="G39" s="9" t="b">
        <f>NOT(OR(G6="",G8=""))</f>
        <v>0</v>
      </c>
      <c r="H39" s="9" t="b">
        <f t="shared" si="11"/>
        <v>0</v>
      </c>
      <c r="I39" s="9" t="b">
        <f t="shared" si="11"/>
        <v>0</v>
      </c>
      <c r="J39" s="49" t="s">
        <v>128</v>
      </c>
    </row>
    <row r="41" spans="1:11" x14ac:dyDescent="0.15">
      <c r="A41" t="s">
        <v>115</v>
      </c>
      <c r="B41" s="10" t="s">
        <v>117</v>
      </c>
      <c r="C41" s="10"/>
      <c r="D41" s="9" t="b">
        <f>IF(0&gt;D6,FALSE,TRUE)</f>
        <v>1</v>
      </c>
      <c r="E41" s="9" t="b">
        <f t="shared" ref="E41:H41" si="12">IF(0&gt;E6,FALSE,TRUE)</f>
        <v>1</v>
      </c>
      <c r="F41" s="9" t="b">
        <f>IF(0&gt;F6,FALSE,TRUE)</f>
        <v>1</v>
      </c>
      <c r="G41" s="9" t="b">
        <f>IF(0&gt;G6,FALSE,TRUE)</f>
        <v>1</v>
      </c>
      <c r="H41" s="9" t="b">
        <f t="shared" si="12"/>
        <v>1</v>
      </c>
      <c r="I41" s="9" t="b">
        <f>IF(0&gt;I6,FALSE,TRUE)</f>
        <v>1</v>
      </c>
      <c r="J41" s="49" t="s">
        <v>140</v>
      </c>
    </row>
    <row r="42" spans="1:11" x14ac:dyDescent="0.15">
      <c r="B42" s="10" t="s">
        <v>162</v>
      </c>
      <c r="C42" s="10"/>
      <c r="D42" s="9" t="b">
        <f>AND(D41=TRUE,E41=TRUE,F41=TRUE,G41=TRUE,H41=TRUE,I41=TRUE)</f>
        <v>1</v>
      </c>
      <c r="J42" s="50" t="s">
        <v>122</v>
      </c>
    </row>
    <row r="43" spans="1:11" x14ac:dyDescent="0.15">
      <c r="A43" s="13" t="s">
        <v>61</v>
      </c>
      <c r="B43" s="10" t="s">
        <v>121</v>
      </c>
      <c r="C43" s="10"/>
      <c r="D43" s="9" t="str">
        <f>IF(D42=FALSE,$J43,"")</f>
        <v/>
      </c>
      <c r="J43" s="50" t="s">
        <v>141</v>
      </c>
      <c r="K43" t="s">
        <v>131</v>
      </c>
    </row>
    <row r="45" spans="1:11" x14ac:dyDescent="0.15">
      <c r="A45" t="s">
        <v>116</v>
      </c>
      <c r="B45" s="10" t="s">
        <v>126</v>
      </c>
      <c r="C45" s="10"/>
      <c r="D45" s="9" t="b">
        <f>IF(D8&gt;D11,TRUE,FALSE)</f>
        <v>1</v>
      </c>
      <c r="E45" s="9" t="b">
        <f t="shared" ref="E45:I45" si="13">IF(E8&gt;E11,TRUE,FALSE)</f>
        <v>1</v>
      </c>
      <c r="F45" s="9" t="b">
        <f>IF(F8&gt;F11,TRUE,FALSE)</f>
        <v>1</v>
      </c>
      <c r="G45" s="9" t="b">
        <f>IF(G8&gt;G11,TRUE,FALSE)</f>
        <v>1</v>
      </c>
      <c r="H45" s="9" t="b">
        <f t="shared" si="13"/>
        <v>1</v>
      </c>
      <c r="I45" s="9" t="b">
        <f t="shared" si="13"/>
        <v>1</v>
      </c>
      <c r="J45" s="49" t="s">
        <v>127</v>
      </c>
    </row>
    <row r="46" spans="1:11" x14ac:dyDescent="0.15">
      <c r="B46" s="10" t="s">
        <v>162</v>
      </c>
      <c r="C46" s="10"/>
      <c r="D46" s="9" t="b">
        <f>AND(D45=TRUE,E45=TRUE,F45=TRUE,G45=TRUE,H45=TRUE,I45=TRUE)</f>
        <v>1</v>
      </c>
      <c r="J46" s="50" t="s">
        <v>122</v>
      </c>
    </row>
    <row r="47" spans="1:11" x14ac:dyDescent="0.15">
      <c r="A47" s="13" t="s">
        <v>61</v>
      </c>
      <c r="B47" s="10" t="s">
        <v>100</v>
      </c>
      <c r="C47" s="10"/>
      <c r="D47" s="9" t="str">
        <f>IF(D46=FALSE,$J47,"")</f>
        <v/>
      </c>
      <c r="J47" s="50" t="s">
        <v>159</v>
      </c>
      <c r="K47" t="s">
        <v>131</v>
      </c>
    </row>
    <row r="49" spans="1:11" x14ac:dyDescent="0.15">
      <c r="A49" t="s">
        <v>116</v>
      </c>
      <c r="B49" s="10" t="s">
        <v>129</v>
      </c>
      <c r="C49" s="10"/>
      <c r="D49" s="9" t="b">
        <f>IF(OR(D12&gt;=D8,D8=""),TRUE,FALSE)</f>
        <v>1</v>
      </c>
      <c r="E49" s="9" t="b">
        <f t="shared" ref="E49:I49" si="14">IF(OR(E12&gt;=E8,E8=""),TRUE,FALSE)</f>
        <v>1</v>
      </c>
      <c r="F49" s="9" t="b">
        <f>IF(OR(F12&gt;=F8,F8=""),TRUE,FALSE)</f>
        <v>1</v>
      </c>
      <c r="G49" s="9" t="b">
        <f>IF(OR(G12&gt;=G8,G8=""),TRUE,FALSE)</f>
        <v>1</v>
      </c>
      <c r="H49" s="9" t="b">
        <f t="shared" si="14"/>
        <v>1</v>
      </c>
      <c r="I49" s="9" t="b">
        <f t="shared" si="14"/>
        <v>1</v>
      </c>
      <c r="J49" s="49" t="s">
        <v>130</v>
      </c>
    </row>
    <row r="50" spans="1:11" x14ac:dyDescent="0.15">
      <c r="B50" s="10" t="s">
        <v>162</v>
      </c>
      <c r="C50" s="10"/>
      <c r="D50" s="9" t="b">
        <f>AND(D49=TRUE,E49=TRUE,F49=TRUE,G49=TRUE,H49=TRUE,I49=TRUE)</f>
        <v>1</v>
      </c>
      <c r="J50" s="50" t="s">
        <v>122</v>
      </c>
    </row>
    <row r="51" spans="1:11" x14ac:dyDescent="0.15">
      <c r="A51" s="13" t="s">
        <v>61</v>
      </c>
      <c r="B51" s="10" t="s">
        <v>100</v>
      </c>
      <c r="C51" s="10"/>
      <c r="D51" s="9" t="str">
        <f>IF(D50=FALSE,$J51,"")</f>
        <v/>
      </c>
      <c r="J51" s="50" t="s">
        <v>160</v>
      </c>
      <c r="K51" t="s">
        <v>131</v>
      </c>
    </row>
    <row r="53" spans="1:11" x14ac:dyDescent="0.15">
      <c r="A53" t="s">
        <v>18</v>
      </c>
      <c r="D53" s="11" t="str">
        <f t="shared" ref="D53:I53" si="15">D5</f>
        <v>砒素</v>
      </c>
      <c r="E53" s="11" t="str">
        <f t="shared" si="15"/>
        <v>ふっ素</v>
      </c>
      <c r="F53" s="11" t="str">
        <f t="shared" si="15"/>
        <v>ほう素</v>
      </c>
      <c r="G53" s="11" t="str">
        <f t="shared" si="15"/>
        <v>カドミウム</v>
      </c>
      <c r="H53" s="11" t="str">
        <f t="shared" si="15"/>
        <v>セレン</v>
      </c>
      <c r="I53" s="11" t="str">
        <f t="shared" si="15"/>
        <v>六価クロム</v>
      </c>
    </row>
    <row r="54" spans="1:11" x14ac:dyDescent="0.15">
      <c r="B54" s="10" t="s">
        <v>74</v>
      </c>
      <c r="C54" s="10" t="s">
        <v>56</v>
      </c>
      <c r="D54" s="2">
        <f>D11/D36</f>
        <v>1.000009006008605E-2</v>
      </c>
      <c r="E54" s="3" t="e">
        <f t="shared" ref="E54:I54" si="16">E11/E36</f>
        <v>#VALUE!</v>
      </c>
      <c r="F54" s="3" t="e">
        <f>F11/F36</f>
        <v>#VALUE!</v>
      </c>
      <c r="G54" s="3" t="e">
        <f>G11/G36</f>
        <v>#VALUE!</v>
      </c>
      <c r="H54" s="3" t="e">
        <f t="shared" si="16"/>
        <v>#VALUE!</v>
      </c>
      <c r="I54" s="3" t="e">
        <f t="shared" si="16"/>
        <v>#VALUE!</v>
      </c>
      <c r="J54" s="51" t="s">
        <v>22</v>
      </c>
    </row>
    <row r="55" spans="1:11" x14ac:dyDescent="0.15">
      <c r="B55" s="10" t="s">
        <v>76</v>
      </c>
      <c r="C55" s="10" t="s">
        <v>56</v>
      </c>
      <c r="D55" s="2">
        <f>IF(D54&gt;D12,D12,D54)</f>
        <v>1.000009006008605E-2</v>
      </c>
      <c r="E55" s="3" t="e">
        <f t="shared" ref="E55:I55" si="17">IF(E54&gt;E12,E12,E54)</f>
        <v>#VALUE!</v>
      </c>
      <c r="F55" s="3" t="e">
        <f>IF(F54&gt;F12,F12,F54)</f>
        <v>#VALUE!</v>
      </c>
      <c r="G55" s="3" t="e">
        <f>IF(G54&gt;G12,G12,G54)</f>
        <v>#VALUE!</v>
      </c>
      <c r="H55" s="3" t="e">
        <f t="shared" si="17"/>
        <v>#VALUE!</v>
      </c>
      <c r="I55" s="3" t="e">
        <f t="shared" si="17"/>
        <v>#VALUE!</v>
      </c>
      <c r="J55" s="49" t="s">
        <v>132</v>
      </c>
    </row>
    <row r="56" spans="1:11" x14ac:dyDescent="0.15">
      <c r="B56" s="10" t="s">
        <v>102</v>
      </c>
      <c r="C56" s="10" t="s">
        <v>56</v>
      </c>
      <c r="D56" s="25">
        <f>ROUNDDOWN(D55,-INT(LOG10(D55))+1)</f>
        <v>0.01</v>
      </c>
      <c r="E56" s="25" t="e">
        <f t="shared" ref="E56:I56" si="18">ROUNDDOWN(E55,-INT(LOG10(E55))+1)</f>
        <v>#VALUE!</v>
      </c>
      <c r="F56" s="25" t="e">
        <f>ROUNDDOWN(F55,-INT(LOG10(F55))+1)</f>
        <v>#VALUE!</v>
      </c>
      <c r="G56" s="25" t="e">
        <f>ROUNDDOWN(G55,-INT(LOG10(G55))+1)</f>
        <v>#VALUE!</v>
      </c>
      <c r="H56" s="25" t="e">
        <f t="shared" si="18"/>
        <v>#VALUE!</v>
      </c>
      <c r="I56" s="25" t="e">
        <f t="shared" si="18"/>
        <v>#VALUE!</v>
      </c>
      <c r="J56" s="49" t="s">
        <v>133</v>
      </c>
    </row>
    <row r="57" spans="1:11" x14ac:dyDescent="0.15">
      <c r="B57" s="10" t="s">
        <v>134</v>
      </c>
      <c r="C57" s="10"/>
      <c r="D57" s="52" t="b">
        <f>AND(D39,D41,D45,D49)</f>
        <v>1</v>
      </c>
      <c r="E57" s="52" t="b">
        <f t="shared" ref="E57:H57" si="19">AND(E39,E41,E45,E49)</f>
        <v>0</v>
      </c>
      <c r="F57" s="52" t="b">
        <f>AND(F39,F41,F45,F49)</f>
        <v>0</v>
      </c>
      <c r="G57" s="52" t="b">
        <f>AND(G39,G41,G45,G49)</f>
        <v>0</v>
      </c>
      <c r="H57" s="52" t="b">
        <f t="shared" si="19"/>
        <v>0</v>
      </c>
      <c r="I57" s="52" t="b">
        <f>AND(I39,I41,I45,I49)</f>
        <v>0</v>
      </c>
      <c r="J57" s="49" t="s">
        <v>136</v>
      </c>
    </row>
    <row r="58" spans="1:11" x14ac:dyDescent="0.15">
      <c r="A58" s="13" t="s">
        <v>61</v>
      </c>
      <c r="B58" s="10" t="s">
        <v>77</v>
      </c>
      <c r="C58" s="10" t="s">
        <v>56</v>
      </c>
      <c r="D58" s="43">
        <f>IF(D57=FALSE,"-",D56)</f>
        <v>0.01</v>
      </c>
      <c r="E58" s="43" t="str">
        <f t="shared" ref="E58:H58" si="20">IF(E57=FALSE,"-",E56)</f>
        <v>-</v>
      </c>
      <c r="F58" s="43" t="str">
        <f t="shared" si="20"/>
        <v>-</v>
      </c>
      <c r="G58" s="43" t="str">
        <f t="shared" si="20"/>
        <v>-</v>
      </c>
      <c r="H58" s="43" t="str">
        <f t="shared" si="20"/>
        <v>-</v>
      </c>
      <c r="I58" s="43" t="str">
        <f>IF(I57=FALSE,"-",I56)</f>
        <v>-</v>
      </c>
      <c r="J58" s="49" t="s">
        <v>135</v>
      </c>
    </row>
    <row r="59" spans="1:11" x14ac:dyDescent="0.15">
      <c r="A59" s="13"/>
      <c r="D59" s="46"/>
      <c r="E59" s="46"/>
      <c r="F59" s="46"/>
      <c r="G59" s="46"/>
      <c r="H59" s="46"/>
      <c r="I59" s="46"/>
    </row>
    <row r="61" spans="1:11" x14ac:dyDescent="0.15">
      <c r="A61" t="s">
        <v>23</v>
      </c>
      <c r="D61" s="11" t="str">
        <f t="shared" ref="D61:I61" si="21">D5</f>
        <v>砒素</v>
      </c>
      <c r="E61" s="11" t="str">
        <f t="shared" si="21"/>
        <v>ふっ素</v>
      </c>
      <c r="F61" s="11" t="str">
        <f t="shared" si="21"/>
        <v>ほう素</v>
      </c>
      <c r="G61" s="11" t="str">
        <f t="shared" si="21"/>
        <v>カドミウム</v>
      </c>
      <c r="H61" s="11" t="str">
        <f t="shared" si="21"/>
        <v>セレン</v>
      </c>
      <c r="I61" s="11" t="str">
        <f t="shared" si="21"/>
        <v>六価クロム</v>
      </c>
    </row>
    <row r="62" spans="1:11" x14ac:dyDescent="0.15">
      <c r="B62" s="14" t="s">
        <v>24</v>
      </c>
      <c r="C62" s="10"/>
      <c r="D62" s="15" t="str">
        <f>IF(D56&lt;D8,"クラス2","クラス1-B")</f>
        <v>クラス2</v>
      </c>
      <c r="E62" s="15" t="e">
        <f t="shared" ref="E62:H62" si="22">IF(E56&lt;E8,"クラス2","クラス1-B")</f>
        <v>#VALUE!</v>
      </c>
      <c r="F62" s="15" t="e">
        <f>IF(F56&lt;F8,"クラス2","クラス1-B")</f>
        <v>#VALUE!</v>
      </c>
      <c r="G62" s="15" t="e">
        <f>IF(G56&lt;G8,"クラス2","クラス1-B")</f>
        <v>#VALUE!</v>
      </c>
      <c r="H62" s="15" t="e">
        <f t="shared" si="22"/>
        <v>#VALUE!</v>
      </c>
      <c r="I62" s="15" t="e">
        <f>IF(I56&lt;I8,"クラス2","クラス1-B")</f>
        <v>#VALUE!</v>
      </c>
      <c r="J62" s="49" t="s">
        <v>137</v>
      </c>
    </row>
    <row r="63" spans="1:11" x14ac:dyDescent="0.15">
      <c r="A63" s="13" t="s">
        <v>61</v>
      </c>
      <c r="B63" s="44" t="s">
        <v>101</v>
      </c>
      <c r="C63" s="11"/>
      <c r="D63" s="42" t="str">
        <f>IF(D57=FALSE,"-",D62)</f>
        <v>クラス2</v>
      </c>
      <c r="E63" s="42" t="str">
        <f t="shared" ref="E63:I63" si="23">IF(E57=FALSE,"-",E62)</f>
        <v>-</v>
      </c>
      <c r="F63" s="42" t="str">
        <f>IF(F57=FALSE,"-",F62)</f>
        <v>-</v>
      </c>
      <c r="G63" s="42" t="str">
        <f>IF(G57=FALSE,"-",G62)</f>
        <v>-</v>
      </c>
      <c r="H63" s="42" t="str">
        <f t="shared" si="23"/>
        <v>-</v>
      </c>
      <c r="I63" s="42" t="str">
        <f t="shared" si="23"/>
        <v>-</v>
      </c>
      <c r="J63" t="s">
        <v>138</v>
      </c>
    </row>
    <row r="64" spans="1:11" x14ac:dyDescent="0.15">
      <c r="B64" s="44" t="s">
        <v>161</v>
      </c>
      <c r="C64" s="11"/>
      <c r="D64" s="45">
        <f>IF(D63="クラス2",1,0)</f>
        <v>1</v>
      </c>
      <c r="E64" s="45">
        <f t="shared" ref="E64:I64" si="24">IF(E63="クラス2",1,0)</f>
        <v>0</v>
      </c>
      <c r="F64" s="45">
        <f>IF(F63="クラス2",1,0)</f>
        <v>0</v>
      </c>
      <c r="G64" s="45">
        <f>IF(G63="クラス2",1,0)</f>
        <v>0</v>
      </c>
      <c r="H64" s="45">
        <f t="shared" si="24"/>
        <v>0</v>
      </c>
      <c r="I64" s="45">
        <f t="shared" si="24"/>
        <v>0</v>
      </c>
    </row>
    <row r="65" spans="1:10" x14ac:dyDescent="0.15">
      <c r="B65" s="10" t="s">
        <v>25</v>
      </c>
      <c r="C65" s="10"/>
      <c r="D65" s="43" t="str">
        <f>IF(SUM(D64:J64)&gt;0,"クラス2（遮水工等の措置が必要）","クラス1-B（遮水工等の措置を必要としない）")</f>
        <v>クラス2（遮水工等の措置が必要）</v>
      </c>
      <c r="J65" t="s">
        <v>99</v>
      </c>
    </row>
    <row r="66" spans="1:10" x14ac:dyDescent="0.15">
      <c r="B66" s="10" t="s">
        <v>162</v>
      </c>
      <c r="C66" s="10"/>
      <c r="D66" s="9" t="b">
        <f>OR(D39=TRUE,E39=TRUE,F39=TRUE,G39=TRUE,H39=TRUE,I39=TRUE)</f>
        <v>1</v>
      </c>
      <c r="J66" t="s">
        <v>139</v>
      </c>
    </row>
    <row r="68" spans="1:10" x14ac:dyDescent="0.15">
      <c r="B68" s="10" t="s">
        <v>163</v>
      </c>
      <c r="C68" s="10"/>
      <c r="D68" s="9" t="b">
        <f>AND(D66,D42,D46,D50)</f>
        <v>1</v>
      </c>
      <c r="J68" t="s">
        <v>165</v>
      </c>
    </row>
    <row r="69" spans="1:10" x14ac:dyDescent="0.15">
      <c r="A69" s="13" t="s">
        <v>61</v>
      </c>
      <c r="B69" s="10" t="s">
        <v>164</v>
      </c>
      <c r="C69" s="10"/>
      <c r="D69" s="43" t="str">
        <f>IF(D68=FALSE,"-",D65)</f>
        <v>クラス2（遮水工等の措置が必要）</v>
      </c>
      <c r="J69" t="s">
        <v>166</v>
      </c>
    </row>
    <row r="72" spans="1:10" ht="14.25" x14ac:dyDescent="0.15">
      <c r="A72" s="5" t="s">
        <v>26</v>
      </c>
      <c r="D72" s="10" t="str">
        <f t="shared" ref="D72:I72" si="25">D5</f>
        <v>砒素</v>
      </c>
      <c r="E72" s="10" t="str">
        <f t="shared" si="25"/>
        <v>ふっ素</v>
      </c>
      <c r="F72" s="10" t="str">
        <f t="shared" si="25"/>
        <v>ほう素</v>
      </c>
      <c r="G72" s="10" t="str">
        <f t="shared" si="25"/>
        <v>カドミウム</v>
      </c>
      <c r="H72" s="10" t="str">
        <f t="shared" si="25"/>
        <v>セレン</v>
      </c>
      <c r="I72" s="10" t="str">
        <f t="shared" si="25"/>
        <v>六価クロム</v>
      </c>
    </row>
    <row r="73" spans="1:10" x14ac:dyDescent="0.15">
      <c r="B73" s="9" t="s">
        <v>30</v>
      </c>
      <c r="C73" s="9"/>
      <c r="D73" s="9">
        <f>$D$3</f>
        <v>0.5</v>
      </c>
      <c r="E73" s="9">
        <f t="shared" ref="E73:H73" si="26">$D$3</f>
        <v>0.5</v>
      </c>
      <c r="F73" s="9">
        <f>$D$3</f>
        <v>0.5</v>
      </c>
      <c r="G73" s="9">
        <f>$D$3</f>
        <v>0.5</v>
      </c>
      <c r="H73" s="9">
        <f t="shared" si="26"/>
        <v>0.5</v>
      </c>
      <c r="I73" s="9">
        <f>$D$3</f>
        <v>0.5</v>
      </c>
    </row>
    <row r="75" spans="1:10" ht="14.25" thickBot="1" x14ac:dyDescent="0.2">
      <c r="A75" t="s">
        <v>15</v>
      </c>
      <c r="B75" s="4" t="s">
        <v>78</v>
      </c>
      <c r="D75" s="7">
        <f t="shared" ref="D75:I75" si="27">D35*D8</f>
        <v>2.5999765845885064E-2</v>
      </c>
      <c r="E75" s="7" t="e">
        <f t="shared" si="27"/>
        <v>#VALUE!</v>
      </c>
      <c r="F75" s="7" t="e">
        <f t="shared" si="27"/>
        <v>#VALUE!</v>
      </c>
      <c r="G75" s="7" t="e">
        <f>G35*G8</f>
        <v>#VALUE!</v>
      </c>
      <c r="H75" s="7" t="e">
        <f t="shared" si="27"/>
        <v>#VALUE!</v>
      </c>
      <c r="I75" s="7" t="e">
        <f t="shared" si="27"/>
        <v>#VALUE!</v>
      </c>
    </row>
    <row r="76" spans="1:10" x14ac:dyDescent="0.15">
      <c r="A76" t="s">
        <v>27</v>
      </c>
      <c r="B76" s="16" t="s">
        <v>80</v>
      </c>
      <c r="C76" s="17"/>
      <c r="D76" s="18">
        <f>IF(D75&lt;D$11,D73,ROUNDDOWN(2*D73,2))</f>
        <v>1</v>
      </c>
      <c r="E76" s="18" t="e">
        <f t="shared" ref="E76:I76" si="28">IF(E75&lt;E$11,E73,ROUNDDOWN(2*E73,2))</f>
        <v>#VALUE!</v>
      </c>
      <c r="F76" s="18" t="e">
        <f t="shared" si="28"/>
        <v>#VALUE!</v>
      </c>
      <c r="G76" s="18" t="e">
        <f>IF(G75&lt;G$11,G73,ROUNDDOWN(2*G73,2))</f>
        <v>#VALUE!</v>
      </c>
      <c r="H76" s="18" t="e">
        <f t="shared" si="28"/>
        <v>#VALUE!</v>
      </c>
      <c r="I76" s="19" t="e">
        <f t="shared" si="28"/>
        <v>#VALUE!</v>
      </c>
    </row>
    <row r="77" spans="1:10" x14ac:dyDescent="0.15">
      <c r="B77" s="27" t="s">
        <v>97</v>
      </c>
      <c r="D77" s="28">
        <f>$D$29</f>
        <v>0.13333333333333336</v>
      </c>
      <c r="E77" s="28">
        <f t="shared" ref="E77:I77" si="29">$D$29</f>
        <v>0.13333333333333336</v>
      </c>
      <c r="F77" s="28">
        <f t="shared" si="29"/>
        <v>0.13333333333333336</v>
      </c>
      <c r="G77" s="28">
        <f>$D$29</f>
        <v>0.13333333333333336</v>
      </c>
      <c r="H77" s="28">
        <f t="shared" si="29"/>
        <v>0.13333333333333336</v>
      </c>
      <c r="I77" s="29">
        <f t="shared" si="29"/>
        <v>0.13333333333333336</v>
      </c>
    </row>
    <row r="78" spans="1:10" x14ac:dyDescent="0.15">
      <c r="B78" s="20" t="s">
        <v>28</v>
      </c>
      <c r="D78" s="9">
        <f>0.5*ERFC((D$32*D76-$D$28*$D$27)/(SQRT(4*D77*D$32*$D$27)))+SQRT($D$28*$D$28*$D$27/(PI()*D77*D$32))*EXP(-(D$32*D76-$D$28*$D$27)*(D$32*D76-$D$28*$D$27)/(4*D77*D$32*$D$27))-0.5*(1+$D$28*D76/D77+$D$28*$D$28*$D$27/D77/D$32)*EXP($D$28*D76/D77)*ERFC((D$32*D76+$D$28*$D$27)/(SQRT(4*D77*D$32*$D$27)))</f>
        <v>0.99942870340183509</v>
      </c>
      <c r="E78" s="9" t="e">
        <f>0.5*ERFC((E$32*E76-$D$28*$D$27)/(SQRT(4*E77*E$32*$D$27)))+SQRT($D$28*$D$28*$D$27/(PI()*E77*E$32))*EXP(-(E$32*E76-$D$28*$D$27)*(E$32*E76-$D$28*$D$27)/(4*E77*E$32*$D$27))-0.5*(1+$D$28*E76/E77+$D$28*$D$28*$D$27/E77/E$32)*EXP($D$28*E76/E77)*ERFC((E$32*E76+$D$28*$D$27)/(SQRT(4*E77*E$32*$D$27)))</f>
        <v>#VALUE!</v>
      </c>
      <c r="F78" s="9" t="e">
        <f t="shared" ref="F78:I78" si="30">0.5*ERFC((F$32*F76-$D$28*$D$27)/(SQRT(4*F77*F$32*$D$27)))+SQRT($D$28*$D$28*$D$27/(PI()*F77*F$32))*EXP(-(F$32*F76-$D$28*$D$27)*(F$32*F76-$D$28*$D$27)/(4*F77*F$32*$D$27))-0.5*(1+$D$28*F76/F77+$D$28*$D$28*$D$27/F77/F$32)*EXP($D$28*F76/F77)*ERFC((F$32*F76+$D$28*$D$27)/(SQRT(4*F77*F$32*$D$27)))</f>
        <v>#VALUE!</v>
      </c>
      <c r="G78" s="9" t="e">
        <f t="shared" si="30"/>
        <v>#VALUE!</v>
      </c>
      <c r="H78" s="9" t="e">
        <f t="shared" si="30"/>
        <v>#VALUE!</v>
      </c>
      <c r="I78" s="21" t="e">
        <f t="shared" si="30"/>
        <v>#VALUE!</v>
      </c>
    </row>
    <row r="79" spans="1:10" ht="14.25" thickBot="1" x14ac:dyDescent="0.2">
      <c r="B79" s="22" t="s">
        <v>29</v>
      </c>
      <c r="C79" s="23"/>
      <c r="D79" s="24">
        <f>D78*D$8</f>
        <v>2.5985146288447711E-2</v>
      </c>
      <c r="E79" s="24" t="e">
        <f t="shared" ref="E79:I79" si="31">E78*E$8</f>
        <v>#VALUE!</v>
      </c>
      <c r="F79" s="24" t="e">
        <f t="shared" si="31"/>
        <v>#VALUE!</v>
      </c>
      <c r="G79" s="24" t="e">
        <f t="shared" si="31"/>
        <v>#VALUE!</v>
      </c>
      <c r="H79" s="24" t="e">
        <f t="shared" si="31"/>
        <v>#VALUE!</v>
      </c>
      <c r="I79" s="30" t="e">
        <f t="shared" si="31"/>
        <v>#VALUE!</v>
      </c>
    </row>
    <row r="80" spans="1:10" x14ac:dyDescent="0.15">
      <c r="B80" s="16" t="s">
        <v>80</v>
      </c>
      <c r="C80" s="17"/>
      <c r="D80" s="18">
        <f>IF(D79&lt;D$11,D76,ROUNDDOWN(2*D76,2))</f>
        <v>2</v>
      </c>
      <c r="E80" s="18" t="e">
        <f t="shared" ref="E80:I80" si="32">IF(E79&lt;E$11,E76,ROUNDDOWN(2*E76,2))</f>
        <v>#VALUE!</v>
      </c>
      <c r="F80" s="18" t="e">
        <f t="shared" si="32"/>
        <v>#VALUE!</v>
      </c>
      <c r="G80" s="18" t="e">
        <f t="shared" si="32"/>
        <v>#VALUE!</v>
      </c>
      <c r="H80" s="18" t="e">
        <f t="shared" si="32"/>
        <v>#VALUE!</v>
      </c>
      <c r="I80" s="19" t="e">
        <f t="shared" si="32"/>
        <v>#VALUE!</v>
      </c>
    </row>
    <row r="81" spans="2:9" x14ac:dyDescent="0.15">
      <c r="B81" s="27" t="s">
        <v>97</v>
      </c>
      <c r="D81" s="28">
        <f>$D$29</f>
        <v>0.13333333333333336</v>
      </c>
      <c r="E81" s="28">
        <f t="shared" ref="E81:I81" si="33">$D$29</f>
        <v>0.13333333333333336</v>
      </c>
      <c r="F81" s="28">
        <f t="shared" si="33"/>
        <v>0.13333333333333336</v>
      </c>
      <c r="G81" s="28">
        <f t="shared" si="33"/>
        <v>0.13333333333333336</v>
      </c>
      <c r="H81" s="28">
        <f t="shared" si="33"/>
        <v>0.13333333333333336</v>
      </c>
      <c r="I81" s="29">
        <f t="shared" si="33"/>
        <v>0.13333333333333336</v>
      </c>
    </row>
    <row r="82" spans="2:9" x14ac:dyDescent="0.15">
      <c r="B82" s="20" t="s">
        <v>28</v>
      </c>
      <c r="D82" s="9">
        <f>0.5*ERFC((D$32*D80-$D$28*$D$27)/(SQRT(4*D81*D$32*$D$27)))+SQRT($D$28*$D$28*$D$27/(PI()*D81*D$32))*EXP(-(D$32*D80-$D$28*$D$27)*(D$32*D80-$D$28*$D$27)/(4*D81*D$32*$D$27))-0.5*(1+$D$28*D80/D81+$D$28*$D$28*$D$27/D81/D$32)*EXP($D$28*D80/D81)*ERFC((D$32*D80+$D$28*$D$27)/(SQRT(4*D81*D$32*$D$27)))</f>
        <v>0.89586930585686231</v>
      </c>
      <c r="E82" s="9" t="e">
        <f>0.5*ERFC((E$32*E80-$D$28*$D$27)/(SQRT(4*E81*E$32*$D$27)))+SQRT($D$28*$D$28*$D$27/(PI()*E81*E$32))*EXP(-(E$32*E80-$D$28*$D$27)*(E$32*E80-$D$28*$D$27)/(4*E81*E$32*$D$27))-0.5*(1+$D$28*E80/E81+$D$28*$D$28*$D$27/E81/E$32)*EXP($D$28*E80/E81)*ERFC((E$32*E80+$D$28*$D$27)/(SQRT(4*E81*E$32*$D$27)))</f>
        <v>#VALUE!</v>
      </c>
      <c r="F82" s="9" t="e">
        <f t="shared" ref="F82:I82" si="34">0.5*ERFC((F$32*F80-$D$28*$D$27)/(SQRT(4*F81*F$32*$D$27)))+SQRT($D$28*$D$28*$D$27/(PI()*F81*F$32))*EXP(-(F$32*F80-$D$28*$D$27)*(F$32*F80-$D$28*$D$27)/(4*F81*F$32*$D$27))-0.5*(1+$D$28*F80/F81+$D$28*$D$28*$D$27/F81/F$32)*EXP($D$28*F80/F81)*ERFC((F$32*F80+$D$28*$D$27)/(SQRT(4*F81*F$32*$D$27)))</f>
        <v>#VALUE!</v>
      </c>
      <c r="G82" s="9" t="e">
        <f>0.5*ERFC((G$32*G80-$D$28*$D$27)/(SQRT(4*G81*G$32*$D$27)))+SQRT($D$28*$D$28*$D$27/(PI()*G81*G$32))*EXP(-(G$32*G80-$D$28*$D$27)*(G$32*G80-$D$28*$D$27)/(4*G81*G$32*$D$27))-0.5*(1+$D$28*G80/G81+$D$28*$D$28*$D$27/G81/G$32)*EXP($D$28*G80/G81)*ERFC((G$32*G80+$D$28*$D$27)/(SQRT(4*G81*G$32*$D$27)))</f>
        <v>#VALUE!</v>
      </c>
      <c r="H82" s="9" t="e">
        <f t="shared" si="34"/>
        <v>#VALUE!</v>
      </c>
      <c r="I82" s="21" t="e">
        <f t="shared" si="34"/>
        <v>#VALUE!</v>
      </c>
    </row>
    <row r="83" spans="2:9" ht="14.25" thickBot="1" x14ac:dyDescent="0.2">
      <c r="B83" s="22" t="s">
        <v>29</v>
      </c>
      <c r="D83" s="26">
        <f>D82*D$8</f>
        <v>2.3292601952278419E-2</v>
      </c>
      <c r="E83" s="26" t="e">
        <f t="shared" ref="E83:I83" si="35">E82*E$8</f>
        <v>#VALUE!</v>
      </c>
      <c r="F83" s="26" t="e">
        <f t="shared" si="35"/>
        <v>#VALUE!</v>
      </c>
      <c r="G83" s="26" t="e">
        <f t="shared" si="35"/>
        <v>#VALUE!</v>
      </c>
      <c r="H83" s="26" t="e">
        <f t="shared" si="35"/>
        <v>#VALUE!</v>
      </c>
      <c r="I83" s="31" t="e">
        <f t="shared" si="35"/>
        <v>#VALUE!</v>
      </c>
    </row>
    <row r="84" spans="2:9" x14ac:dyDescent="0.15">
      <c r="B84" s="16" t="s">
        <v>80</v>
      </c>
      <c r="C84" s="17"/>
      <c r="D84" s="18">
        <f>IF(D83&lt;D$11,D80,ROUNDDOWN(2*D80,2))</f>
        <v>4</v>
      </c>
      <c r="E84" s="18" t="e">
        <f t="shared" ref="E84:I84" si="36">IF(E83&lt;E$11,E80,ROUNDDOWN(2*E80,2))</f>
        <v>#VALUE!</v>
      </c>
      <c r="F84" s="18" t="e">
        <f t="shared" si="36"/>
        <v>#VALUE!</v>
      </c>
      <c r="G84" s="18" t="e">
        <f t="shared" si="36"/>
        <v>#VALUE!</v>
      </c>
      <c r="H84" s="18" t="e">
        <f t="shared" si="36"/>
        <v>#VALUE!</v>
      </c>
      <c r="I84" s="19" t="e">
        <f t="shared" si="36"/>
        <v>#VALUE!</v>
      </c>
    </row>
    <row r="85" spans="2:9" x14ac:dyDescent="0.15">
      <c r="B85" s="27" t="s">
        <v>97</v>
      </c>
      <c r="D85" s="28">
        <f>$D$29</f>
        <v>0.13333333333333336</v>
      </c>
      <c r="E85" s="28">
        <f t="shared" ref="E85:I85" si="37">$D$29</f>
        <v>0.13333333333333336</v>
      </c>
      <c r="F85" s="28">
        <f t="shared" si="37"/>
        <v>0.13333333333333336</v>
      </c>
      <c r="G85" s="28">
        <f t="shared" si="37"/>
        <v>0.13333333333333336</v>
      </c>
      <c r="H85" s="28">
        <f t="shared" si="37"/>
        <v>0.13333333333333336</v>
      </c>
      <c r="I85" s="29">
        <f t="shared" si="37"/>
        <v>0.13333333333333336</v>
      </c>
    </row>
    <row r="86" spans="2:9" x14ac:dyDescent="0.15">
      <c r="B86" s="20" t="s">
        <v>28</v>
      </c>
      <c r="D86" s="9">
        <f>0.5*ERFC((D$32*D84-$D$28*$D$27)/(SQRT(4*D85*D$32*$D$27)))+SQRT($D$28*$D$28*$D$27/(PI()*D85*D$32))*EXP(-(D$32*D84-$D$28*$D$27)*(D$32*D84-$D$28*$D$27)/(4*D85*D$32*$D$27))-0.5*(1+$D$28*D84/D85+$D$28*$D$28*$D$27/D85/D$32)*EXP($D$28*D84/D85)*ERFC((D$32*D84+$D$28*$D$27)/(SQRT(4*D85*D$32*$D$27)))</f>
        <v>3.8713997901287656E-3</v>
      </c>
      <c r="E86" s="9" t="e">
        <f>0.5*ERFC((E$32*E84-$D$28*$D$27)/(SQRT(4*E85*E$32*$D$27)))+SQRT($D$28*$D$28*$D$27/(PI()*E85*E$32))*EXP(-(E$32*E84-$D$28*$D$27)*(E$32*E84-$D$28*$D$27)/(4*E85*E$32*$D$27))-0.5*(1+$D$28*E84/E85+$D$28*$D$28*$D$27/E85/E$32)*EXP($D$28*E84/E85)*ERFC((E$32*E84+$D$28*$D$27)/(SQRT(4*E85*E$32*$D$27)))</f>
        <v>#VALUE!</v>
      </c>
      <c r="F86" s="9" t="e">
        <f t="shared" ref="F86:I86" si="38">0.5*ERFC((F$32*F84-$D$28*$D$27)/(SQRT(4*F85*F$32*$D$27)))+SQRT($D$28*$D$28*$D$27/(PI()*F85*F$32))*EXP(-(F$32*F84-$D$28*$D$27)*(F$32*F84-$D$28*$D$27)/(4*F85*F$32*$D$27))-0.5*(1+$D$28*F84/F85+$D$28*$D$28*$D$27/F85/F$32)*EXP($D$28*F84/F85)*ERFC((F$32*F84+$D$28*$D$27)/(SQRT(4*F85*F$32*$D$27)))</f>
        <v>#VALUE!</v>
      </c>
      <c r="G86" s="9" t="e">
        <f t="shared" si="38"/>
        <v>#VALUE!</v>
      </c>
      <c r="H86" s="9" t="e">
        <f t="shared" si="38"/>
        <v>#VALUE!</v>
      </c>
      <c r="I86" s="21" t="e">
        <f t="shared" si="38"/>
        <v>#VALUE!</v>
      </c>
    </row>
    <row r="87" spans="2:9" ht="14.25" thickBot="1" x14ac:dyDescent="0.2">
      <c r="B87" s="22" t="s">
        <v>29</v>
      </c>
      <c r="D87" s="26">
        <f>D86*D$8</f>
        <v>1.006563945433479E-4</v>
      </c>
      <c r="E87" s="26" t="e">
        <f t="shared" ref="E87:I87" si="39">E86*E$8</f>
        <v>#VALUE!</v>
      </c>
      <c r="F87" s="26" t="e">
        <f t="shared" si="39"/>
        <v>#VALUE!</v>
      </c>
      <c r="G87" s="26" t="e">
        <f t="shared" si="39"/>
        <v>#VALUE!</v>
      </c>
      <c r="H87" s="26" t="e">
        <f t="shared" si="39"/>
        <v>#VALUE!</v>
      </c>
      <c r="I87" s="31" t="e">
        <f t="shared" si="39"/>
        <v>#VALUE!</v>
      </c>
    </row>
    <row r="88" spans="2:9" x14ac:dyDescent="0.15">
      <c r="B88" s="16" t="s">
        <v>80</v>
      </c>
      <c r="C88" s="17"/>
      <c r="D88" s="18">
        <f>IF(D87&lt;D$11,D84,ROUNDDOWN(2*D84,2))</f>
        <v>4</v>
      </c>
      <c r="E88" s="18" t="e">
        <f t="shared" ref="E88:I88" si="40">IF(E87&lt;E$11,E84,ROUNDDOWN(2*E84,2))</f>
        <v>#VALUE!</v>
      </c>
      <c r="F88" s="18" t="e">
        <f t="shared" si="40"/>
        <v>#VALUE!</v>
      </c>
      <c r="G88" s="18" t="e">
        <f t="shared" si="40"/>
        <v>#VALUE!</v>
      </c>
      <c r="H88" s="18" t="e">
        <f t="shared" si="40"/>
        <v>#VALUE!</v>
      </c>
      <c r="I88" s="19" t="e">
        <f t="shared" si="40"/>
        <v>#VALUE!</v>
      </c>
    </row>
    <row r="89" spans="2:9" x14ac:dyDescent="0.15">
      <c r="B89" s="27" t="s">
        <v>97</v>
      </c>
      <c r="D89" s="28">
        <f>$D$29</f>
        <v>0.13333333333333336</v>
      </c>
      <c r="E89" s="28">
        <f t="shared" ref="E89:I89" si="41">$D$29</f>
        <v>0.13333333333333336</v>
      </c>
      <c r="F89" s="28">
        <f t="shared" si="41"/>
        <v>0.13333333333333336</v>
      </c>
      <c r="G89" s="28">
        <f t="shared" si="41"/>
        <v>0.13333333333333336</v>
      </c>
      <c r="H89" s="28">
        <f t="shared" si="41"/>
        <v>0.13333333333333336</v>
      </c>
      <c r="I89" s="29">
        <f t="shared" si="41"/>
        <v>0.13333333333333336</v>
      </c>
    </row>
    <row r="90" spans="2:9" x14ac:dyDescent="0.15">
      <c r="B90" s="20" t="s">
        <v>28</v>
      </c>
      <c r="D90" s="9">
        <f>0.5*ERFC((D$32*D88-$D$28*$D$27)/(SQRT(4*D89*D$32*$D$27)))+SQRT($D$28*$D$28*$D$27/(PI()*D89*D$32))*EXP(-(D$32*D88-$D$28*$D$27)*(D$32*D88-$D$28*$D$27)/(4*D89*D$32*$D$27))-0.5*(1+$D$28*D88/D89+$D$28*$D$28*$D$27/D89/D$32)*EXP($D$28*D88/D89)*ERFC((D$32*D88+$D$28*$D$27)/(SQRT(4*D89*D$32*$D$27)))</f>
        <v>3.8713997901287656E-3</v>
      </c>
      <c r="E90" s="9" t="e">
        <f>0.5*ERFC((E$32*E88-$D$28*$D$27)/(SQRT(4*E89*E$32*$D$27)))+SQRT($D$28*$D$28*$D$27/(PI()*E89*E$32))*EXP(-(E$32*E88-$D$28*$D$27)*(E$32*E88-$D$28*$D$27)/(4*E89*E$32*$D$27))-0.5*(1+$D$28*E88/E89+$D$28*$D$28*$D$27/E89/E$32)*EXP($D$28*E88/E89)*ERFC((E$32*E88+$D$28*$D$27)/(SQRT(4*E89*E$32*$D$27)))</f>
        <v>#VALUE!</v>
      </c>
      <c r="F90" s="9" t="e">
        <f t="shared" ref="F90:I90" si="42">0.5*ERFC((F$32*F88-$D$28*$D$27)/(SQRT(4*F89*F$32*$D$27)))+SQRT($D$28*$D$28*$D$27/(PI()*F89*F$32))*EXP(-(F$32*F88-$D$28*$D$27)*(F$32*F88-$D$28*$D$27)/(4*F89*F$32*$D$27))-0.5*(1+$D$28*F88/F89+$D$28*$D$28*$D$27/F89/F$32)*EXP($D$28*F88/F89)*ERFC((F$32*F88+$D$28*$D$27)/(SQRT(4*F89*F$32*$D$27)))</f>
        <v>#VALUE!</v>
      </c>
      <c r="G90" s="9" t="e">
        <f t="shared" si="42"/>
        <v>#VALUE!</v>
      </c>
      <c r="H90" s="9" t="e">
        <f t="shared" si="42"/>
        <v>#VALUE!</v>
      </c>
      <c r="I90" s="21" t="e">
        <f t="shared" si="42"/>
        <v>#VALUE!</v>
      </c>
    </row>
    <row r="91" spans="2:9" ht="14.25" thickBot="1" x14ac:dyDescent="0.2">
      <c r="B91" s="22" t="s">
        <v>29</v>
      </c>
      <c r="D91" s="26">
        <f>D90*D$8</f>
        <v>1.006563945433479E-4</v>
      </c>
      <c r="E91" s="26" t="e">
        <f t="shared" ref="E91:I91" si="43">E90*E$8</f>
        <v>#VALUE!</v>
      </c>
      <c r="F91" s="26" t="e">
        <f t="shared" si="43"/>
        <v>#VALUE!</v>
      </c>
      <c r="G91" s="26" t="e">
        <f t="shared" si="43"/>
        <v>#VALUE!</v>
      </c>
      <c r="H91" s="26" t="e">
        <f t="shared" si="43"/>
        <v>#VALUE!</v>
      </c>
      <c r="I91" s="31" t="e">
        <f t="shared" si="43"/>
        <v>#VALUE!</v>
      </c>
    </row>
    <row r="92" spans="2:9" x14ac:dyDescent="0.15">
      <c r="B92" s="16" t="s">
        <v>80</v>
      </c>
      <c r="C92" s="17"/>
      <c r="D92" s="18">
        <f>IF(D91&lt;D$11,D88,ROUNDDOWN(2*D88,2))</f>
        <v>4</v>
      </c>
      <c r="E92" s="18" t="e">
        <f t="shared" ref="E92:I92" si="44">IF(E91&lt;E$11,E88,ROUNDDOWN(2*E88,2))</f>
        <v>#VALUE!</v>
      </c>
      <c r="F92" s="18" t="e">
        <f t="shared" si="44"/>
        <v>#VALUE!</v>
      </c>
      <c r="G92" s="18" t="e">
        <f t="shared" si="44"/>
        <v>#VALUE!</v>
      </c>
      <c r="H92" s="18" t="e">
        <f t="shared" si="44"/>
        <v>#VALUE!</v>
      </c>
      <c r="I92" s="19" t="e">
        <f t="shared" si="44"/>
        <v>#VALUE!</v>
      </c>
    </row>
    <row r="93" spans="2:9" x14ac:dyDescent="0.15">
      <c r="B93" s="27" t="s">
        <v>97</v>
      </c>
      <c r="D93" s="28">
        <f>$D$29</f>
        <v>0.13333333333333336</v>
      </c>
      <c r="E93" s="28">
        <f t="shared" ref="E93:I93" si="45">$D$29</f>
        <v>0.13333333333333336</v>
      </c>
      <c r="F93" s="28">
        <f t="shared" si="45"/>
        <v>0.13333333333333336</v>
      </c>
      <c r="G93" s="28">
        <f t="shared" si="45"/>
        <v>0.13333333333333336</v>
      </c>
      <c r="H93" s="28">
        <f t="shared" si="45"/>
        <v>0.13333333333333336</v>
      </c>
      <c r="I93" s="29">
        <f t="shared" si="45"/>
        <v>0.13333333333333336</v>
      </c>
    </row>
    <row r="94" spans="2:9" x14ac:dyDescent="0.15">
      <c r="B94" s="20" t="s">
        <v>28</v>
      </c>
      <c r="D94" s="9">
        <f>0.5*ERFC((D$32*D92-$D$28*$D$27)/(SQRT(4*D93*D$32*$D$27)))+SQRT($D$28*$D$28*$D$27/(PI()*D93*D$32))*EXP(-(D$32*D92-$D$28*$D$27)*(D$32*D92-$D$28*$D$27)/(4*D93*D$32*$D$27))-0.5*(1+$D$28*D92/D93+$D$28*$D$28*$D$27/D93/D$32)*EXP($D$28*D92/D93)*ERFC((D$32*D92+$D$28*$D$27)/(SQRT(4*D93*D$32*$D$27)))</f>
        <v>3.8713997901287656E-3</v>
      </c>
      <c r="E94" s="9" t="e">
        <f>0.5*ERFC((E$32*E92-$D$28*$D$27)/(SQRT(4*E93*E$32*$D$27)))+SQRT($D$28*$D$28*$D$27/(PI()*E93*E$32))*EXP(-(E$32*E92-$D$28*$D$27)*(E$32*E92-$D$28*$D$27)/(4*E93*E$32*$D$27))-0.5*(1+$D$28*E92/E93+$D$28*$D$28*$D$27/E93/E$32)*EXP($D$28*E92/E93)*ERFC((E$32*E92+$D$28*$D$27)/(SQRT(4*E93*E$32*$D$27)))</f>
        <v>#VALUE!</v>
      </c>
      <c r="F94" s="9" t="e">
        <f t="shared" ref="F94:I94" si="46">0.5*ERFC((F$32*F92-$D$28*$D$27)/(SQRT(4*F93*F$32*$D$27)))+SQRT($D$28*$D$28*$D$27/(PI()*F93*F$32))*EXP(-(F$32*F92-$D$28*$D$27)*(F$32*F92-$D$28*$D$27)/(4*F93*F$32*$D$27))-0.5*(1+$D$28*F92/F93+$D$28*$D$28*$D$27/F93/F$32)*EXP($D$28*F92/F93)*ERFC((F$32*F92+$D$28*$D$27)/(SQRT(4*F93*F$32*$D$27)))</f>
        <v>#VALUE!</v>
      </c>
      <c r="G94" s="9" t="e">
        <f t="shared" si="46"/>
        <v>#VALUE!</v>
      </c>
      <c r="H94" s="9" t="e">
        <f t="shared" si="46"/>
        <v>#VALUE!</v>
      </c>
      <c r="I94" s="21" t="e">
        <f t="shared" si="46"/>
        <v>#VALUE!</v>
      </c>
    </row>
    <row r="95" spans="2:9" ht="14.25" thickBot="1" x14ac:dyDescent="0.2">
      <c r="B95" s="22" t="s">
        <v>29</v>
      </c>
      <c r="D95" s="26">
        <f>D94*D$8</f>
        <v>1.006563945433479E-4</v>
      </c>
      <c r="E95" s="26" t="e">
        <f t="shared" ref="E95:I95" si="47">E94*E$8</f>
        <v>#VALUE!</v>
      </c>
      <c r="F95" s="26" t="e">
        <f t="shared" si="47"/>
        <v>#VALUE!</v>
      </c>
      <c r="G95" s="26" t="e">
        <f t="shared" si="47"/>
        <v>#VALUE!</v>
      </c>
      <c r="H95" s="26" t="e">
        <f t="shared" si="47"/>
        <v>#VALUE!</v>
      </c>
      <c r="I95" s="31" t="e">
        <f t="shared" si="47"/>
        <v>#VALUE!</v>
      </c>
    </row>
    <row r="96" spans="2:9" x14ac:dyDescent="0.15">
      <c r="B96" s="16" t="s">
        <v>80</v>
      </c>
      <c r="C96" s="17"/>
      <c r="D96" s="18">
        <f>IF(D95&lt;D$11,D92,ROUNDDOWN(2*D92,2))</f>
        <v>4</v>
      </c>
      <c r="E96" s="18" t="e">
        <f t="shared" ref="E96:I96" si="48">IF(E95&lt;E$11,E92,ROUNDDOWN(2*E92,2))</f>
        <v>#VALUE!</v>
      </c>
      <c r="F96" s="18" t="e">
        <f t="shared" si="48"/>
        <v>#VALUE!</v>
      </c>
      <c r="G96" s="18" t="e">
        <f t="shared" si="48"/>
        <v>#VALUE!</v>
      </c>
      <c r="H96" s="18" t="e">
        <f t="shared" si="48"/>
        <v>#VALUE!</v>
      </c>
      <c r="I96" s="19" t="e">
        <f t="shared" si="48"/>
        <v>#VALUE!</v>
      </c>
    </row>
    <row r="97" spans="2:9" x14ac:dyDescent="0.15">
      <c r="B97" s="27" t="s">
        <v>97</v>
      </c>
      <c r="D97" s="28">
        <f>$D$29</f>
        <v>0.13333333333333336</v>
      </c>
      <c r="E97" s="28">
        <f t="shared" ref="E97:I97" si="49">$D$29</f>
        <v>0.13333333333333336</v>
      </c>
      <c r="F97" s="28">
        <f t="shared" si="49"/>
        <v>0.13333333333333336</v>
      </c>
      <c r="G97" s="28">
        <f t="shared" si="49"/>
        <v>0.13333333333333336</v>
      </c>
      <c r="H97" s="28">
        <f t="shared" si="49"/>
        <v>0.13333333333333336</v>
      </c>
      <c r="I97" s="29">
        <f t="shared" si="49"/>
        <v>0.13333333333333336</v>
      </c>
    </row>
    <row r="98" spans="2:9" x14ac:dyDescent="0.15">
      <c r="B98" s="20" t="s">
        <v>28</v>
      </c>
      <c r="D98" s="9">
        <f>0.5*ERFC((D$32*D96-$D$28*$D$27)/(SQRT(4*D97*D$32*$D$27)))+SQRT($D$28*$D$28*$D$27/(PI()*D97*D$32))*EXP(-(D$32*D96-$D$28*$D$27)*(D$32*D96-$D$28*$D$27)/(4*D97*D$32*$D$27))-0.5*(1+$D$28*D96/D97+$D$28*$D$28*$D$27/D97/D$32)*EXP($D$28*D96/D97)*ERFC((D$32*D96+$D$28*$D$27)/(SQRT(4*D97*D$32*$D$27)))</f>
        <v>3.8713997901287656E-3</v>
      </c>
      <c r="E98" s="9" t="e">
        <f>0.5*ERFC((E$32*E96-$D$28*$D$27)/(SQRT(4*E97*E$32*$D$27)))+SQRT($D$28*$D$28*$D$27/(PI()*E97*E$32))*EXP(-(E$32*E96-$D$28*$D$27)*(E$32*E96-$D$28*$D$27)/(4*E97*E$32*$D$27))-0.5*(1+$D$28*E96/E97+$D$28*$D$28*$D$27/E97/E$32)*EXP($D$28*E96/E97)*ERFC((E$32*E96+$D$28*$D$27)/(SQRT(4*E97*E$32*$D$27)))</f>
        <v>#VALUE!</v>
      </c>
      <c r="F98" s="9" t="e">
        <f t="shared" ref="F98:I98" si="50">0.5*ERFC((F$32*F96-$D$28*$D$27)/(SQRT(4*F97*F$32*$D$27)))+SQRT($D$28*$D$28*$D$27/(PI()*F97*F$32))*EXP(-(F$32*F96-$D$28*$D$27)*(F$32*F96-$D$28*$D$27)/(4*F97*F$32*$D$27))-0.5*(1+$D$28*F96/F97+$D$28*$D$28*$D$27/F97/F$32)*EXP($D$28*F96/F97)*ERFC((F$32*F96+$D$28*$D$27)/(SQRT(4*F97*F$32*$D$27)))</f>
        <v>#VALUE!</v>
      </c>
      <c r="G98" s="9" t="e">
        <f t="shared" si="50"/>
        <v>#VALUE!</v>
      </c>
      <c r="H98" s="9" t="e">
        <f t="shared" si="50"/>
        <v>#VALUE!</v>
      </c>
      <c r="I98" s="21" t="e">
        <f t="shared" si="50"/>
        <v>#VALUE!</v>
      </c>
    </row>
    <row r="99" spans="2:9" ht="14.25" thickBot="1" x14ac:dyDescent="0.2">
      <c r="B99" s="22" t="s">
        <v>29</v>
      </c>
      <c r="D99" s="26">
        <f>D98*D$8</f>
        <v>1.006563945433479E-4</v>
      </c>
      <c r="E99" s="26" t="e">
        <f t="shared" ref="E99:I99" si="51">E98*E$8</f>
        <v>#VALUE!</v>
      </c>
      <c r="F99" s="26" t="e">
        <f t="shared" si="51"/>
        <v>#VALUE!</v>
      </c>
      <c r="G99" s="26" t="e">
        <f t="shared" si="51"/>
        <v>#VALUE!</v>
      </c>
      <c r="H99" s="26" t="e">
        <f t="shared" si="51"/>
        <v>#VALUE!</v>
      </c>
      <c r="I99" s="31" t="e">
        <f t="shared" si="51"/>
        <v>#VALUE!</v>
      </c>
    </row>
    <row r="100" spans="2:9" x14ac:dyDescent="0.15">
      <c r="B100" s="16" t="s">
        <v>80</v>
      </c>
      <c r="C100" s="17"/>
      <c r="D100" s="18">
        <f>IF(D99&lt;D$11,D96,ROUNDDOWN(2*D96,2))</f>
        <v>4</v>
      </c>
      <c r="E100" s="18" t="e">
        <f>IF(E99&lt;E$11,E96,ROUNDDOWN(2*E96,2))</f>
        <v>#VALUE!</v>
      </c>
      <c r="F100" s="18" t="e">
        <f t="shared" ref="F100:I100" si="52">IF(F99&lt;F$11,F96,ROUNDDOWN(2*F96,2))</f>
        <v>#VALUE!</v>
      </c>
      <c r="G100" s="18" t="e">
        <f t="shared" si="52"/>
        <v>#VALUE!</v>
      </c>
      <c r="H100" s="18" t="e">
        <f t="shared" si="52"/>
        <v>#VALUE!</v>
      </c>
      <c r="I100" s="19" t="e">
        <f t="shared" si="52"/>
        <v>#VALUE!</v>
      </c>
    </row>
    <row r="101" spans="2:9" x14ac:dyDescent="0.15">
      <c r="B101" s="27" t="s">
        <v>97</v>
      </c>
      <c r="D101" s="28">
        <f>$D$29</f>
        <v>0.13333333333333336</v>
      </c>
      <c r="E101" s="28">
        <f t="shared" ref="E101:I101" si="53">$D$29</f>
        <v>0.13333333333333336</v>
      </c>
      <c r="F101" s="28">
        <f t="shared" si="53"/>
        <v>0.13333333333333336</v>
      </c>
      <c r="G101" s="28">
        <f t="shared" si="53"/>
        <v>0.13333333333333336</v>
      </c>
      <c r="H101" s="28">
        <f t="shared" si="53"/>
        <v>0.13333333333333336</v>
      </c>
      <c r="I101" s="29">
        <f t="shared" si="53"/>
        <v>0.13333333333333336</v>
      </c>
    </row>
    <row r="102" spans="2:9" x14ac:dyDescent="0.15">
      <c r="B102" s="20" t="s">
        <v>28</v>
      </c>
      <c r="D102" s="9">
        <f>0.5*ERFC((D$32*D100-$D$28*$D$27)/(SQRT(4*D101*D$32*$D$27)))+SQRT($D$28*$D$28*$D$27/(PI()*D101*D$32))*EXP(-(D$32*D100-$D$28*$D$27)*(D$32*D100-$D$28*$D$27)/(4*D101*D$32*$D$27))-0.5*(1+$D$28*D100/D101+$D$28*$D$28*$D$27/D101/D$32)*EXP($D$28*D100/D101)*ERFC((D$32*D100+$D$28*$D$27)/(SQRT(4*D101*D$32*$D$27)))</f>
        <v>3.8713997901287656E-3</v>
      </c>
      <c r="E102" s="9" t="e">
        <f>0.5*ERFC((E$32*E100-$D$28*$D$27)/(SQRT(4*E101*E$32*$D$27)))+SQRT($D$28*$D$28*$D$27/(PI()*E101*E$32))*EXP(-(E$32*E100-$D$28*$D$27)*(E$32*E100-$D$28*$D$27)/(4*E101*E$32*$D$27))-0.5*(1+$D$28*E100/E101+$D$28*$D$28*$D$27/E101/E$32)*EXP($D$28*E100/E101)*ERFC((E$32*E100+$D$28*$D$27)/(SQRT(4*E101*E$32*$D$27)))</f>
        <v>#VALUE!</v>
      </c>
      <c r="F102" s="9" t="e">
        <f t="shared" ref="F102:I102" si="54">0.5*ERFC((F$32*F100-$D$28*$D$27)/(SQRT(4*F101*F$32*$D$27)))+SQRT($D$28*$D$28*$D$27/(PI()*F101*F$32))*EXP(-(F$32*F100-$D$28*$D$27)*(F$32*F100-$D$28*$D$27)/(4*F101*F$32*$D$27))-0.5*(1+$D$28*F100/F101+$D$28*$D$28*$D$27/F101/F$32)*EXP($D$28*F100/F101)*ERFC((F$32*F100+$D$28*$D$27)/(SQRT(4*F101*F$32*$D$27)))</f>
        <v>#VALUE!</v>
      </c>
      <c r="G102" s="9" t="e">
        <f t="shared" si="54"/>
        <v>#VALUE!</v>
      </c>
      <c r="H102" s="9" t="e">
        <f t="shared" si="54"/>
        <v>#VALUE!</v>
      </c>
      <c r="I102" s="21" t="e">
        <f t="shared" si="54"/>
        <v>#VALUE!</v>
      </c>
    </row>
    <row r="103" spans="2:9" ht="14.25" thickBot="1" x14ac:dyDescent="0.2">
      <c r="B103" s="22" t="s">
        <v>29</v>
      </c>
      <c r="C103" s="23"/>
      <c r="D103" s="24">
        <f>D102*D$8</f>
        <v>1.006563945433479E-4</v>
      </c>
      <c r="E103" s="24" t="e">
        <f>E102*E$8</f>
        <v>#VALUE!</v>
      </c>
      <c r="F103" s="24" t="e">
        <f t="shared" ref="F103:I103" si="55">F102*F$8</f>
        <v>#VALUE!</v>
      </c>
      <c r="G103" s="24" t="e">
        <f t="shared" si="55"/>
        <v>#VALUE!</v>
      </c>
      <c r="H103" s="24" t="e">
        <f t="shared" si="55"/>
        <v>#VALUE!</v>
      </c>
      <c r="I103" s="30" t="e">
        <f t="shared" si="55"/>
        <v>#VALUE!</v>
      </c>
    </row>
    <row r="104" spans="2:9" x14ac:dyDescent="0.15">
      <c r="B104" s="16" t="s">
        <v>80</v>
      </c>
      <c r="C104" s="17"/>
      <c r="D104" s="18">
        <f>IF(D103&lt;D$11,D100,ROUNDDOWN(2*D100,2))</f>
        <v>4</v>
      </c>
      <c r="E104" s="18" t="e">
        <f t="shared" ref="E104:I104" si="56">IF(E103&lt;E$11,E100,ROUNDDOWN(2*E100,2))</f>
        <v>#VALUE!</v>
      </c>
      <c r="F104" s="18" t="e">
        <f t="shared" si="56"/>
        <v>#VALUE!</v>
      </c>
      <c r="G104" s="18" t="e">
        <f t="shared" si="56"/>
        <v>#VALUE!</v>
      </c>
      <c r="H104" s="18" t="e">
        <f t="shared" si="56"/>
        <v>#VALUE!</v>
      </c>
      <c r="I104" s="19" t="e">
        <f t="shared" si="56"/>
        <v>#VALUE!</v>
      </c>
    </row>
    <row r="105" spans="2:9" x14ac:dyDescent="0.15">
      <c r="B105" s="27" t="s">
        <v>97</v>
      </c>
      <c r="D105" s="28">
        <f>$D$29</f>
        <v>0.13333333333333336</v>
      </c>
      <c r="E105" s="28">
        <f t="shared" ref="E105:I105" si="57">$D$29</f>
        <v>0.13333333333333336</v>
      </c>
      <c r="F105" s="28">
        <f t="shared" si="57"/>
        <v>0.13333333333333336</v>
      </c>
      <c r="G105" s="28">
        <f t="shared" si="57"/>
        <v>0.13333333333333336</v>
      </c>
      <c r="H105" s="28">
        <f t="shared" si="57"/>
        <v>0.13333333333333336</v>
      </c>
      <c r="I105" s="29">
        <f t="shared" si="57"/>
        <v>0.13333333333333336</v>
      </c>
    </row>
    <row r="106" spans="2:9" x14ac:dyDescent="0.15">
      <c r="B106" s="20" t="s">
        <v>28</v>
      </c>
      <c r="D106" s="9">
        <f>0.5*ERFC((D$32*D104-$D$28*$D$27)/(SQRT(4*D105*D$32*$D$27)))+SQRT($D$28*$D$28*$D$27/(PI()*D105*D$32))*EXP(-(D$32*D104-$D$28*$D$27)*(D$32*D104-$D$28*$D$27)/(4*D105*D$32*$D$27))-0.5*(1+$D$28*D104/D105+$D$28*$D$28*$D$27/D105/D$32)*EXP($D$28*D104/D105)*ERFC((D$32*D104+$D$28*$D$27)/(SQRT(4*D105*D$32*$D$27)))</f>
        <v>3.8713997901287656E-3</v>
      </c>
      <c r="E106" s="9" t="e">
        <f>0.5*ERFC((E$32*E104-$D$28*$D$27)/(SQRT(4*E105*E$32*$D$27)))+SQRT($D$28*$D$28*$D$27/(PI()*E105*E$32))*EXP(-(E$32*E104-$D$28*$D$27)*(E$32*E104-$D$28*$D$27)/(4*E105*E$32*$D$27))-0.5*(1+$D$28*E104/E105+$D$28*$D$28*$D$27/E105/E$32)*EXP($D$28*E104/E105)*ERFC((E$32*E104+$D$28*$D$27)/(SQRT(4*E105*E$32*$D$27)))</f>
        <v>#VALUE!</v>
      </c>
      <c r="F106" s="9" t="e">
        <f t="shared" ref="F106:I106" si="58">0.5*ERFC((F$32*F104-$D$28*$D$27)/(SQRT(4*F105*F$32*$D$27)))+SQRT($D$28*$D$28*$D$27/(PI()*F105*F$32))*EXP(-(F$32*F104-$D$28*$D$27)*(F$32*F104-$D$28*$D$27)/(4*F105*F$32*$D$27))-0.5*(1+$D$28*F104/F105+$D$28*$D$28*$D$27/F105/F$32)*EXP($D$28*F104/F105)*ERFC((F$32*F104+$D$28*$D$27)/(SQRT(4*F105*F$32*$D$27)))</f>
        <v>#VALUE!</v>
      </c>
      <c r="G106" s="9" t="e">
        <f t="shared" si="58"/>
        <v>#VALUE!</v>
      </c>
      <c r="H106" s="9" t="e">
        <f t="shared" si="58"/>
        <v>#VALUE!</v>
      </c>
      <c r="I106" s="21" t="e">
        <f t="shared" si="58"/>
        <v>#VALUE!</v>
      </c>
    </row>
    <row r="107" spans="2:9" ht="14.25" thickBot="1" x14ac:dyDescent="0.2">
      <c r="B107" s="22" t="s">
        <v>29</v>
      </c>
      <c r="C107" s="23"/>
      <c r="D107" s="24">
        <f>D106*D$8</f>
        <v>1.006563945433479E-4</v>
      </c>
      <c r="E107" s="24" t="e">
        <f>E106*E$8</f>
        <v>#VALUE!</v>
      </c>
      <c r="F107" s="24" t="e">
        <f t="shared" ref="F107:I107" si="59">F106*F$8</f>
        <v>#VALUE!</v>
      </c>
      <c r="G107" s="24" t="e">
        <f t="shared" si="59"/>
        <v>#VALUE!</v>
      </c>
      <c r="H107" s="24" t="e">
        <f t="shared" si="59"/>
        <v>#VALUE!</v>
      </c>
      <c r="I107" s="30" t="e">
        <f t="shared" si="59"/>
        <v>#VALUE!</v>
      </c>
    </row>
    <row r="108" spans="2:9" x14ac:dyDescent="0.15">
      <c r="B108" s="16" t="s">
        <v>80</v>
      </c>
      <c r="C108" s="17"/>
      <c r="D108" s="18">
        <f>IF(D107&lt;D$11,D104,ROUNDDOWN(2*D104,2))</f>
        <v>4</v>
      </c>
      <c r="E108" s="18" t="e">
        <f t="shared" ref="E108:I108" si="60">IF(E107&lt;E$11,E104,ROUNDDOWN(2*E104,2))</f>
        <v>#VALUE!</v>
      </c>
      <c r="F108" s="18" t="e">
        <f t="shared" si="60"/>
        <v>#VALUE!</v>
      </c>
      <c r="G108" s="18" t="e">
        <f t="shared" si="60"/>
        <v>#VALUE!</v>
      </c>
      <c r="H108" s="18" t="e">
        <f t="shared" si="60"/>
        <v>#VALUE!</v>
      </c>
      <c r="I108" s="19" t="e">
        <f t="shared" si="60"/>
        <v>#VALUE!</v>
      </c>
    </row>
    <row r="109" spans="2:9" x14ac:dyDescent="0.15">
      <c r="B109" s="27" t="s">
        <v>97</v>
      </c>
      <c r="D109" s="28">
        <f>$D$29</f>
        <v>0.13333333333333336</v>
      </c>
      <c r="E109" s="28">
        <f t="shared" ref="E109:I109" si="61">$D$29</f>
        <v>0.13333333333333336</v>
      </c>
      <c r="F109" s="28">
        <f t="shared" si="61"/>
        <v>0.13333333333333336</v>
      </c>
      <c r="G109" s="28">
        <f t="shared" si="61"/>
        <v>0.13333333333333336</v>
      </c>
      <c r="H109" s="28">
        <f t="shared" si="61"/>
        <v>0.13333333333333336</v>
      </c>
      <c r="I109" s="29">
        <f t="shared" si="61"/>
        <v>0.13333333333333336</v>
      </c>
    </row>
    <row r="110" spans="2:9" x14ac:dyDescent="0.15">
      <c r="B110" s="20" t="s">
        <v>28</v>
      </c>
      <c r="D110" s="9">
        <f>0.5*ERFC((D$32*D108-$D$28*$D$27)/(SQRT(4*D109*D$32*$D$27)))+SQRT($D$28*$D$28*$D$27/(PI()*D109*D$32))*EXP(-(D$32*D108-$D$28*$D$27)*(D$32*D108-$D$28*$D$27)/(4*D109*D$32*$D$27))-0.5*(1+$D$28*D108/D109+$D$28*$D$28*$D$27/D109/D$32)*EXP($D$28*D108/D109)*ERFC((D$32*D108+$D$28*$D$27)/(SQRT(4*D109*D$32*$D$27)))</f>
        <v>3.8713997901287656E-3</v>
      </c>
      <c r="E110" s="9" t="e">
        <f>0.5*ERFC((E$32*E108-$D$28*$D$27)/(SQRT(4*E109*E$32*$D$27)))+SQRT($D$28*$D$28*$D$27/(PI()*E109*E$32))*EXP(-(E$32*E108-$D$28*$D$27)*(E$32*E108-$D$28*$D$27)/(4*E109*E$32*$D$27))-0.5*(1+$D$28*E108/E109+$D$28*$D$28*$D$27/E109/E$32)*EXP($D$28*E108/E109)*ERFC((E$32*E108+$D$28*$D$27)/(SQRT(4*E109*E$32*$D$27)))</f>
        <v>#VALUE!</v>
      </c>
      <c r="F110" s="9" t="e">
        <f t="shared" ref="F110:I110" si="62">0.5*ERFC((F$32*F108-$D$28*$D$27)/(SQRT(4*F109*F$32*$D$27)))+SQRT($D$28*$D$28*$D$27/(PI()*F109*F$32))*EXP(-(F$32*F108-$D$28*$D$27)*(F$32*F108-$D$28*$D$27)/(4*F109*F$32*$D$27))-0.5*(1+$D$28*F108/F109+$D$28*$D$28*$D$27/F109/F$32)*EXP($D$28*F108/F109)*ERFC((F$32*F108+$D$28*$D$27)/(SQRT(4*F109*F$32*$D$27)))</f>
        <v>#VALUE!</v>
      </c>
      <c r="G110" s="9" t="e">
        <f t="shared" si="62"/>
        <v>#VALUE!</v>
      </c>
      <c r="H110" s="9" t="e">
        <f t="shared" si="62"/>
        <v>#VALUE!</v>
      </c>
      <c r="I110" s="21" t="e">
        <f t="shared" si="62"/>
        <v>#VALUE!</v>
      </c>
    </row>
    <row r="111" spans="2:9" ht="14.25" thickBot="1" x14ac:dyDescent="0.2">
      <c r="B111" s="22" t="s">
        <v>29</v>
      </c>
      <c r="C111" s="23"/>
      <c r="D111" s="24">
        <f>D110*D$8</f>
        <v>1.006563945433479E-4</v>
      </c>
      <c r="E111" s="24" t="e">
        <f>E110*E$8</f>
        <v>#VALUE!</v>
      </c>
      <c r="F111" s="24" t="e">
        <f t="shared" ref="F111:I111" si="63">F110*F$8</f>
        <v>#VALUE!</v>
      </c>
      <c r="G111" s="24" t="e">
        <f t="shared" si="63"/>
        <v>#VALUE!</v>
      </c>
      <c r="H111" s="24" t="e">
        <f t="shared" si="63"/>
        <v>#VALUE!</v>
      </c>
      <c r="I111" s="30" t="e">
        <f t="shared" si="63"/>
        <v>#VALUE!</v>
      </c>
    </row>
    <row r="114" spans="1:16" x14ac:dyDescent="0.15">
      <c r="A114" t="s">
        <v>31</v>
      </c>
      <c r="D114" s="10" t="str">
        <f t="shared" ref="D114:I114" si="64">D5</f>
        <v>砒素</v>
      </c>
      <c r="E114" s="10" t="str">
        <f t="shared" si="64"/>
        <v>ふっ素</v>
      </c>
      <c r="F114" s="10" t="str">
        <f t="shared" si="64"/>
        <v>ほう素</v>
      </c>
      <c r="G114" s="10" t="str">
        <f t="shared" si="64"/>
        <v>カドミウム</v>
      </c>
      <c r="H114" s="10" t="str">
        <f t="shared" si="64"/>
        <v>セレン</v>
      </c>
      <c r="I114" s="10" t="str">
        <f t="shared" si="64"/>
        <v>六価クロム</v>
      </c>
    </row>
    <row r="115" spans="1:16" ht="14.25" thickBot="1" x14ac:dyDescent="0.2">
      <c r="B115" s="4" t="s">
        <v>79</v>
      </c>
      <c r="D115" s="40">
        <f t="shared" ref="D115:I115" si="65">D11/D8</f>
        <v>0.38461538461538464</v>
      </c>
      <c r="E115" s="40" t="e">
        <f t="shared" si="65"/>
        <v>#VALUE!</v>
      </c>
      <c r="F115" s="40" t="e">
        <f t="shared" si="65"/>
        <v>#VALUE!</v>
      </c>
      <c r="G115" s="40" t="e">
        <f>G11/G8</f>
        <v>#VALUE!</v>
      </c>
      <c r="H115" s="40" t="e">
        <f t="shared" si="65"/>
        <v>#VALUE!</v>
      </c>
      <c r="I115" s="40" t="e">
        <f t="shared" si="65"/>
        <v>#VALUE!</v>
      </c>
      <c r="K115" s="10" t="str">
        <f t="shared" ref="K115:P115" si="66">D5</f>
        <v>砒素</v>
      </c>
      <c r="L115" s="10" t="str">
        <f t="shared" si="66"/>
        <v>ふっ素</v>
      </c>
      <c r="M115" s="10" t="str">
        <f t="shared" si="66"/>
        <v>ほう素</v>
      </c>
      <c r="N115" s="10" t="str">
        <f t="shared" si="66"/>
        <v>カドミウム</v>
      </c>
      <c r="O115" s="10" t="str">
        <f t="shared" si="66"/>
        <v>セレン</v>
      </c>
      <c r="P115" s="10" t="str">
        <f t="shared" si="66"/>
        <v>六価クロム</v>
      </c>
    </row>
    <row r="116" spans="1:16" x14ac:dyDescent="0.15">
      <c r="B116" s="41" t="s">
        <v>33</v>
      </c>
      <c r="C116" s="17"/>
      <c r="D116" s="17">
        <f>D108</f>
        <v>4</v>
      </c>
      <c r="E116" s="17" t="e">
        <f>E108</f>
        <v>#VALUE!</v>
      </c>
      <c r="F116" s="17" t="e">
        <f t="shared" ref="F116:I116" si="67">F108</f>
        <v>#VALUE!</v>
      </c>
      <c r="G116" s="17" t="e">
        <f>G108</f>
        <v>#VALUE!</v>
      </c>
      <c r="H116" s="17" t="e">
        <f t="shared" si="67"/>
        <v>#VALUE!</v>
      </c>
      <c r="I116" s="33" t="e">
        <f t="shared" si="67"/>
        <v>#VALUE!</v>
      </c>
      <c r="J116" s="2" t="s">
        <v>35</v>
      </c>
      <c r="K116" s="9">
        <f>0.5*ERFC((D$32*D116-$D$28*$D$27)/(SQRT(4*D117*D$32*$D$27)))+SQRT($D$28*$D$28*$D$27/(PI()*D117*D$32))*EXP(-(D$32*D116-$D$28*$D$27)*(D$32*D116-$D$28*$D$27)/(4*D117*D$32*$D$27))-0.5*(1+$D$28*D116/D117+$D$28*$D$28*$D$27/D117/D$32)*EXP($D$28*D116/D117)*ERFC((D$32*D116+$D$28*$D$27)/(SQRT(4*D117*D$32*$D$27)))</f>
        <v>3.8713997901287656E-3</v>
      </c>
      <c r="L116" s="9" t="e">
        <f t="shared" ref="L116:P116" si="68">0.5*ERFC((E$32*E116-$D$28*$D$27)/(SQRT(4*E117*E$32*$D$27)))+SQRT($D$28*$D$28*$D$27/(PI()*E117*E$32))*EXP(-(E$32*E116-$D$28*$D$27)*(E$32*E116-$D$28*$D$27)/(4*E117*E$32*$D$27))-0.5*(1+$D$28*E116/E117+$D$28*$D$28*$D$27/E117/E$32)*EXP($D$28*E116/E117)*ERFC((E$32*E116+$D$28*$D$27)/(SQRT(4*E117*E$32*$D$27)))</f>
        <v>#VALUE!</v>
      </c>
      <c r="M116" s="9" t="e">
        <f t="shared" si="68"/>
        <v>#VALUE!</v>
      </c>
      <c r="N116" s="9" t="e">
        <f t="shared" si="68"/>
        <v>#VALUE!</v>
      </c>
      <c r="O116" s="9" t="e">
        <f t="shared" si="68"/>
        <v>#VALUE!</v>
      </c>
      <c r="P116" s="9" t="e">
        <f t="shared" si="68"/>
        <v>#VALUE!</v>
      </c>
    </row>
    <row r="117" spans="1:16" ht="14.25" thickBot="1" x14ac:dyDescent="0.2">
      <c r="B117" s="34" t="s">
        <v>97</v>
      </c>
      <c r="C117" s="23"/>
      <c r="D117" s="23">
        <f>$D$29</f>
        <v>0.13333333333333336</v>
      </c>
      <c r="E117" s="23">
        <f t="shared" ref="E117:I157" si="69">$D$29</f>
        <v>0.13333333333333336</v>
      </c>
      <c r="F117" s="23">
        <f t="shared" si="69"/>
        <v>0.13333333333333336</v>
      </c>
      <c r="G117" s="23">
        <f>$D$29</f>
        <v>0.13333333333333336</v>
      </c>
      <c r="H117" s="23">
        <f t="shared" si="69"/>
        <v>0.13333333333333336</v>
      </c>
      <c r="I117" s="38">
        <f t="shared" si="69"/>
        <v>0.13333333333333336</v>
      </c>
    </row>
    <row r="118" spans="1:16" x14ac:dyDescent="0.15">
      <c r="B118" s="32" t="s">
        <v>32</v>
      </c>
      <c r="C118" s="17"/>
      <c r="D118" s="17">
        <f t="shared" ref="D118:I118" si="70">D116/2</f>
        <v>2</v>
      </c>
      <c r="E118" s="17" t="e">
        <f t="shared" si="70"/>
        <v>#VALUE!</v>
      </c>
      <c r="F118" s="17" t="e">
        <f t="shared" si="70"/>
        <v>#VALUE!</v>
      </c>
      <c r="G118" s="17" t="e">
        <f>G116/2</f>
        <v>#VALUE!</v>
      </c>
      <c r="H118" s="17" t="e">
        <f t="shared" si="70"/>
        <v>#VALUE!</v>
      </c>
      <c r="I118" s="33" t="e">
        <f t="shared" si="70"/>
        <v>#VALUE!</v>
      </c>
      <c r="J118" s="2" t="s">
        <v>35</v>
      </c>
      <c r="K118" s="9">
        <f>0.5*ERFC((D$32*D118-$D$28*$D$27)/(SQRT(4*D119*D$32*$D$27)))+SQRT($D$28*$D$28*$D$27/(PI()*D119*D$32))*EXP(-(D$32*D118-$D$28*$D$27)*(D$32*D118-$D$28*$D$27)/(4*D119*D$32*$D$27))-0.5*(1+$D$28*D118/D119+$D$28*$D$28*$D$27/D119/D$32)*EXP($D$28*D118/D119)*ERFC((D$32*D118+$D$28*$D$27)/(SQRT(4*D119*D$32*$D$27)))</f>
        <v>0.89586930585686231</v>
      </c>
      <c r="L118" s="9" t="e">
        <f t="shared" ref="L118:P118" si="71">0.5*ERFC((E$32*E118-$D$28*$D$27)/(SQRT(4*E119*E$32*$D$27)))+SQRT($D$28*$D$28*$D$27/(PI()*E119*E$32))*EXP(-(E$32*E118-$D$28*$D$27)*(E$32*E118-$D$28*$D$27)/(4*E119*E$32*$D$27))-0.5*(1+$D$28*E118/E119+$D$28*$D$28*$D$27/E119/E$32)*EXP($D$28*E118/E119)*ERFC((E$32*E118+$D$28*$D$27)/(SQRT(4*E119*E$32*$D$27)))</f>
        <v>#VALUE!</v>
      </c>
      <c r="M118" s="9" t="e">
        <f t="shared" si="71"/>
        <v>#VALUE!</v>
      </c>
      <c r="N118" s="9" t="e">
        <f t="shared" si="71"/>
        <v>#VALUE!</v>
      </c>
      <c r="O118" s="9" t="e">
        <f t="shared" si="71"/>
        <v>#VALUE!</v>
      </c>
      <c r="P118" s="9" t="e">
        <f t="shared" si="71"/>
        <v>#VALUE!</v>
      </c>
    </row>
    <row r="119" spans="1:16" ht="14.25" thickBot="1" x14ac:dyDescent="0.2">
      <c r="B119" s="37" t="s">
        <v>97</v>
      </c>
      <c r="C119" s="23"/>
      <c r="D119" s="23">
        <f>$D$29</f>
        <v>0.13333333333333336</v>
      </c>
      <c r="E119" s="23">
        <f t="shared" si="69"/>
        <v>0.13333333333333336</v>
      </c>
      <c r="F119" s="23">
        <f t="shared" si="69"/>
        <v>0.13333333333333336</v>
      </c>
      <c r="G119" s="23">
        <f>$D$29</f>
        <v>0.13333333333333336</v>
      </c>
      <c r="H119" s="23">
        <f t="shared" si="69"/>
        <v>0.13333333333333336</v>
      </c>
      <c r="I119" s="38">
        <f t="shared" si="69"/>
        <v>0.13333333333333336</v>
      </c>
    </row>
    <row r="120" spans="1:16" x14ac:dyDescent="0.15">
      <c r="B120" s="35" t="s">
        <v>81</v>
      </c>
      <c r="D120">
        <f>IF(K118&lt;D$115,D118-ABS(D116-D118)/2,D118+ABS(D116-D118)/2)</f>
        <v>3</v>
      </c>
      <c r="E120" t="e">
        <f t="shared" ref="E120:I120" si="72">IF(L118&lt;E$115,E118-ABS(E116-E118)/2,E118+ABS(E116-E118)/2)</f>
        <v>#VALUE!</v>
      </c>
      <c r="F120" t="e">
        <f t="shared" si="72"/>
        <v>#VALUE!</v>
      </c>
      <c r="G120" t="e">
        <f t="shared" si="72"/>
        <v>#VALUE!</v>
      </c>
      <c r="H120" t="e">
        <f t="shared" si="72"/>
        <v>#VALUE!</v>
      </c>
      <c r="I120" s="36" t="e">
        <f t="shared" si="72"/>
        <v>#VALUE!</v>
      </c>
      <c r="J120" s="6" t="s">
        <v>35</v>
      </c>
      <c r="K120" s="9">
        <f>0.5*ERFC((D$32*D120-$D$28*$D$27)/(SQRT(4*D121*D$32*$D$27)))+SQRT($D$28*$D$28*$D$27/(PI()*D121*D$32))*EXP(-(D$32*D120-$D$28*$D$27)*(D$32*D120-$D$28*$D$27)/(4*D121*D$32*$D$27))-0.5*(1+$D$28*D120/D121+$D$28*$D$28*$D$27/D121/D$32)*EXP($D$28*D120/D121)*ERFC((D$32*D120+$D$28*$D$27)/(SQRT(4*D121*D$32*$D$27)))</f>
        <v>0.23971156636522561</v>
      </c>
      <c r="L120" s="9" t="e">
        <f t="shared" ref="L120:P120" si="73">0.5*ERFC((E$32*E120-$D$28*$D$27)/(SQRT(4*E121*E$32*$D$27)))+SQRT($D$28*$D$28*$D$27/(PI()*E121*E$32))*EXP(-(E$32*E120-$D$28*$D$27)*(E$32*E120-$D$28*$D$27)/(4*E121*E$32*$D$27))-0.5*(1+$D$28*E120/E121+$D$28*$D$28*$D$27/E121/E$32)*EXP($D$28*E120/E121)*ERFC((E$32*E120+$D$28*$D$27)/(SQRT(4*E121*E$32*$D$27)))</f>
        <v>#VALUE!</v>
      </c>
      <c r="M120" s="9" t="e">
        <f t="shared" si="73"/>
        <v>#VALUE!</v>
      </c>
      <c r="N120" s="9" t="e">
        <f t="shared" si="73"/>
        <v>#VALUE!</v>
      </c>
      <c r="O120" s="9" t="e">
        <f t="shared" si="73"/>
        <v>#VALUE!</v>
      </c>
      <c r="P120" s="9" t="e">
        <f t="shared" si="73"/>
        <v>#VALUE!</v>
      </c>
    </row>
    <row r="121" spans="1:16" ht="14.25" thickBot="1" x14ac:dyDescent="0.2">
      <c r="B121" s="37" t="s">
        <v>97</v>
      </c>
      <c r="C121" s="23"/>
      <c r="D121" s="23">
        <f>$D$29</f>
        <v>0.13333333333333336</v>
      </c>
      <c r="E121" s="23">
        <f t="shared" si="69"/>
        <v>0.13333333333333336</v>
      </c>
      <c r="F121" s="23">
        <f t="shared" si="69"/>
        <v>0.13333333333333336</v>
      </c>
      <c r="G121" s="23">
        <f t="shared" si="69"/>
        <v>0.13333333333333336</v>
      </c>
      <c r="H121" s="23">
        <f t="shared" si="69"/>
        <v>0.13333333333333336</v>
      </c>
      <c r="I121" s="38">
        <f t="shared" si="69"/>
        <v>0.13333333333333336</v>
      </c>
    </row>
    <row r="122" spans="1:16" x14ac:dyDescent="0.15">
      <c r="B122" s="32" t="s">
        <v>34</v>
      </c>
      <c r="C122" s="17"/>
      <c r="D122" s="17">
        <f>IF(K120&lt;D$115,D120-ABS(D118-D120)/2,D120+ABS(D118-D120)/2)</f>
        <v>2.5</v>
      </c>
      <c r="E122" s="17" t="e">
        <f t="shared" ref="E122:I122" si="74">IF(L120&lt;E$115,E120-ABS(E118-E120)/2,E120+ABS(E118-E120)/2)</f>
        <v>#VALUE!</v>
      </c>
      <c r="F122" s="17" t="e">
        <f t="shared" si="74"/>
        <v>#VALUE!</v>
      </c>
      <c r="G122" s="17" t="e">
        <f t="shared" si="74"/>
        <v>#VALUE!</v>
      </c>
      <c r="H122" s="17" t="e">
        <f t="shared" si="74"/>
        <v>#VALUE!</v>
      </c>
      <c r="I122" s="33" t="e">
        <f t="shared" si="74"/>
        <v>#VALUE!</v>
      </c>
      <c r="J122" s="6" t="s">
        <v>35</v>
      </c>
      <c r="K122" s="9">
        <f>0.5*ERFC((D$32*D122-$D$28*$D$27)/(SQRT(4*D123*D$32*$D$27)))+SQRT($D$28*$D$28*$D$27/(PI()*D123*D$32))*EXP(-(D$32*D122-$D$28*$D$27)*(D$32*D122-$D$28*$D$27)/(4*D123*D$32*$D$27))-0.5*(1+$D$28*D122/D123+$D$28*$D$28*$D$27/D123/D$32)*EXP($D$28*D122/D123)*ERFC((D$32*D122+$D$28*$D$27)/(SQRT(4*D123*D$32*$D$27)))</f>
        <v>0.60785719670975213</v>
      </c>
      <c r="L122" s="9" t="e">
        <f t="shared" ref="L122:P122" si="75">0.5*ERFC((E$32*E122-$D$28*$D$27)/(SQRT(4*E123*E$32*$D$27)))+SQRT($D$28*$D$28*$D$27/(PI()*E123*E$32))*EXP(-(E$32*E122-$D$28*$D$27)*(E$32*E122-$D$28*$D$27)/(4*E123*E$32*$D$27))-0.5*(1+$D$28*E122/E123+$D$28*$D$28*$D$27/E123/E$32)*EXP($D$28*E122/E123)*ERFC((E$32*E122+$D$28*$D$27)/(SQRT(4*E123*E$32*$D$27)))</f>
        <v>#VALUE!</v>
      </c>
      <c r="M122" s="9" t="e">
        <f t="shared" si="75"/>
        <v>#VALUE!</v>
      </c>
      <c r="N122" s="9" t="e">
        <f t="shared" si="75"/>
        <v>#VALUE!</v>
      </c>
      <c r="O122" s="9" t="e">
        <f t="shared" si="75"/>
        <v>#VALUE!</v>
      </c>
      <c r="P122" s="9" t="e">
        <f t="shared" si="75"/>
        <v>#VALUE!</v>
      </c>
    </row>
    <row r="123" spans="1:16" ht="14.25" thickBot="1" x14ac:dyDescent="0.2">
      <c r="B123" s="37" t="s">
        <v>97</v>
      </c>
      <c r="C123" s="23"/>
      <c r="D123" s="23">
        <f>$D$29</f>
        <v>0.13333333333333336</v>
      </c>
      <c r="E123" s="23">
        <f t="shared" si="69"/>
        <v>0.13333333333333336</v>
      </c>
      <c r="F123" s="23">
        <f t="shared" si="69"/>
        <v>0.13333333333333336</v>
      </c>
      <c r="G123" s="23">
        <f t="shared" si="69"/>
        <v>0.13333333333333336</v>
      </c>
      <c r="H123" s="23">
        <f t="shared" si="69"/>
        <v>0.13333333333333336</v>
      </c>
      <c r="I123" s="38">
        <f t="shared" si="69"/>
        <v>0.13333333333333336</v>
      </c>
    </row>
    <row r="124" spans="1:16" x14ac:dyDescent="0.15">
      <c r="B124" s="32" t="s">
        <v>36</v>
      </c>
      <c r="C124" s="17"/>
      <c r="D124" s="17">
        <f>IF(K122&lt;D$115,D122-ABS(D120-D122)/2,D122+ABS(D120-D122)/2)</f>
        <v>2.75</v>
      </c>
      <c r="E124" s="17" t="e">
        <f t="shared" ref="E124:I124" si="76">IF(L122&lt;E$115,E122-ABS(E120-E122)/2,E122+ABS(E120-E122)/2)</f>
        <v>#VALUE!</v>
      </c>
      <c r="F124" s="17" t="e">
        <f t="shared" si="76"/>
        <v>#VALUE!</v>
      </c>
      <c r="G124" s="17" t="e">
        <f t="shared" si="76"/>
        <v>#VALUE!</v>
      </c>
      <c r="H124" s="17" t="e">
        <f t="shared" si="76"/>
        <v>#VALUE!</v>
      </c>
      <c r="I124" s="33" t="e">
        <f t="shared" si="76"/>
        <v>#VALUE!</v>
      </c>
      <c r="J124" s="6" t="s">
        <v>35</v>
      </c>
      <c r="K124" s="9">
        <f>0.5*ERFC((D$32*D124-$D$28*$D$27)/(SQRT(4*D125*D$32*$D$27)))+SQRT($D$28*$D$28*$D$27/(PI()*D125*D$32))*EXP(-(D$32*D124-$D$28*$D$27)*(D$32*D124-$D$28*$D$27)/(4*D125*D$32*$D$27))-0.5*(1+$D$28*D124/D125+$D$28*$D$28*$D$27/D125/D$32)*EXP($D$28*D124/D125)*ERFC((D$32*D124+$D$28*$D$27)/(SQRT(4*D125*D$32*$D$27)))</f>
        <v>0.414065980561789</v>
      </c>
      <c r="L124" s="9" t="e">
        <f t="shared" ref="L124:P124" si="77">0.5*ERFC((E$32*E124-$D$28*$D$27)/(SQRT(4*E125*E$32*$D$27)))+SQRT($D$28*$D$28*$D$27/(PI()*E125*E$32))*EXP(-(E$32*E124-$D$28*$D$27)*(E$32*E124-$D$28*$D$27)/(4*E125*E$32*$D$27))-0.5*(1+$D$28*E124/E125+$D$28*$D$28*$D$27/E125/E$32)*EXP($D$28*E124/E125)*ERFC((E$32*E124+$D$28*$D$27)/(SQRT(4*E125*E$32*$D$27)))</f>
        <v>#VALUE!</v>
      </c>
      <c r="M124" s="9" t="e">
        <f t="shared" si="77"/>
        <v>#VALUE!</v>
      </c>
      <c r="N124" s="9" t="e">
        <f t="shared" si="77"/>
        <v>#VALUE!</v>
      </c>
      <c r="O124" s="9" t="e">
        <f t="shared" si="77"/>
        <v>#VALUE!</v>
      </c>
      <c r="P124" s="9" t="e">
        <f t="shared" si="77"/>
        <v>#VALUE!</v>
      </c>
    </row>
    <row r="125" spans="1:16" ht="14.25" thickBot="1" x14ac:dyDescent="0.2">
      <c r="B125" s="37" t="s">
        <v>97</v>
      </c>
      <c r="C125" s="23"/>
      <c r="D125" s="23">
        <f>$D$29</f>
        <v>0.13333333333333336</v>
      </c>
      <c r="E125" s="23">
        <f t="shared" si="69"/>
        <v>0.13333333333333336</v>
      </c>
      <c r="F125" s="23">
        <f t="shared" si="69"/>
        <v>0.13333333333333336</v>
      </c>
      <c r="G125" s="23">
        <f t="shared" si="69"/>
        <v>0.13333333333333336</v>
      </c>
      <c r="H125" s="23">
        <f t="shared" si="69"/>
        <v>0.13333333333333336</v>
      </c>
      <c r="I125" s="38">
        <f t="shared" si="69"/>
        <v>0.13333333333333336</v>
      </c>
    </row>
    <row r="126" spans="1:16" x14ac:dyDescent="0.15">
      <c r="B126" s="32" t="s">
        <v>82</v>
      </c>
      <c r="C126" s="17"/>
      <c r="D126" s="17">
        <f>IF(K124&lt;D$115,D124-ABS(D122-D124)/2,D124+ABS(D122-D124)/2)</f>
        <v>2.875</v>
      </c>
      <c r="E126" s="17" t="e">
        <f t="shared" ref="E126:I126" si="78">IF(L124&lt;E$115,E124-ABS(E122-E124)/2,E124+ABS(E122-E124)/2)</f>
        <v>#VALUE!</v>
      </c>
      <c r="F126" s="17" t="e">
        <f t="shared" si="78"/>
        <v>#VALUE!</v>
      </c>
      <c r="G126" s="17" t="e">
        <f t="shared" si="78"/>
        <v>#VALUE!</v>
      </c>
      <c r="H126" s="17" t="e">
        <f t="shared" si="78"/>
        <v>#VALUE!</v>
      </c>
      <c r="I126" s="33" t="e">
        <f t="shared" si="78"/>
        <v>#VALUE!</v>
      </c>
      <c r="J126" s="6" t="s">
        <v>35</v>
      </c>
      <c r="K126" s="9">
        <f>0.5*ERFC((D$32*D126-$D$28*$D$27)/(SQRT(4*D127*D$32*$D$27)))+SQRT($D$28*$D$28*$D$27/(PI()*D127*D$32))*EXP(-(D$32*D126-$D$28*$D$27)*(D$32*D126-$D$28*$D$27)/(4*D127*D$32*$D$27))-0.5*(1+$D$28*D126/D127+$D$28*$D$28*$D$27/D127/D$32)*EXP($D$28*D126/D127)*ERFC((D$32*D126+$D$28*$D$27)/(SQRT(4*D127*D$32*$D$27)))</f>
        <v>0.32195369609951818</v>
      </c>
      <c r="L126" s="9" t="e">
        <f t="shared" ref="L126:P126" si="79">0.5*ERFC((E$32*E126-$D$28*$D$27)/(SQRT(4*E127*E$32*$D$27)))+SQRT($D$28*$D$28*$D$27/(PI()*E127*E$32))*EXP(-(E$32*E126-$D$28*$D$27)*(E$32*E126-$D$28*$D$27)/(4*E127*E$32*$D$27))-0.5*(1+$D$28*E126/E127+$D$28*$D$28*$D$27/E127/E$32)*EXP($D$28*E126/E127)*ERFC((E$32*E126+$D$28*$D$27)/(SQRT(4*E127*E$32*$D$27)))</f>
        <v>#VALUE!</v>
      </c>
      <c r="M126" s="9" t="e">
        <f t="shared" si="79"/>
        <v>#VALUE!</v>
      </c>
      <c r="N126" s="9" t="e">
        <f t="shared" si="79"/>
        <v>#VALUE!</v>
      </c>
      <c r="O126" s="9" t="e">
        <f t="shared" si="79"/>
        <v>#VALUE!</v>
      </c>
      <c r="P126" s="9" t="e">
        <f t="shared" si="79"/>
        <v>#VALUE!</v>
      </c>
    </row>
    <row r="127" spans="1:16" ht="14.25" thickBot="1" x14ac:dyDescent="0.2">
      <c r="B127" s="37" t="s">
        <v>97</v>
      </c>
      <c r="C127" s="23"/>
      <c r="D127" s="23">
        <f>$D$29</f>
        <v>0.13333333333333336</v>
      </c>
      <c r="E127" s="23">
        <f t="shared" si="69"/>
        <v>0.13333333333333336</v>
      </c>
      <c r="F127" s="23">
        <f t="shared" si="69"/>
        <v>0.13333333333333336</v>
      </c>
      <c r="G127" s="23">
        <f t="shared" si="69"/>
        <v>0.13333333333333336</v>
      </c>
      <c r="H127" s="23">
        <f t="shared" si="69"/>
        <v>0.13333333333333336</v>
      </c>
      <c r="I127" s="38">
        <f t="shared" si="69"/>
        <v>0.13333333333333336</v>
      </c>
    </row>
    <row r="128" spans="1:16" x14ac:dyDescent="0.15">
      <c r="B128" s="32" t="s">
        <v>83</v>
      </c>
      <c r="C128" s="17"/>
      <c r="D128" s="17">
        <f>IF(K126&lt;D$115,D126-ABS(D124-D126)/2,D126+ABS(D124-D126)/2)</f>
        <v>2.8125</v>
      </c>
      <c r="E128" s="17" t="e">
        <f t="shared" ref="E128:I128" si="80">IF(L126&lt;E$115,E126-ABS(E124-E126)/2,E126+ABS(E124-E126)/2)</f>
        <v>#VALUE!</v>
      </c>
      <c r="F128" s="17" t="e">
        <f t="shared" si="80"/>
        <v>#VALUE!</v>
      </c>
      <c r="G128" s="17" t="e">
        <f t="shared" si="80"/>
        <v>#VALUE!</v>
      </c>
      <c r="H128" s="17" t="e">
        <f t="shared" si="80"/>
        <v>#VALUE!</v>
      </c>
      <c r="I128" s="33" t="e">
        <f t="shared" si="80"/>
        <v>#VALUE!</v>
      </c>
      <c r="J128" s="6" t="s">
        <v>35</v>
      </c>
      <c r="K128" s="9">
        <f>0.5*ERFC((D$32*D128-$D$28*$D$27)/(SQRT(4*D129*D$32*$D$27)))+SQRT($D$28*$D$28*$D$27/(PI()*D129*D$32))*EXP(-(D$32*D128-$D$28*$D$27)*(D$32*D128-$D$28*$D$27)/(4*D129*D$32*$D$27))-0.5*(1+$D$28*D128/D129+$D$28*$D$28*$D$27/D129/D$32)*EXP($D$28*D128/D129)*ERFC((D$32*D128+$D$28*$D$27)/(SQRT(4*D129*D$32*$D$27)))</f>
        <v>0.36704464154538075</v>
      </c>
      <c r="L128" s="9" t="e">
        <f t="shared" ref="L128:P128" si="81">0.5*ERFC((E$32*E128-$D$28*$D$27)/(SQRT(4*E129*E$32*$D$27)))+SQRT($D$28*$D$28*$D$27/(PI()*E129*E$32))*EXP(-(E$32*E128-$D$28*$D$27)*(E$32*E128-$D$28*$D$27)/(4*E129*E$32*$D$27))-0.5*(1+$D$28*E128/E129+$D$28*$D$28*$D$27/E129/E$32)*EXP($D$28*E128/E129)*ERFC((E$32*E128+$D$28*$D$27)/(SQRT(4*E129*E$32*$D$27)))</f>
        <v>#VALUE!</v>
      </c>
      <c r="M128" s="9" t="e">
        <f t="shared" si="81"/>
        <v>#VALUE!</v>
      </c>
      <c r="N128" s="9" t="e">
        <f t="shared" si="81"/>
        <v>#VALUE!</v>
      </c>
      <c r="O128" s="9" t="e">
        <f t="shared" si="81"/>
        <v>#VALUE!</v>
      </c>
      <c r="P128" s="9" t="e">
        <f t="shared" si="81"/>
        <v>#VALUE!</v>
      </c>
    </row>
    <row r="129" spans="2:16" ht="14.25" thickBot="1" x14ac:dyDescent="0.2">
      <c r="B129" s="37" t="s">
        <v>97</v>
      </c>
      <c r="C129" s="23"/>
      <c r="D129" s="23">
        <f>$D$29</f>
        <v>0.13333333333333336</v>
      </c>
      <c r="E129" s="23">
        <f t="shared" si="69"/>
        <v>0.13333333333333336</v>
      </c>
      <c r="F129" s="23">
        <f t="shared" si="69"/>
        <v>0.13333333333333336</v>
      </c>
      <c r="G129" s="23">
        <f t="shared" si="69"/>
        <v>0.13333333333333336</v>
      </c>
      <c r="H129" s="23">
        <f t="shared" si="69"/>
        <v>0.13333333333333336</v>
      </c>
      <c r="I129" s="38">
        <f t="shared" si="69"/>
        <v>0.13333333333333336</v>
      </c>
    </row>
    <row r="130" spans="2:16" x14ac:dyDescent="0.15">
      <c r="B130" s="32" t="s">
        <v>84</v>
      </c>
      <c r="C130" s="17"/>
      <c r="D130" s="17">
        <f>IF(K128&lt;D$115,D128-ABS(D126-D128)/2,D128+ABS(D126-D128)/2)</f>
        <v>2.78125</v>
      </c>
      <c r="E130" s="17" t="e">
        <f t="shared" ref="E130:I130" si="82">IF(L128&lt;E$115,E128-ABS(E126-E128)/2,E128+ABS(E126-E128)/2)</f>
        <v>#VALUE!</v>
      </c>
      <c r="F130" s="17" t="e">
        <f t="shared" si="82"/>
        <v>#VALUE!</v>
      </c>
      <c r="G130" s="17" t="e">
        <f t="shared" si="82"/>
        <v>#VALUE!</v>
      </c>
      <c r="H130" s="17" t="e">
        <f t="shared" si="82"/>
        <v>#VALUE!</v>
      </c>
      <c r="I130" s="33" t="e">
        <f t="shared" si="82"/>
        <v>#VALUE!</v>
      </c>
      <c r="J130" s="6" t="s">
        <v>35</v>
      </c>
      <c r="K130" s="9">
        <f>0.5*ERFC((D$32*D130-$D$28*$D$27)/(SQRT(4*D131*D$32*$D$27)))+SQRT($D$28*$D$28*$D$27/(PI()*D131*D$32))*EXP(-(D$32*D130-$D$28*$D$27)*(D$32*D130-$D$28*$D$27)/(4*D131*D$32*$D$27))-0.5*(1+$D$28*D130/D131+$D$28*$D$28*$D$27/D131/D$32)*EXP($D$28*D130/D131)*ERFC((D$32*D130+$D$28*$D$27)/(SQRT(4*D131*D$32*$D$27)))</f>
        <v>0.39035273975333817</v>
      </c>
      <c r="L130" s="9" t="e">
        <f t="shared" ref="L130:P130" si="83">0.5*ERFC((E$32*E130-$D$28*$D$27)/(SQRT(4*E131*E$32*$D$27)))+SQRT($D$28*$D$28*$D$27/(PI()*E131*E$32))*EXP(-(E$32*E130-$D$28*$D$27)*(E$32*E130-$D$28*$D$27)/(4*E131*E$32*$D$27))-0.5*(1+$D$28*E130/E131+$D$28*$D$28*$D$27/E131/E$32)*EXP($D$28*E130/E131)*ERFC((E$32*E130+$D$28*$D$27)/(SQRT(4*E131*E$32*$D$27)))</f>
        <v>#VALUE!</v>
      </c>
      <c r="M130" s="9" t="e">
        <f t="shared" si="83"/>
        <v>#VALUE!</v>
      </c>
      <c r="N130" s="9" t="e">
        <f t="shared" si="83"/>
        <v>#VALUE!</v>
      </c>
      <c r="O130" s="9" t="e">
        <f t="shared" si="83"/>
        <v>#VALUE!</v>
      </c>
      <c r="P130" s="9" t="e">
        <f t="shared" si="83"/>
        <v>#VALUE!</v>
      </c>
    </row>
    <row r="131" spans="2:16" ht="14.25" thickBot="1" x14ac:dyDescent="0.2">
      <c r="B131" s="37" t="s">
        <v>97</v>
      </c>
      <c r="C131" s="23"/>
      <c r="D131" s="23">
        <f>$D$29</f>
        <v>0.13333333333333336</v>
      </c>
      <c r="E131" s="23">
        <f t="shared" si="69"/>
        <v>0.13333333333333336</v>
      </c>
      <c r="F131" s="23">
        <f t="shared" si="69"/>
        <v>0.13333333333333336</v>
      </c>
      <c r="G131" s="23">
        <f t="shared" si="69"/>
        <v>0.13333333333333336</v>
      </c>
      <c r="H131" s="23">
        <f t="shared" si="69"/>
        <v>0.13333333333333336</v>
      </c>
      <c r="I131" s="38">
        <f t="shared" si="69"/>
        <v>0.13333333333333336</v>
      </c>
    </row>
    <row r="132" spans="2:16" x14ac:dyDescent="0.15">
      <c r="B132" s="32" t="s">
        <v>37</v>
      </c>
      <c r="C132" s="17"/>
      <c r="D132" s="17">
        <f>IF(K130&lt;D$115,D130-ABS(D128-D130)/2,D130+ABS(D128-D130)/2)</f>
        <v>2.796875</v>
      </c>
      <c r="E132" s="17" t="e">
        <f t="shared" ref="E132:I132" si="84">IF(L130&lt;E$115,E130-ABS(E128-E130)/2,E130+ABS(E128-E130)/2)</f>
        <v>#VALUE!</v>
      </c>
      <c r="F132" s="17" t="e">
        <f t="shared" si="84"/>
        <v>#VALUE!</v>
      </c>
      <c r="G132" s="17" t="e">
        <f t="shared" si="84"/>
        <v>#VALUE!</v>
      </c>
      <c r="H132" s="17" t="e">
        <f t="shared" si="84"/>
        <v>#VALUE!</v>
      </c>
      <c r="I132" s="33" t="e">
        <f t="shared" si="84"/>
        <v>#VALUE!</v>
      </c>
      <c r="J132" s="6" t="s">
        <v>35</v>
      </c>
      <c r="K132" s="9">
        <f>0.5*ERFC((D$32*D132-$D$28*$D$27)/(SQRT(4*D133*D$32*$D$27)))+SQRT($D$28*$D$28*$D$27/(PI()*D133*D$32))*EXP(-(D$32*D132-$D$28*$D$27)*(D$32*D132-$D$28*$D$27)/(4*D133*D$32*$D$27))-0.5*(1+$D$28*D132/D133+$D$28*$D$28*$D$27/D133/D$32)*EXP($D$28*D132/D133)*ERFC((D$32*D132+$D$28*$D$27)/(SQRT(4*D133*D$32*$D$27)))</f>
        <v>0.37864301039531956</v>
      </c>
      <c r="L132" s="9" t="e">
        <f t="shared" ref="L132:P132" si="85">0.5*ERFC((E$32*E132-$D$28*$D$27)/(SQRT(4*E133*E$32*$D$27)))+SQRT($D$28*$D$28*$D$27/(PI()*E133*E$32))*EXP(-(E$32*E132-$D$28*$D$27)*(E$32*E132-$D$28*$D$27)/(4*E133*E$32*$D$27))-0.5*(1+$D$28*E132/E133+$D$28*$D$28*$D$27/E133/E$32)*EXP($D$28*E132/E133)*ERFC((E$32*E132+$D$28*$D$27)/(SQRT(4*E133*E$32*$D$27)))</f>
        <v>#VALUE!</v>
      </c>
      <c r="M132" s="9" t="e">
        <f t="shared" si="85"/>
        <v>#VALUE!</v>
      </c>
      <c r="N132" s="9" t="e">
        <f t="shared" si="85"/>
        <v>#VALUE!</v>
      </c>
      <c r="O132" s="9" t="e">
        <f t="shared" si="85"/>
        <v>#VALUE!</v>
      </c>
      <c r="P132" s="9" t="e">
        <f t="shared" si="85"/>
        <v>#VALUE!</v>
      </c>
    </row>
    <row r="133" spans="2:16" ht="14.25" thickBot="1" x14ac:dyDescent="0.2">
      <c r="B133" s="37" t="s">
        <v>97</v>
      </c>
      <c r="C133" s="23"/>
      <c r="D133" s="23">
        <f>$D$29</f>
        <v>0.13333333333333336</v>
      </c>
      <c r="E133" s="23">
        <f t="shared" si="69"/>
        <v>0.13333333333333336</v>
      </c>
      <c r="F133" s="23">
        <f t="shared" si="69"/>
        <v>0.13333333333333336</v>
      </c>
      <c r="G133" s="23">
        <f t="shared" si="69"/>
        <v>0.13333333333333336</v>
      </c>
      <c r="H133" s="23">
        <f t="shared" si="69"/>
        <v>0.13333333333333336</v>
      </c>
      <c r="I133" s="38">
        <f t="shared" si="69"/>
        <v>0.13333333333333336</v>
      </c>
    </row>
    <row r="134" spans="2:16" x14ac:dyDescent="0.15">
      <c r="B134" s="32" t="s">
        <v>38</v>
      </c>
      <c r="C134" s="17"/>
      <c r="D134" s="17">
        <f>IF(K132&lt;D$115,D132-ABS(D130-D132)/2,D132+ABS(D130-D132)/2)</f>
        <v>2.7890625</v>
      </c>
      <c r="E134" s="17" t="e">
        <f t="shared" ref="E134:I134" si="86">IF(L132&lt;E$115,E132-ABS(E130-E132)/2,E132+ABS(E130-E132)/2)</f>
        <v>#VALUE!</v>
      </c>
      <c r="F134" s="17" t="e">
        <f t="shared" si="86"/>
        <v>#VALUE!</v>
      </c>
      <c r="G134" s="17" t="e">
        <f t="shared" si="86"/>
        <v>#VALUE!</v>
      </c>
      <c r="H134" s="17" t="e">
        <f t="shared" si="86"/>
        <v>#VALUE!</v>
      </c>
      <c r="I134" s="33" t="e">
        <f t="shared" si="86"/>
        <v>#VALUE!</v>
      </c>
      <c r="J134" s="6" t="s">
        <v>35</v>
      </c>
      <c r="K134" s="9">
        <f>0.5*ERFC((D$32*D134-$D$28*$D$27)/(SQRT(4*D135*D$32*$D$27)))+SQRT($D$28*$D$28*$D$27/(PI()*D135*D$32))*EXP(-(D$32*D134-$D$28*$D$27)*(D$32*D134-$D$28*$D$27)/(4*D135*D$32*$D$27))-0.5*(1+$D$28*D134/D135+$D$28*$D$28*$D$27/D135/D$32)*EXP($D$28*D134/D135)*ERFC((D$32*D134+$D$28*$D$27)/(SQRT(4*D135*D$32*$D$27)))</f>
        <v>0.38448457345560927</v>
      </c>
      <c r="L134" s="9" t="e">
        <f t="shared" ref="L134:P134" si="87">0.5*ERFC((E$32*E134-$D$28*$D$27)/(SQRT(4*E135*E$32*$D$27)))+SQRT($D$28*$D$28*$D$27/(PI()*E135*E$32))*EXP(-(E$32*E134-$D$28*$D$27)*(E$32*E134-$D$28*$D$27)/(4*E135*E$32*$D$27))-0.5*(1+$D$28*E134/E135+$D$28*$D$28*$D$27/E135/E$32)*EXP($D$28*E134/E135)*ERFC((E$32*E134+$D$28*$D$27)/(SQRT(4*E135*E$32*$D$27)))</f>
        <v>#VALUE!</v>
      </c>
      <c r="M134" s="9" t="e">
        <f t="shared" si="87"/>
        <v>#VALUE!</v>
      </c>
      <c r="N134" s="9" t="e">
        <f t="shared" si="87"/>
        <v>#VALUE!</v>
      </c>
      <c r="O134" s="9" t="e">
        <f t="shared" si="87"/>
        <v>#VALUE!</v>
      </c>
      <c r="P134" s="9" t="e">
        <f t="shared" si="87"/>
        <v>#VALUE!</v>
      </c>
    </row>
    <row r="135" spans="2:16" ht="14.25" thickBot="1" x14ac:dyDescent="0.2">
      <c r="B135" s="37" t="s">
        <v>97</v>
      </c>
      <c r="C135" s="23"/>
      <c r="D135" s="23">
        <f>$D$29</f>
        <v>0.13333333333333336</v>
      </c>
      <c r="E135" s="23">
        <f t="shared" si="69"/>
        <v>0.13333333333333336</v>
      </c>
      <c r="F135" s="23">
        <f t="shared" si="69"/>
        <v>0.13333333333333336</v>
      </c>
      <c r="G135" s="23">
        <f t="shared" si="69"/>
        <v>0.13333333333333336</v>
      </c>
      <c r="H135" s="23">
        <f t="shared" si="69"/>
        <v>0.13333333333333336</v>
      </c>
      <c r="I135" s="38">
        <f t="shared" si="69"/>
        <v>0.13333333333333336</v>
      </c>
    </row>
    <row r="136" spans="2:16" x14ac:dyDescent="0.15">
      <c r="B136" s="32" t="s">
        <v>39</v>
      </c>
      <c r="C136" s="17"/>
      <c r="D136" s="17">
        <f>IF(K134&lt;D$115,D134-ABS(D132-D134)/2,D134+ABS(D132-D134)/2)</f>
        <v>2.78515625</v>
      </c>
      <c r="E136" s="17" t="e">
        <f t="shared" ref="E136:I136" si="88">IF(L134&lt;E$115,E134-ABS(E132-E134)/2,E134+ABS(E132-E134)/2)</f>
        <v>#VALUE!</v>
      </c>
      <c r="F136" s="17" t="e">
        <f t="shared" si="88"/>
        <v>#VALUE!</v>
      </c>
      <c r="G136" s="17" t="e">
        <f t="shared" si="88"/>
        <v>#VALUE!</v>
      </c>
      <c r="H136" s="17" t="e">
        <f t="shared" si="88"/>
        <v>#VALUE!</v>
      </c>
      <c r="I136" s="33" t="e">
        <f t="shared" si="88"/>
        <v>#VALUE!</v>
      </c>
      <c r="J136" s="6" t="s">
        <v>35</v>
      </c>
      <c r="K136" s="9">
        <f>0.5*ERFC((D$32*D136-$D$28*$D$27)/(SQRT(4*D137*D$32*$D$27)))+SQRT($D$28*$D$28*$D$27/(PI()*D137*D$32))*EXP(-(D$32*D136-$D$28*$D$27)*(D$32*D136-$D$28*$D$27)/(4*D137*D$32*$D$27))-0.5*(1+$D$28*D136/D137+$D$28*$D$28*$D$27/D137/D$32)*EXP($D$28*D136/D137)*ERFC((D$32*D136+$D$28*$D$27)/(SQRT(4*D137*D$32*$D$27)))</f>
        <v>0.38741540952777953</v>
      </c>
      <c r="L136" s="9" t="e">
        <f t="shared" ref="L136:P136" si="89">0.5*ERFC((E$32*E136-$D$28*$D$27)/(SQRT(4*E137*E$32*$D$27)))+SQRT($D$28*$D$28*$D$27/(PI()*E137*E$32))*EXP(-(E$32*E136-$D$28*$D$27)*(E$32*E136-$D$28*$D$27)/(4*E137*E$32*$D$27))-0.5*(1+$D$28*E136/E137+$D$28*$D$28*$D$27/E137/E$32)*EXP($D$28*E136/E137)*ERFC((E$32*E136+$D$28*$D$27)/(SQRT(4*E137*E$32*$D$27)))</f>
        <v>#VALUE!</v>
      </c>
      <c r="M136" s="9" t="e">
        <f t="shared" si="89"/>
        <v>#VALUE!</v>
      </c>
      <c r="N136" s="9" t="e">
        <f t="shared" si="89"/>
        <v>#VALUE!</v>
      </c>
      <c r="O136" s="9" t="e">
        <f t="shared" si="89"/>
        <v>#VALUE!</v>
      </c>
      <c r="P136" s="9" t="e">
        <f t="shared" si="89"/>
        <v>#VALUE!</v>
      </c>
    </row>
    <row r="137" spans="2:16" ht="14.25" thickBot="1" x14ac:dyDescent="0.2">
      <c r="B137" s="37" t="s">
        <v>97</v>
      </c>
      <c r="C137" s="23"/>
      <c r="D137" s="23">
        <f>$D$29</f>
        <v>0.13333333333333336</v>
      </c>
      <c r="E137" s="23">
        <f t="shared" si="69"/>
        <v>0.13333333333333336</v>
      </c>
      <c r="F137" s="23">
        <f t="shared" si="69"/>
        <v>0.13333333333333336</v>
      </c>
      <c r="G137" s="23">
        <f t="shared" si="69"/>
        <v>0.13333333333333336</v>
      </c>
      <c r="H137" s="23">
        <f t="shared" si="69"/>
        <v>0.13333333333333336</v>
      </c>
      <c r="I137" s="38">
        <f t="shared" si="69"/>
        <v>0.13333333333333336</v>
      </c>
    </row>
    <row r="138" spans="2:16" x14ac:dyDescent="0.15">
      <c r="B138" s="32" t="s">
        <v>85</v>
      </c>
      <c r="C138" s="17"/>
      <c r="D138" s="17">
        <f>IF(K136&lt;D$115,D136-ABS(D134-D136)/2,D136+ABS(D134-D136)/2)</f>
        <v>2.787109375</v>
      </c>
      <c r="E138" s="17" t="e">
        <f t="shared" ref="E138:I138" si="90">IF(L136&lt;E$115,E136-ABS(E134-E136)/2,E136+ABS(E134-E136)/2)</f>
        <v>#VALUE!</v>
      </c>
      <c r="F138" s="17" t="e">
        <f t="shared" si="90"/>
        <v>#VALUE!</v>
      </c>
      <c r="G138" s="17" t="e">
        <f t="shared" si="90"/>
        <v>#VALUE!</v>
      </c>
      <c r="H138" s="17" t="e">
        <f t="shared" si="90"/>
        <v>#VALUE!</v>
      </c>
      <c r="I138" s="33" t="e">
        <f t="shared" si="90"/>
        <v>#VALUE!</v>
      </c>
      <c r="J138" s="6" t="s">
        <v>35</v>
      </c>
      <c r="K138" s="9">
        <f>0.5*ERFC((D$32*D138-$D$28*$D$27)/(SQRT(4*D139*D$32*$D$27)))+SQRT($D$28*$D$28*$D$27/(PI()*D139*D$32))*EXP(-(D$32*D138-$D$28*$D$27)*(D$32*D138-$D$28*$D$27)/(4*D139*D$32*$D$27))-0.5*(1+$D$28*D138/D139+$D$28*$D$28*$D$27/D139/D$32)*EXP($D$28*D138/D139)*ERFC((D$32*D138+$D$28*$D$27)/(SQRT(4*D139*D$32*$D$27)))</f>
        <v>0.38594916988706984</v>
      </c>
      <c r="L138" s="9" t="e">
        <f t="shared" ref="L138:P138" si="91">0.5*ERFC((E$32*E138-$D$28*$D$27)/(SQRT(4*E139*E$32*$D$27)))+SQRT($D$28*$D$28*$D$27/(PI()*E139*E$32))*EXP(-(E$32*E138-$D$28*$D$27)*(E$32*E138-$D$28*$D$27)/(4*E139*E$32*$D$27))-0.5*(1+$D$28*E138/E139+$D$28*$D$28*$D$27/E139/E$32)*EXP($D$28*E138/E139)*ERFC((E$32*E138+$D$28*$D$27)/(SQRT(4*E139*E$32*$D$27)))</f>
        <v>#VALUE!</v>
      </c>
      <c r="M138" s="9" t="e">
        <f t="shared" si="91"/>
        <v>#VALUE!</v>
      </c>
      <c r="N138" s="9" t="e">
        <f t="shared" si="91"/>
        <v>#VALUE!</v>
      </c>
      <c r="O138" s="9" t="e">
        <f t="shared" si="91"/>
        <v>#VALUE!</v>
      </c>
      <c r="P138" s="9" t="e">
        <f t="shared" si="91"/>
        <v>#VALUE!</v>
      </c>
    </row>
    <row r="139" spans="2:16" ht="14.25" thickBot="1" x14ac:dyDescent="0.2">
      <c r="B139" s="37" t="s">
        <v>97</v>
      </c>
      <c r="C139" s="23"/>
      <c r="D139" s="23">
        <f>$D$29</f>
        <v>0.13333333333333336</v>
      </c>
      <c r="E139" s="23">
        <f t="shared" si="69"/>
        <v>0.13333333333333336</v>
      </c>
      <c r="F139" s="23">
        <f t="shared" si="69"/>
        <v>0.13333333333333336</v>
      </c>
      <c r="G139" s="23">
        <f t="shared" si="69"/>
        <v>0.13333333333333336</v>
      </c>
      <c r="H139" s="23">
        <f t="shared" si="69"/>
        <v>0.13333333333333336</v>
      </c>
      <c r="I139" s="38">
        <f t="shared" si="69"/>
        <v>0.13333333333333336</v>
      </c>
    </row>
    <row r="140" spans="2:16" x14ac:dyDescent="0.15">
      <c r="B140" s="32" t="s">
        <v>86</v>
      </c>
      <c r="C140" s="17"/>
      <c r="D140" s="17">
        <f>IF(K138&lt;D$115,D138-ABS(D136-D138)/2,D138+ABS(D136-D138)/2)</f>
        <v>2.7880859375</v>
      </c>
      <c r="E140" s="17" t="e">
        <f t="shared" ref="E140:I140" si="92">IF(L138&lt;E$115,E138-ABS(E136-E138)/2,E138+ABS(E136-E138)/2)</f>
        <v>#VALUE!</v>
      </c>
      <c r="F140" s="17" t="e">
        <f t="shared" si="92"/>
        <v>#VALUE!</v>
      </c>
      <c r="G140" s="17" t="e">
        <f t="shared" si="92"/>
        <v>#VALUE!</v>
      </c>
      <c r="H140" s="17" t="e">
        <f t="shared" si="92"/>
        <v>#VALUE!</v>
      </c>
      <c r="I140" s="33" t="e">
        <f t="shared" si="92"/>
        <v>#VALUE!</v>
      </c>
      <c r="J140" s="6" t="s">
        <v>35</v>
      </c>
      <c r="K140" s="9">
        <f>0.5*ERFC((D$32*D140-$D$28*$D$27)/(SQRT(4*D141*D$32*$D$27)))+SQRT($D$28*$D$28*$D$27/(PI()*D141*D$32))*EXP(-(D$32*D140-$D$28*$D$27)*(D$32*D140-$D$28*$D$27)/(4*D141*D$32*$D$27))-0.5*(1+$D$28*D140/D141+$D$28*$D$28*$D$27/D141/D$32)*EXP($D$28*D140/D141)*ERFC((D$32*D140+$D$28*$D$27)/(SQRT(4*D141*D$32*$D$27)))</f>
        <v>0.3852166650446307</v>
      </c>
      <c r="L140" s="9" t="e">
        <f t="shared" ref="L140:P140" si="93">0.5*ERFC((E$32*E140-$D$28*$D$27)/(SQRT(4*E141*E$32*$D$27)))+SQRT($D$28*$D$28*$D$27/(PI()*E141*E$32))*EXP(-(E$32*E140-$D$28*$D$27)*(E$32*E140-$D$28*$D$27)/(4*E141*E$32*$D$27))-0.5*(1+$D$28*E140/E141+$D$28*$D$28*$D$27/E141/E$32)*EXP($D$28*E140/E141)*ERFC((E$32*E140+$D$28*$D$27)/(SQRT(4*E141*E$32*$D$27)))</f>
        <v>#VALUE!</v>
      </c>
      <c r="M140" s="9" t="e">
        <f t="shared" si="93"/>
        <v>#VALUE!</v>
      </c>
      <c r="N140" s="9" t="e">
        <f t="shared" si="93"/>
        <v>#VALUE!</v>
      </c>
      <c r="O140" s="9" t="e">
        <f t="shared" si="93"/>
        <v>#VALUE!</v>
      </c>
      <c r="P140" s="9" t="e">
        <f t="shared" si="93"/>
        <v>#VALUE!</v>
      </c>
    </row>
    <row r="141" spans="2:16" ht="14.25" thickBot="1" x14ac:dyDescent="0.2">
      <c r="B141" s="37" t="s">
        <v>97</v>
      </c>
      <c r="C141" s="23"/>
      <c r="D141" s="23">
        <f>$D$29</f>
        <v>0.13333333333333336</v>
      </c>
      <c r="E141" s="23">
        <f t="shared" si="69"/>
        <v>0.13333333333333336</v>
      </c>
      <c r="F141" s="23">
        <f t="shared" si="69"/>
        <v>0.13333333333333336</v>
      </c>
      <c r="G141" s="23">
        <f t="shared" si="69"/>
        <v>0.13333333333333336</v>
      </c>
      <c r="H141" s="23">
        <f t="shared" si="69"/>
        <v>0.13333333333333336</v>
      </c>
      <c r="I141" s="38">
        <f t="shared" si="69"/>
        <v>0.13333333333333336</v>
      </c>
    </row>
    <row r="142" spans="2:16" x14ac:dyDescent="0.15">
      <c r="B142" s="32" t="s">
        <v>87</v>
      </c>
      <c r="C142" s="17"/>
      <c r="D142" s="17">
        <f>IF(K140&lt;D$115,D140-ABS(D138-D140)/2,D140+ABS(D138-D140)/2)</f>
        <v>2.78857421875</v>
      </c>
      <c r="E142" s="17" t="e">
        <f t="shared" ref="E142:I142" si="94">IF(L140&lt;E$115,E140-ABS(E138-E140)/2,E140+ABS(E138-E140)/2)</f>
        <v>#VALUE!</v>
      </c>
      <c r="F142" s="17" t="e">
        <f t="shared" si="94"/>
        <v>#VALUE!</v>
      </c>
      <c r="G142" s="17" t="e">
        <f t="shared" si="94"/>
        <v>#VALUE!</v>
      </c>
      <c r="H142" s="17" t="e">
        <f t="shared" si="94"/>
        <v>#VALUE!</v>
      </c>
      <c r="I142" s="33" t="e">
        <f t="shared" si="94"/>
        <v>#VALUE!</v>
      </c>
      <c r="J142" s="6" t="s">
        <v>35</v>
      </c>
      <c r="K142" s="9">
        <f>0.5*ERFC((D$32*D142-$D$28*$D$27)/(SQRT(4*D143*D$32*$D$27)))+SQRT($D$28*$D$28*$D$27/(PI()*D143*D$32))*EXP(-(D$32*D142-$D$28*$D$27)*(D$32*D142-$D$28*$D$27)/(4*D143*D$32*$D$27))-0.5*(1+$D$28*D142/D143+$D$28*$D$28*$D$27/D143/D$32)*EXP($D$28*D142/D143)*ERFC((D$32*D142+$D$28*$D$27)/(SQRT(4*D143*D$32*$D$27)))</f>
        <v>0.38485056744048807</v>
      </c>
      <c r="L142" s="9" t="e">
        <f t="shared" ref="L142:P142" si="95">0.5*ERFC((E$32*E142-$D$28*$D$27)/(SQRT(4*E143*E$32*$D$27)))+SQRT($D$28*$D$28*$D$27/(PI()*E143*E$32))*EXP(-(E$32*E142-$D$28*$D$27)*(E$32*E142-$D$28*$D$27)/(4*E143*E$32*$D$27))-0.5*(1+$D$28*E142/E143+$D$28*$D$28*$D$27/E143/E$32)*EXP($D$28*E142/E143)*ERFC((E$32*E142+$D$28*$D$27)/(SQRT(4*E143*E$32*$D$27)))</f>
        <v>#VALUE!</v>
      </c>
      <c r="M142" s="9" t="e">
        <f t="shared" si="95"/>
        <v>#VALUE!</v>
      </c>
      <c r="N142" s="9" t="e">
        <f t="shared" si="95"/>
        <v>#VALUE!</v>
      </c>
      <c r="O142" s="9" t="e">
        <f t="shared" si="95"/>
        <v>#VALUE!</v>
      </c>
      <c r="P142" s="9" t="e">
        <f t="shared" si="95"/>
        <v>#VALUE!</v>
      </c>
    </row>
    <row r="143" spans="2:16" ht="14.25" thickBot="1" x14ac:dyDescent="0.2">
      <c r="B143" s="37" t="s">
        <v>97</v>
      </c>
      <c r="C143" s="23"/>
      <c r="D143" s="23">
        <f>$D$29</f>
        <v>0.13333333333333336</v>
      </c>
      <c r="E143" s="23">
        <f t="shared" si="69"/>
        <v>0.13333333333333336</v>
      </c>
      <c r="F143" s="23">
        <f t="shared" si="69"/>
        <v>0.13333333333333336</v>
      </c>
      <c r="G143" s="23">
        <f t="shared" si="69"/>
        <v>0.13333333333333336</v>
      </c>
      <c r="H143" s="23">
        <f t="shared" si="69"/>
        <v>0.13333333333333336</v>
      </c>
      <c r="I143" s="38">
        <f t="shared" si="69"/>
        <v>0.13333333333333336</v>
      </c>
    </row>
    <row r="144" spans="2:16" x14ac:dyDescent="0.15">
      <c r="B144" s="32" t="s">
        <v>40</v>
      </c>
      <c r="C144" s="17"/>
      <c r="D144" s="17">
        <f>IF(K142&lt;D$115,D142-ABS(D140-D142)/2,D142+ABS(D140-D142)/2)</f>
        <v>2.788818359375</v>
      </c>
      <c r="E144" s="17" t="e">
        <f t="shared" ref="E144:I144" si="96">IF(L142&lt;E$115,E142-ABS(E140-E142)/2,E142+ABS(E140-E142)/2)</f>
        <v>#VALUE!</v>
      </c>
      <c r="F144" s="17" t="e">
        <f t="shared" si="96"/>
        <v>#VALUE!</v>
      </c>
      <c r="G144" s="17" t="e">
        <f t="shared" si="96"/>
        <v>#VALUE!</v>
      </c>
      <c r="H144" s="17" t="e">
        <f t="shared" si="96"/>
        <v>#VALUE!</v>
      </c>
      <c r="I144" s="33" t="e">
        <f t="shared" si="96"/>
        <v>#VALUE!</v>
      </c>
      <c r="J144" s="6" t="s">
        <v>35</v>
      </c>
      <c r="K144" s="9">
        <f>0.5*ERFC((D$32*D144-$D$28*$D$27)/(SQRT(4*D145*D$32*$D$27)))+SQRT($D$28*$D$28*$D$27/(PI()*D145*D$32))*EXP(-(D$32*D144-$D$28*$D$27)*(D$32*D144-$D$28*$D$27)/(4*D145*D$32*$D$27))-0.5*(1+$D$28*D144/D145+$D$28*$D$28*$D$27/D145/D$32)*EXP($D$28*D144/D145)*ERFC((D$32*D144+$D$28*$D$27)/(SQRT(4*D145*D$32*$D$27)))</f>
        <v>0.38466755747653325</v>
      </c>
      <c r="L144" s="9" t="e">
        <f t="shared" ref="L144:P144" si="97">0.5*ERFC((E$32*E144-$D$28*$D$27)/(SQRT(4*E145*E$32*$D$27)))+SQRT($D$28*$D$28*$D$27/(PI()*E145*E$32))*EXP(-(E$32*E144-$D$28*$D$27)*(E$32*E144-$D$28*$D$27)/(4*E145*E$32*$D$27))-0.5*(1+$D$28*E144/E145+$D$28*$D$28*$D$27/E145/E$32)*EXP($D$28*E144/E145)*ERFC((E$32*E144+$D$28*$D$27)/(SQRT(4*E145*E$32*$D$27)))</f>
        <v>#VALUE!</v>
      </c>
      <c r="M144" s="9" t="e">
        <f t="shared" si="97"/>
        <v>#VALUE!</v>
      </c>
      <c r="N144" s="9" t="e">
        <f t="shared" si="97"/>
        <v>#VALUE!</v>
      </c>
      <c r="O144" s="9" t="e">
        <f t="shared" si="97"/>
        <v>#VALUE!</v>
      </c>
      <c r="P144" s="9" t="e">
        <f t="shared" si="97"/>
        <v>#VALUE!</v>
      </c>
    </row>
    <row r="145" spans="1:16" ht="14.25" thickBot="1" x14ac:dyDescent="0.2">
      <c r="B145" s="37" t="s">
        <v>97</v>
      </c>
      <c r="C145" s="23"/>
      <c r="D145" s="23">
        <f>$D$29</f>
        <v>0.13333333333333336</v>
      </c>
      <c r="E145" s="23">
        <f t="shared" si="69"/>
        <v>0.13333333333333336</v>
      </c>
      <c r="F145" s="23">
        <f t="shared" si="69"/>
        <v>0.13333333333333336</v>
      </c>
      <c r="G145" s="23">
        <f t="shared" si="69"/>
        <v>0.13333333333333336</v>
      </c>
      <c r="H145" s="23">
        <f t="shared" si="69"/>
        <v>0.13333333333333336</v>
      </c>
      <c r="I145" s="38">
        <f t="shared" si="69"/>
        <v>0.13333333333333336</v>
      </c>
    </row>
    <row r="146" spans="1:16" x14ac:dyDescent="0.15">
      <c r="B146" s="32" t="s">
        <v>41</v>
      </c>
      <c r="C146" s="17"/>
      <c r="D146" s="17">
        <f>IF(K144&lt;D$115,D144-ABS(D142-D144)/2,D144+ABS(D142-D144)/2)</f>
        <v>2.7889404296875</v>
      </c>
      <c r="E146" s="17" t="e">
        <f t="shared" ref="E146:I146" si="98">IF(L144&lt;E$115,E144-ABS(E142-E144)/2,E144+ABS(E142-E144)/2)</f>
        <v>#VALUE!</v>
      </c>
      <c r="F146" s="17" t="e">
        <f t="shared" si="98"/>
        <v>#VALUE!</v>
      </c>
      <c r="G146" s="17" t="e">
        <f t="shared" si="98"/>
        <v>#VALUE!</v>
      </c>
      <c r="H146" s="17" t="e">
        <f t="shared" si="98"/>
        <v>#VALUE!</v>
      </c>
      <c r="I146" s="33" t="e">
        <f t="shared" si="98"/>
        <v>#VALUE!</v>
      </c>
      <c r="J146" s="6" t="s">
        <v>35</v>
      </c>
      <c r="K146" s="9">
        <f>0.5*ERFC((D$32*D146-$D$28*$D$27)/(SQRT(4*D147*D$32*$D$27)))+SQRT($D$28*$D$28*$D$27/(PI()*D147*D$32))*EXP(-(D$32*D146-$D$28*$D$27)*(D$32*D146-$D$28*$D$27)/(4*D147*D$32*$D$27))-0.5*(1+$D$28*D146/D147+$D$28*$D$28*$D$27/D147/D$32)*EXP($D$28*D146/D147)*ERFC((D$32*D146+$D$28*$D$27)/(SQRT(4*D147*D$32*$D$27)))</f>
        <v>0.384576062220781</v>
      </c>
      <c r="L146" s="9" t="e">
        <f t="shared" ref="L146:P146" si="99">0.5*ERFC((E$32*E146-$D$28*$D$27)/(SQRT(4*E147*E$32*$D$27)))+SQRT($D$28*$D$28*$D$27/(PI()*E147*E$32))*EXP(-(E$32*E146-$D$28*$D$27)*(E$32*E146-$D$28*$D$27)/(4*E147*E$32*$D$27))-0.5*(1+$D$28*E146/E147+$D$28*$D$28*$D$27/E147/E$32)*EXP($D$28*E146/E147)*ERFC((E$32*E146+$D$28*$D$27)/(SQRT(4*E147*E$32*$D$27)))</f>
        <v>#VALUE!</v>
      </c>
      <c r="M146" s="9" t="e">
        <f t="shared" si="99"/>
        <v>#VALUE!</v>
      </c>
      <c r="N146" s="9" t="e">
        <f t="shared" si="99"/>
        <v>#VALUE!</v>
      </c>
      <c r="O146" s="9" t="e">
        <f t="shared" si="99"/>
        <v>#VALUE!</v>
      </c>
      <c r="P146" s="9" t="e">
        <f t="shared" si="99"/>
        <v>#VALUE!</v>
      </c>
    </row>
    <row r="147" spans="1:16" ht="14.25" thickBot="1" x14ac:dyDescent="0.2">
      <c r="B147" s="37" t="s">
        <v>97</v>
      </c>
      <c r="C147" s="23"/>
      <c r="D147" s="23">
        <f>$D$29</f>
        <v>0.13333333333333336</v>
      </c>
      <c r="E147" s="23">
        <f t="shared" si="69"/>
        <v>0.13333333333333336</v>
      </c>
      <c r="F147" s="23">
        <f t="shared" si="69"/>
        <v>0.13333333333333336</v>
      </c>
      <c r="G147" s="23">
        <f t="shared" si="69"/>
        <v>0.13333333333333336</v>
      </c>
      <c r="H147" s="23">
        <f t="shared" si="69"/>
        <v>0.13333333333333336</v>
      </c>
      <c r="I147" s="38">
        <f t="shared" si="69"/>
        <v>0.13333333333333336</v>
      </c>
    </row>
    <row r="148" spans="1:16" x14ac:dyDescent="0.15">
      <c r="B148" s="32" t="s">
        <v>88</v>
      </c>
      <c r="C148" s="17"/>
      <c r="D148" s="17">
        <f>IF(K146&lt;D$115,D146-ABS(D144-D146)/2,D146+ABS(D144-D146)/2)</f>
        <v>2.78887939453125</v>
      </c>
      <c r="E148" s="17" t="e">
        <f t="shared" ref="E148:I148" si="100">IF(L146&lt;E$115,E146-ABS(E144-E146)/2,E146+ABS(E144-E146)/2)</f>
        <v>#VALUE!</v>
      </c>
      <c r="F148" s="17" t="e">
        <f t="shared" si="100"/>
        <v>#VALUE!</v>
      </c>
      <c r="G148" s="17" t="e">
        <f t="shared" si="100"/>
        <v>#VALUE!</v>
      </c>
      <c r="H148" s="17" t="e">
        <f t="shared" si="100"/>
        <v>#VALUE!</v>
      </c>
      <c r="I148" s="33" t="e">
        <f t="shared" si="100"/>
        <v>#VALUE!</v>
      </c>
      <c r="J148" s="6" t="s">
        <v>35</v>
      </c>
      <c r="K148" s="9">
        <f>0.5*ERFC((D$32*D148-$D$28*$D$27)/(SQRT(4*D149*D$32*$D$27)))+SQRT($D$28*$D$28*$D$27/(PI()*D149*D$32))*EXP(-(D$32*D148-$D$28*$D$27)*(D$32*D148-$D$28*$D$27)/(4*D149*D$32*$D$27))-0.5*(1+$D$28*D148/D149+$D$28*$D$28*$D$27/D149/D$32)*EXP($D$28*D148/D149)*ERFC((D$32*D148+$D$28*$D$27)/(SQRT(4*D149*D$32*$D$27)))</f>
        <v>0.38462180903767873</v>
      </c>
      <c r="L148" s="9" t="e">
        <f t="shared" ref="L148:P148" si="101">0.5*ERFC((E$32*E148-$D$28*$D$27)/(SQRT(4*E149*E$32*$D$27)))+SQRT($D$28*$D$28*$D$27/(PI()*E149*E$32))*EXP(-(E$32*E148-$D$28*$D$27)*(E$32*E148-$D$28*$D$27)/(4*E149*E$32*$D$27))-0.5*(1+$D$28*E148/E149+$D$28*$D$28*$D$27/E149/E$32)*EXP($D$28*E148/E149)*ERFC((E$32*E148+$D$28*$D$27)/(SQRT(4*E149*E$32*$D$27)))</f>
        <v>#VALUE!</v>
      </c>
      <c r="M148" s="9" t="e">
        <f t="shared" si="101"/>
        <v>#VALUE!</v>
      </c>
      <c r="N148" s="9" t="e">
        <f t="shared" si="101"/>
        <v>#VALUE!</v>
      </c>
      <c r="O148" s="9" t="e">
        <f t="shared" si="101"/>
        <v>#VALUE!</v>
      </c>
      <c r="P148" s="9" t="e">
        <f t="shared" si="101"/>
        <v>#VALUE!</v>
      </c>
    </row>
    <row r="149" spans="1:16" ht="14.25" thickBot="1" x14ac:dyDescent="0.2">
      <c r="B149" s="37" t="s">
        <v>97</v>
      </c>
      <c r="C149" s="23"/>
      <c r="D149" s="23">
        <f>$D$29</f>
        <v>0.13333333333333336</v>
      </c>
      <c r="E149" s="23">
        <f t="shared" si="69"/>
        <v>0.13333333333333336</v>
      </c>
      <c r="F149" s="23">
        <f t="shared" si="69"/>
        <v>0.13333333333333336</v>
      </c>
      <c r="G149" s="23">
        <f t="shared" si="69"/>
        <v>0.13333333333333336</v>
      </c>
      <c r="H149" s="23">
        <f t="shared" si="69"/>
        <v>0.13333333333333336</v>
      </c>
      <c r="I149" s="38">
        <f t="shared" si="69"/>
        <v>0.13333333333333336</v>
      </c>
    </row>
    <row r="150" spans="1:16" x14ac:dyDescent="0.15">
      <c r="B150" s="32" t="s">
        <v>89</v>
      </c>
      <c r="C150" s="17"/>
      <c r="D150" s="17">
        <f>IF(K148&lt;D$115,D148-ABS(D146-D148)/2,D148+ABS(D146-D148)/2)</f>
        <v>2.788909912109375</v>
      </c>
      <c r="E150" s="17" t="e">
        <f t="shared" ref="E150:I150" si="102">IF(L148&lt;E$115,E148-ABS(E146-E148)/2,E148+ABS(E146-E148)/2)</f>
        <v>#VALUE!</v>
      </c>
      <c r="F150" s="17" t="e">
        <f t="shared" si="102"/>
        <v>#VALUE!</v>
      </c>
      <c r="G150" s="17" t="e">
        <f t="shared" si="102"/>
        <v>#VALUE!</v>
      </c>
      <c r="H150" s="17" t="e">
        <f t="shared" si="102"/>
        <v>#VALUE!</v>
      </c>
      <c r="I150" s="33" t="e">
        <f t="shared" si="102"/>
        <v>#VALUE!</v>
      </c>
      <c r="J150" s="6" t="s">
        <v>35</v>
      </c>
      <c r="K150" s="9">
        <f>0.5*ERFC((D$32*D150-$D$28*$D$27)/(SQRT(4*D151*D$32*$D$27)))+SQRT($D$28*$D$28*$D$27/(PI()*D151*D$32))*EXP(-(D$32*D150-$D$28*$D$27)*(D$32*D150-$D$28*$D$27)/(4*D151*D$32*$D$27))-0.5*(1+$D$28*D150/D151+$D$28*$D$28*$D$27/D151/D$32)*EXP($D$28*D150/D151)*ERFC((D$32*D150+$D$28*$D$27)/(SQRT(4*D151*D$32*$D$27)))</f>
        <v>0.38459893542643986</v>
      </c>
      <c r="L150" s="9" t="e">
        <f t="shared" ref="L150:P150" si="103">0.5*ERFC((E$32*E150-$D$28*$D$27)/(SQRT(4*E151*E$32*$D$27)))+SQRT($D$28*$D$28*$D$27/(PI()*E151*E$32))*EXP(-(E$32*E150-$D$28*$D$27)*(E$32*E150-$D$28*$D$27)/(4*E151*E$32*$D$27))-0.5*(1+$D$28*E150/E151+$D$28*$D$28*$D$27/E151/E$32)*EXP($D$28*E150/E151)*ERFC((E$32*E150+$D$28*$D$27)/(SQRT(4*E151*E$32*$D$27)))</f>
        <v>#VALUE!</v>
      </c>
      <c r="M150" s="9" t="e">
        <f t="shared" si="103"/>
        <v>#VALUE!</v>
      </c>
      <c r="N150" s="9" t="e">
        <f t="shared" si="103"/>
        <v>#VALUE!</v>
      </c>
      <c r="O150" s="9" t="e">
        <f t="shared" si="103"/>
        <v>#VALUE!</v>
      </c>
      <c r="P150" s="9" t="e">
        <f t="shared" si="103"/>
        <v>#VALUE!</v>
      </c>
    </row>
    <row r="151" spans="1:16" ht="14.25" thickBot="1" x14ac:dyDescent="0.2">
      <c r="B151" s="37" t="s">
        <v>97</v>
      </c>
      <c r="C151" s="23"/>
      <c r="D151" s="23">
        <f>$D$29</f>
        <v>0.13333333333333336</v>
      </c>
      <c r="E151" s="23">
        <f t="shared" si="69"/>
        <v>0.13333333333333336</v>
      </c>
      <c r="F151" s="23">
        <f t="shared" si="69"/>
        <v>0.13333333333333336</v>
      </c>
      <c r="G151" s="23">
        <f t="shared" si="69"/>
        <v>0.13333333333333336</v>
      </c>
      <c r="H151" s="23">
        <f t="shared" si="69"/>
        <v>0.13333333333333336</v>
      </c>
      <c r="I151" s="38">
        <f t="shared" si="69"/>
        <v>0.13333333333333336</v>
      </c>
    </row>
    <row r="152" spans="1:16" x14ac:dyDescent="0.15">
      <c r="B152" s="32" t="s">
        <v>42</v>
      </c>
      <c r="C152" s="17"/>
      <c r="D152" s="17">
        <f>IF(K150&lt;D$115,D150-ABS(D148-D150)/2,D150+ABS(D148-D150)/2)</f>
        <v>2.7888946533203125</v>
      </c>
      <c r="E152" s="17" t="e">
        <f t="shared" ref="E152:I152" si="104">IF(L150&lt;E$115,E150-ABS(E148-E150)/2,E150+ABS(E148-E150)/2)</f>
        <v>#VALUE!</v>
      </c>
      <c r="F152" s="17" t="e">
        <f t="shared" si="104"/>
        <v>#VALUE!</v>
      </c>
      <c r="G152" s="17" t="e">
        <f t="shared" si="104"/>
        <v>#VALUE!</v>
      </c>
      <c r="H152" s="17" t="e">
        <f t="shared" si="104"/>
        <v>#VALUE!</v>
      </c>
      <c r="I152" s="33" t="e">
        <f t="shared" si="104"/>
        <v>#VALUE!</v>
      </c>
      <c r="J152" s="6" t="s">
        <v>35</v>
      </c>
      <c r="K152" s="9">
        <f>0.5*ERFC((D$32*D152-$D$28*$D$27)/(SQRT(4*D153*D$32*$D$27)))+SQRT($D$28*$D$28*$D$27/(PI()*D153*D$32))*EXP(-(D$32*D152-$D$28*$D$27)*(D$32*D152-$D$28*$D$27)/(4*D153*D$32*$D$27))-0.5*(1+$D$28*D152/D153+$D$28*$D$28*$D$27/D153/D$32)*EXP($D$28*D152/D153)*ERFC((D$32*D152+$D$28*$D$27)/(SQRT(4*D153*D$32*$D$27)))</f>
        <v>0.38461037218134875</v>
      </c>
      <c r="L152" s="9" t="e">
        <f t="shared" ref="L152:P152" si="105">0.5*ERFC((E$32*E152-$D$28*$D$27)/(SQRT(4*E153*E$32*$D$27)))+SQRT($D$28*$D$28*$D$27/(PI()*E153*E$32))*EXP(-(E$32*E152-$D$28*$D$27)*(E$32*E152-$D$28*$D$27)/(4*E153*E$32*$D$27))-0.5*(1+$D$28*E152/E153+$D$28*$D$28*$D$27/E153/E$32)*EXP($D$28*E152/E153)*ERFC((E$32*E152+$D$28*$D$27)/(SQRT(4*E153*E$32*$D$27)))</f>
        <v>#VALUE!</v>
      </c>
      <c r="M152" s="9" t="e">
        <f t="shared" si="105"/>
        <v>#VALUE!</v>
      </c>
      <c r="N152" s="9" t="e">
        <f t="shared" si="105"/>
        <v>#VALUE!</v>
      </c>
      <c r="O152" s="9" t="e">
        <f t="shared" si="105"/>
        <v>#VALUE!</v>
      </c>
      <c r="P152" s="9" t="e">
        <f t="shared" si="105"/>
        <v>#VALUE!</v>
      </c>
    </row>
    <row r="153" spans="1:16" ht="14.25" thickBot="1" x14ac:dyDescent="0.2">
      <c r="B153" s="37" t="s">
        <v>97</v>
      </c>
      <c r="C153" s="23"/>
      <c r="D153" s="23">
        <f>$D$29</f>
        <v>0.13333333333333336</v>
      </c>
      <c r="E153" s="23">
        <f t="shared" si="69"/>
        <v>0.13333333333333336</v>
      </c>
      <c r="F153" s="23">
        <f t="shared" si="69"/>
        <v>0.13333333333333336</v>
      </c>
      <c r="G153" s="23">
        <f t="shared" si="69"/>
        <v>0.13333333333333336</v>
      </c>
      <c r="H153" s="23">
        <f t="shared" si="69"/>
        <v>0.13333333333333336</v>
      </c>
      <c r="I153" s="38">
        <f t="shared" si="69"/>
        <v>0.13333333333333336</v>
      </c>
    </row>
    <row r="154" spans="1:16" x14ac:dyDescent="0.15">
      <c r="B154" s="32" t="s">
        <v>43</v>
      </c>
      <c r="C154" s="17"/>
      <c r="D154" s="17">
        <f>IF(K152&lt;D$115,D152-ABS(D150-D152)/2,D152+ABS(D150-D152)/2)</f>
        <v>2.7888870239257813</v>
      </c>
      <c r="E154" s="17" t="e">
        <f t="shared" ref="E154:I154" si="106">IF(L152&lt;E$115,E152-ABS(E150-E152)/2,E152+ABS(E150-E152)/2)</f>
        <v>#VALUE!</v>
      </c>
      <c r="F154" s="17" t="e">
        <f t="shared" si="106"/>
        <v>#VALUE!</v>
      </c>
      <c r="G154" s="17" t="e">
        <f t="shared" si="106"/>
        <v>#VALUE!</v>
      </c>
      <c r="H154" s="17" t="e">
        <f t="shared" si="106"/>
        <v>#VALUE!</v>
      </c>
      <c r="I154" s="33" t="e">
        <f t="shared" si="106"/>
        <v>#VALUE!</v>
      </c>
      <c r="J154" s="6" t="s">
        <v>35</v>
      </c>
      <c r="K154" s="9">
        <f>0.5*ERFC((D$32*D154-$D$28*$D$27)/(SQRT(4*D155*D$32*$D$27)))+SQRT($D$28*$D$28*$D$27/(PI()*D155*D$32))*EXP(-(D$32*D154-$D$28*$D$27)*(D$32*D154-$D$28*$D$27)/(4*D155*D$32*$D$27))-0.5*(1+$D$28*D154/D155+$D$28*$D$28*$D$27/D155/D$32)*EXP($D$28*D154/D155)*ERFC((D$32*D154+$D$28*$D$27)/(SQRT(4*D155*D$32*$D$27)))</f>
        <v>0.38461609059684454</v>
      </c>
      <c r="L154" s="9" t="e">
        <f t="shared" ref="L154:P154" si="107">0.5*ERFC((E$32*E154-$D$28*$D$27)/(SQRT(4*E155*E$32*$D$27)))+SQRT($D$28*$D$28*$D$27/(PI()*E155*E$32))*EXP(-(E$32*E154-$D$28*$D$27)*(E$32*E154-$D$28*$D$27)/(4*E155*E$32*$D$27))-0.5*(1+$D$28*E154/E155+$D$28*$D$28*$D$27/E155/E$32)*EXP($D$28*E154/E155)*ERFC((E$32*E154+$D$28*$D$27)/(SQRT(4*E155*E$32*$D$27)))</f>
        <v>#VALUE!</v>
      </c>
      <c r="M154" s="9" t="e">
        <f t="shared" si="107"/>
        <v>#VALUE!</v>
      </c>
      <c r="N154" s="9" t="e">
        <f t="shared" si="107"/>
        <v>#VALUE!</v>
      </c>
      <c r="O154" s="9" t="e">
        <f t="shared" si="107"/>
        <v>#VALUE!</v>
      </c>
      <c r="P154" s="9" t="e">
        <f t="shared" si="107"/>
        <v>#VALUE!</v>
      </c>
    </row>
    <row r="155" spans="1:16" ht="14.25" thickBot="1" x14ac:dyDescent="0.2">
      <c r="B155" s="37" t="s">
        <v>97</v>
      </c>
      <c r="C155" s="23"/>
      <c r="D155" s="23">
        <f>$D$29</f>
        <v>0.13333333333333336</v>
      </c>
      <c r="E155" s="23">
        <f t="shared" si="69"/>
        <v>0.13333333333333336</v>
      </c>
      <c r="F155" s="23">
        <f t="shared" si="69"/>
        <v>0.13333333333333336</v>
      </c>
      <c r="G155" s="23">
        <f t="shared" si="69"/>
        <v>0.13333333333333336</v>
      </c>
      <c r="H155" s="23">
        <f t="shared" si="69"/>
        <v>0.13333333333333336</v>
      </c>
      <c r="I155" s="38">
        <f t="shared" si="69"/>
        <v>0.13333333333333336</v>
      </c>
    </row>
    <row r="156" spans="1:16" x14ac:dyDescent="0.15">
      <c r="B156" s="32" t="s">
        <v>90</v>
      </c>
      <c r="C156" s="17"/>
      <c r="D156" s="17">
        <f>IF(K154&lt;D$115,D154-ABS(D152-D154)/2,D154+ABS(D152-D154)/2)</f>
        <v>2.7888908386230469</v>
      </c>
      <c r="E156" s="17" t="e">
        <f t="shared" ref="E156:I156" si="108">IF(L154&lt;E$115,E154-ABS(E152-E154)/2,E154+ABS(E152-E154)/2)</f>
        <v>#VALUE!</v>
      </c>
      <c r="F156" s="17" t="e">
        <f t="shared" si="108"/>
        <v>#VALUE!</v>
      </c>
      <c r="G156" s="17" t="e">
        <f t="shared" si="108"/>
        <v>#VALUE!</v>
      </c>
      <c r="H156" s="17" t="e">
        <f t="shared" si="108"/>
        <v>#VALUE!</v>
      </c>
      <c r="I156" s="33" t="e">
        <f t="shared" si="108"/>
        <v>#VALUE!</v>
      </c>
      <c r="J156" s="6" t="s">
        <v>35</v>
      </c>
      <c r="K156" s="9">
        <f>0.5*ERFC((D$32*D156-$D$28*$D$27)/(SQRT(4*D157*D$32*$D$27)))+SQRT($D$28*$D$28*$D$27/(PI()*D157*D$32))*EXP(-(D$32*D156-$D$28*$D$27)*(D$32*D156-$D$28*$D$27)/(4*D157*D$32*$D$27))-0.5*(1+$D$28*D156/D157+$D$28*$D$28*$D$27/D157/D$32)*EXP($D$28*D156/D157)*ERFC((D$32*D156+$D$28*$D$27)/(SQRT(4*D157*D$32*$D$27)))</f>
        <v>0.38461323138592496</v>
      </c>
      <c r="L156" s="9" t="e">
        <f t="shared" ref="L156:P156" si="109">0.5*ERFC((E$32*E156-$D$28*$D$27)/(SQRT(4*E157*E$32*$D$27)))+SQRT($D$28*$D$28*$D$27/(PI()*E157*E$32))*EXP(-(E$32*E156-$D$28*$D$27)*(E$32*E156-$D$28*$D$27)/(4*E157*E$32*$D$27))-0.5*(1+$D$28*E156/E157+$D$28*$D$28*$D$27/E157/E$32)*EXP($D$28*E156/E157)*ERFC((E$32*E156+$D$28*$D$27)/(SQRT(4*E157*E$32*$D$27)))</f>
        <v>#VALUE!</v>
      </c>
      <c r="M156" s="9" t="e">
        <f t="shared" si="109"/>
        <v>#VALUE!</v>
      </c>
      <c r="N156" s="9" t="e">
        <f t="shared" si="109"/>
        <v>#VALUE!</v>
      </c>
      <c r="O156" s="9" t="e">
        <f t="shared" si="109"/>
        <v>#VALUE!</v>
      </c>
      <c r="P156" s="9" t="e">
        <f t="shared" si="109"/>
        <v>#VALUE!</v>
      </c>
    </row>
    <row r="157" spans="1:16" ht="14.25" thickBot="1" x14ac:dyDescent="0.2">
      <c r="B157" s="37" t="s">
        <v>97</v>
      </c>
      <c r="C157" s="23"/>
      <c r="D157" s="23">
        <f>$D$29</f>
        <v>0.13333333333333336</v>
      </c>
      <c r="E157" s="23">
        <f t="shared" si="69"/>
        <v>0.13333333333333336</v>
      </c>
      <c r="F157" s="23">
        <f t="shared" si="69"/>
        <v>0.13333333333333336</v>
      </c>
      <c r="G157" s="23">
        <f t="shared" si="69"/>
        <v>0.13333333333333336</v>
      </c>
      <c r="H157" s="23">
        <f t="shared" si="69"/>
        <v>0.13333333333333336</v>
      </c>
      <c r="I157" s="38">
        <f t="shared" si="69"/>
        <v>0.13333333333333336</v>
      </c>
    </row>
    <row r="159" spans="1:16" x14ac:dyDescent="0.15">
      <c r="D159" s="8" t="s">
        <v>96</v>
      </c>
    </row>
    <row r="160" spans="1:16" x14ac:dyDescent="0.15">
      <c r="A160" t="s">
        <v>44</v>
      </c>
      <c r="D160" s="39" t="str">
        <f t="shared" ref="D160:I160" si="110">D5</f>
        <v>砒素</v>
      </c>
      <c r="E160" s="39" t="str">
        <f t="shared" si="110"/>
        <v>ふっ素</v>
      </c>
      <c r="F160" s="39" t="str">
        <f t="shared" si="110"/>
        <v>ほう素</v>
      </c>
      <c r="G160" s="39" t="str">
        <f t="shared" si="110"/>
        <v>カドミウム</v>
      </c>
      <c r="H160" s="39" t="str">
        <f t="shared" si="110"/>
        <v>セレン</v>
      </c>
      <c r="I160" s="39" t="str">
        <f t="shared" si="110"/>
        <v>六価クロム</v>
      </c>
      <c r="K160" s="10" t="str">
        <f>K115</f>
        <v>砒素</v>
      </c>
      <c r="L160" s="10" t="str">
        <f t="shared" ref="L160:P160" si="111">L115</f>
        <v>ふっ素</v>
      </c>
      <c r="M160" s="10" t="str">
        <f t="shared" si="111"/>
        <v>ほう素</v>
      </c>
      <c r="N160" s="10" t="str">
        <f t="shared" si="111"/>
        <v>カドミウム</v>
      </c>
      <c r="O160" s="10" t="str">
        <f t="shared" si="111"/>
        <v>セレン</v>
      </c>
      <c r="P160" s="10" t="str">
        <f t="shared" si="111"/>
        <v>六価クロム</v>
      </c>
    </row>
    <row r="161" spans="1:16" x14ac:dyDescent="0.15">
      <c r="B161" t="s">
        <v>45</v>
      </c>
      <c r="D161" s="9">
        <f>$D$3</f>
        <v>0.5</v>
      </c>
      <c r="E161" s="9">
        <f t="shared" ref="E161:H161" si="112">$D$3</f>
        <v>0.5</v>
      </c>
      <c r="F161" s="9">
        <f t="shared" si="112"/>
        <v>0.5</v>
      </c>
      <c r="G161" s="9">
        <f t="shared" si="112"/>
        <v>0.5</v>
      </c>
      <c r="H161" s="9">
        <f t="shared" si="112"/>
        <v>0.5</v>
      </c>
      <c r="I161" s="9">
        <f>$D$3</f>
        <v>0.5</v>
      </c>
      <c r="K161" s="9"/>
      <c r="L161" s="9"/>
      <c r="M161" s="9"/>
      <c r="N161" s="9"/>
      <c r="O161" s="9"/>
      <c r="P161" s="9"/>
    </row>
    <row r="162" spans="1:16" x14ac:dyDescent="0.15">
      <c r="C162" s="9" t="s">
        <v>91</v>
      </c>
      <c r="D162" s="9" t="s">
        <v>92</v>
      </c>
      <c r="E162" s="9" t="s">
        <v>92</v>
      </c>
      <c r="F162" s="9" t="s">
        <v>92</v>
      </c>
      <c r="G162" s="9" t="s">
        <v>92</v>
      </c>
      <c r="H162" s="9" t="s">
        <v>92</v>
      </c>
      <c r="I162" s="9" t="s">
        <v>92</v>
      </c>
      <c r="K162" s="9" t="s">
        <v>17</v>
      </c>
      <c r="L162" s="9" t="s">
        <v>17</v>
      </c>
      <c r="M162" s="9" t="s">
        <v>17</v>
      </c>
      <c r="N162" s="9" t="s">
        <v>17</v>
      </c>
      <c r="O162" s="9" t="s">
        <v>17</v>
      </c>
      <c r="P162" s="9" t="s">
        <v>17</v>
      </c>
    </row>
    <row r="163" spans="1:16" x14ac:dyDescent="0.15">
      <c r="A163" s="8" t="s">
        <v>46</v>
      </c>
      <c r="C163" s="9">
        <v>0</v>
      </c>
      <c r="D163" s="9">
        <f>IF(D$57=TRUE,$C163*D$161,NA())</f>
        <v>0</v>
      </c>
      <c r="E163" s="9" t="e">
        <f t="shared" ref="E163:I163" si="113">IF(E$57=TRUE,$C163*E$161,NA())</f>
        <v>#N/A</v>
      </c>
      <c r="F163" s="9" t="e">
        <f t="shared" si="113"/>
        <v>#N/A</v>
      </c>
      <c r="G163" s="9" t="e">
        <f>IF(G$57=TRUE,$C163*G$161,NA())</f>
        <v>#N/A</v>
      </c>
      <c r="H163" s="9" t="e">
        <f t="shared" si="113"/>
        <v>#N/A</v>
      </c>
      <c r="I163" s="9" t="e">
        <f t="shared" si="113"/>
        <v>#N/A</v>
      </c>
      <c r="J163" s="6" t="s">
        <v>95</v>
      </c>
      <c r="K163" s="9">
        <f>D$8*(0.5*ERFC((D$32*D163-$D$28*$D$27)/(SQRT(4*D186*D$32*$D$27)))+SQRT($D$28*$D$28*$D$27/(PI()*D186*D$32))*EXP(-(D$32*D163-$D$28*$D$27)*(D$32*D163-$D$28*$D$27)/(4*D186*D$32*$D$27))-0.5*(1+$D$28*D163/D186+$D$28*$D$28*$D$27/D186/D$32)*EXP($D$28*D163/D186)*ERFC((D$32*D163+$D$28*$D$27)/(SQRT(4*D186*D$32*$D$27))))</f>
        <v>2.5999999535921917E-2</v>
      </c>
      <c r="L163" s="9" t="e">
        <f>E$8*(0.5*ERFC((E$32*E163-$D$28*$D$27)/(SQRT(4*E186*E$32*$D$27)))+SQRT($D$28*$D$28*$D$27/(PI()*E186*E$32))*EXP(-(E$32*E163-$D$28*$D$27)*(E$32*E163-$D$28*$D$27)/(4*E186*E$32*$D$27))-0.5*(1+$D$28*E163/E186+$D$28*$D$28*$D$27/E186/E$32)*EXP($D$28*E163/E186)*ERFC((E$32*E163+$D$28*$D$27)/(SQRT(4*E186*E$32*$D$27))))</f>
        <v>#VALUE!</v>
      </c>
      <c r="M163" s="9" t="e">
        <f t="shared" ref="M163:P163" si="114">F$8*(0.5*ERFC((F$32*F163-$D$28*$D$27)/(SQRT(4*F186*F$32*$D$27)))+SQRT($D$28*$D$28*$D$27/(PI()*F186*F$32))*EXP(-(F$32*F163-$D$28*$D$27)*(F$32*F163-$D$28*$D$27)/(4*F186*F$32*$D$27))-0.5*(1+$D$28*F163/F186+$D$28*$D$28*$D$27/F186/F$32)*EXP($D$28*F163/F186)*ERFC((F$32*F163+$D$28*$D$27)/(SQRT(4*F186*F$32*$D$27))))</f>
        <v>#VALUE!</v>
      </c>
      <c r="N163" s="9" t="e">
        <f t="shared" si="114"/>
        <v>#VALUE!</v>
      </c>
      <c r="O163" s="9" t="e">
        <f t="shared" si="114"/>
        <v>#VALUE!</v>
      </c>
      <c r="P163" s="9" t="e">
        <f t="shared" si="114"/>
        <v>#VALUE!</v>
      </c>
    </row>
    <row r="164" spans="1:16" x14ac:dyDescent="0.15">
      <c r="A164" s="8" t="s">
        <v>47</v>
      </c>
      <c r="C164" s="9">
        <f>C163+0.05</f>
        <v>0.05</v>
      </c>
      <c r="D164" s="9">
        <f t="shared" ref="D164:I183" si="115">IF(D$57=TRUE,$C164*D$161,NA())</f>
        <v>2.5000000000000001E-2</v>
      </c>
      <c r="E164" s="9" t="e">
        <f t="shared" si="115"/>
        <v>#N/A</v>
      </c>
      <c r="F164" s="9" t="e">
        <f t="shared" si="115"/>
        <v>#N/A</v>
      </c>
      <c r="G164" s="9" t="e">
        <f t="shared" si="115"/>
        <v>#N/A</v>
      </c>
      <c r="H164" s="9" t="e">
        <f t="shared" si="115"/>
        <v>#N/A</v>
      </c>
      <c r="I164" s="9" t="e">
        <f t="shared" si="115"/>
        <v>#N/A</v>
      </c>
      <c r="K164" s="9">
        <f t="shared" ref="K164:K183" si="116">D$8*(0.5*ERFC((D$32*D164-$D$28*$D$27)/(SQRT(4*D188*D$32*$D$27)))+SQRT($D$28*$D$28*$D$27/(PI()*D188*D$32))*EXP(-(D$32*D164-$D$28*$D$27)*(D$32*D164-$D$28*$D$27)/(4*D188*D$32*$D$27))-0.5*(1+$D$28*D164/D188+$D$28*$D$28*$D$27/D188/D$32)*EXP($D$28*D164/D188)*ERFC((D$32*D164+$D$28*$D$27)/(SQRT(4*D188*D$32*$D$27))))</f>
        <v>2.5999999257165517E-2</v>
      </c>
      <c r="L164" s="9" t="e">
        <f t="shared" ref="L164:L183" si="117">E$8*(0.5*ERFC((E$32*E164-$D$28*$D$27)/(SQRT(4*E188*E$32*$D$27)))+SQRT($D$28*$D$28*$D$27/(PI()*E188*E$32))*EXP(-(E$32*E164-$D$28*$D$27)*(E$32*E164-$D$28*$D$27)/(4*E188*E$32*$D$27))-0.5*(1+$D$28*E164/E188+$D$28*$D$28*$D$27/E188/E$32)*EXP($D$28*E164/E188)*ERFC((E$32*E164+$D$28*$D$27)/(SQRT(4*E188*E$32*$D$27))))</f>
        <v>#VALUE!</v>
      </c>
      <c r="M164" s="9" t="e">
        <f t="shared" ref="M164:M183" si="118">F$8*(0.5*ERFC((F$32*F164-$D$28*$D$27)/(SQRT(4*F188*F$32*$D$27)))+SQRT($D$28*$D$28*$D$27/(PI()*F188*F$32))*EXP(-(F$32*F164-$D$28*$D$27)*(F$32*F164-$D$28*$D$27)/(4*F188*F$32*$D$27))-0.5*(1+$D$28*F164/F188+$D$28*$D$28*$D$27/F188/F$32)*EXP($D$28*F164/F188)*ERFC((F$32*F164+$D$28*$D$27)/(SQRT(4*F188*F$32*$D$27))))</f>
        <v>#VALUE!</v>
      </c>
      <c r="N164" s="9" t="e">
        <f t="shared" ref="N164:N183" si="119">G$8*(0.5*ERFC((G$32*G164-$D$28*$D$27)/(SQRT(4*G188*G$32*$D$27)))+SQRT($D$28*$D$28*$D$27/(PI()*G188*G$32))*EXP(-(G$32*G164-$D$28*$D$27)*(G$32*G164-$D$28*$D$27)/(4*G188*G$32*$D$27))-0.5*(1+$D$28*G164/G188+$D$28*$D$28*$D$27/G188/G$32)*EXP($D$28*G164/G188)*ERFC((G$32*G164+$D$28*$D$27)/(SQRT(4*G188*G$32*$D$27))))</f>
        <v>#VALUE!</v>
      </c>
      <c r="O164" s="9" t="e">
        <f t="shared" ref="O164:O183" si="120">H$8*(0.5*ERFC((H$32*H164-$D$28*$D$27)/(SQRT(4*H188*H$32*$D$27)))+SQRT($D$28*$D$28*$D$27/(PI()*H188*H$32))*EXP(-(H$32*H164-$D$28*$D$27)*(H$32*H164-$D$28*$D$27)/(4*H188*H$32*$D$27))-0.5*(1+$D$28*H164/H188+$D$28*$D$28*$D$27/H188/H$32)*EXP($D$28*H164/H188)*ERFC((H$32*H164+$D$28*$D$27)/(SQRT(4*H188*H$32*$D$27))))</f>
        <v>#VALUE!</v>
      </c>
      <c r="P164" s="9" t="e">
        <f t="shared" ref="P164:P183" si="121">I$8*(0.5*ERFC((I$32*I164-$D$28*$D$27)/(SQRT(4*I188*I$32*$D$27)))+SQRT($D$28*$D$28*$D$27/(PI()*I188*I$32))*EXP(-(I$32*I164-$D$28*$D$27)*(I$32*I164-$D$28*$D$27)/(4*I188*I$32*$D$27))-0.5*(1+$D$28*I164/I188+$D$28*$D$28*$D$27/I188/I$32)*EXP($D$28*I164/I188)*ERFC((I$32*I164+$D$28*$D$27)/(SQRT(4*I188*I$32*$D$27))))</f>
        <v>#VALUE!</v>
      </c>
    </row>
    <row r="165" spans="1:16" x14ac:dyDescent="0.15">
      <c r="C165" s="9">
        <f>C164+0.05</f>
        <v>0.1</v>
      </c>
      <c r="D165" s="9">
        <f t="shared" si="115"/>
        <v>0.05</v>
      </c>
      <c r="E165" s="9" t="e">
        <f t="shared" si="115"/>
        <v>#N/A</v>
      </c>
      <c r="F165" s="9" t="e">
        <f t="shared" si="115"/>
        <v>#N/A</v>
      </c>
      <c r="G165" s="9" t="e">
        <f t="shared" si="115"/>
        <v>#N/A</v>
      </c>
      <c r="H165" s="9" t="e">
        <f t="shared" si="115"/>
        <v>#N/A</v>
      </c>
      <c r="I165" s="9" t="e">
        <f t="shared" si="115"/>
        <v>#N/A</v>
      </c>
      <c r="K165" s="9">
        <f t="shared" si="116"/>
        <v>2.5999998863473251E-2</v>
      </c>
      <c r="L165" s="9" t="e">
        <f t="shared" si="117"/>
        <v>#VALUE!</v>
      </c>
      <c r="M165" s="9" t="e">
        <f t="shared" si="118"/>
        <v>#VALUE!</v>
      </c>
      <c r="N165" s="9" t="e">
        <f t="shared" si="119"/>
        <v>#VALUE!</v>
      </c>
      <c r="O165" s="9" t="e">
        <f t="shared" si="120"/>
        <v>#VALUE!</v>
      </c>
      <c r="P165" s="9" t="e">
        <f t="shared" si="121"/>
        <v>#VALUE!</v>
      </c>
    </row>
    <row r="166" spans="1:16" x14ac:dyDescent="0.15">
      <c r="C166" s="9">
        <f t="shared" ref="C166:C183" si="122">C165+0.05</f>
        <v>0.15000000000000002</v>
      </c>
      <c r="D166" s="9">
        <f t="shared" si="115"/>
        <v>7.5000000000000011E-2</v>
      </c>
      <c r="E166" s="9" t="e">
        <f t="shared" si="115"/>
        <v>#N/A</v>
      </c>
      <c r="F166" s="9" t="e">
        <f t="shared" si="115"/>
        <v>#N/A</v>
      </c>
      <c r="G166" s="9" t="e">
        <f t="shared" si="115"/>
        <v>#N/A</v>
      </c>
      <c r="H166" s="9" t="e">
        <f t="shared" si="115"/>
        <v>#N/A</v>
      </c>
      <c r="I166" s="9" t="e">
        <f t="shared" si="115"/>
        <v>#N/A</v>
      </c>
      <c r="K166" s="9">
        <f t="shared" si="116"/>
        <v>2.5999998315165702E-2</v>
      </c>
      <c r="L166" s="9" t="e">
        <f t="shared" si="117"/>
        <v>#VALUE!</v>
      </c>
      <c r="M166" s="9" t="e">
        <f t="shared" si="118"/>
        <v>#VALUE!</v>
      </c>
      <c r="N166" s="9" t="e">
        <f t="shared" si="119"/>
        <v>#VALUE!</v>
      </c>
      <c r="O166" s="9" t="e">
        <f t="shared" si="120"/>
        <v>#VALUE!</v>
      </c>
      <c r="P166" s="9" t="e">
        <f t="shared" si="121"/>
        <v>#VALUE!</v>
      </c>
    </row>
    <row r="167" spans="1:16" x14ac:dyDescent="0.15">
      <c r="C167" s="9">
        <f t="shared" si="122"/>
        <v>0.2</v>
      </c>
      <c r="D167" s="9">
        <f t="shared" si="115"/>
        <v>0.1</v>
      </c>
      <c r="E167" s="9" t="e">
        <f t="shared" si="115"/>
        <v>#N/A</v>
      </c>
      <c r="F167" s="9" t="e">
        <f t="shared" si="115"/>
        <v>#N/A</v>
      </c>
      <c r="G167" s="9" t="e">
        <f t="shared" si="115"/>
        <v>#N/A</v>
      </c>
      <c r="H167" s="9" t="e">
        <f t="shared" si="115"/>
        <v>#N/A</v>
      </c>
      <c r="I167" s="9" t="e">
        <f t="shared" si="115"/>
        <v>#N/A</v>
      </c>
      <c r="K167" s="9">
        <f t="shared" si="116"/>
        <v>2.5999997560465279E-2</v>
      </c>
      <c r="L167" s="9" t="e">
        <f t="shared" si="117"/>
        <v>#VALUE!</v>
      </c>
      <c r="M167" s="9" t="e">
        <f t="shared" si="118"/>
        <v>#VALUE!</v>
      </c>
      <c r="N167" s="9" t="e">
        <f t="shared" si="119"/>
        <v>#VALUE!</v>
      </c>
      <c r="O167" s="9" t="e">
        <f t="shared" si="120"/>
        <v>#VALUE!</v>
      </c>
      <c r="P167" s="9" t="e">
        <f t="shared" si="121"/>
        <v>#VALUE!</v>
      </c>
    </row>
    <row r="168" spans="1:16" x14ac:dyDescent="0.15">
      <c r="C168" s="9">
        <f t="shared" si="122"/>
        <v>0.25</v>
      </c>
      <c r="D168" s="9">
        <f t="shared" si="115"/>
        <v>0.125</v>
      </c>
      <c r="E168" s="9" t="e">
        <f t="shared" si="115"/>
        <v>#N/A</v>
      </c>
      <c r="F168" s="9" t="e">
        <f t="shared" si="115"/>
        <v>#N/A</v>
      </c>
      <c r="G168" s="9" t="e">
        <f t="shared" si="115"/>
        <v>#N/A</v>
      </c>
      <c r="H168" s="9" t="e">
        <f t="shared" si="115"/>
        <v>#N/A</v>
      </c>
      <c r="I168" s="9" t="e">
        <f t="shared" si="115"/>
        <v>#N/A</v>
      </c>
      <c r="K168" s="9">
        <f t="shared" si="116"/>
        <v>2.5999996532181085E-2</v>
      </c>
      <c r="L168" s="9" t="e">
        <f t="shared" si="117"/>
        <v>#VALUE!</v>
      </c>
      <c r="M168" s="9" t="e">
        <f t="shared" si="118"/>
        <v>#VALUE!</v>
      </c>
      <c r="N168" s="9" t="e">
        <f t="shared" si="119"/>
        <v>#VALUE!</v>
      </c>
      <c r="O168" s="9" t="e">
        <f t="shared" si="120"/>
        <v>#VALUE!</v>
      </c>
      <c r="P168" s="9" t="e">
        <f t="shared" si="121"/>
        <v>#VALUE!</v>
      </c>
    </row>
    <row r="169" spans="1:16" x14ac:dyDescent="0.15">
      <c r="C169" s="9">
        <f t="shared" si="122"/>
        <v>0.3</v>
      </c>
      <c r="D169" s="9">
        <f t="shared" si="115"/>
        <v>0.15</v>
      </c>
      <c r="E169" s="9" t="e">
        <f t="shared" si="115"/>
        <v>#N/A</v>
      </c>
      <c r="F169" s="9" t="e">
        <f t="shared" si="115"/>
        <v>#N/A</v>
      </c>
      <c r="G169" s="9" t="e">
        <f t="shared" si="115"/>
        <v>#N/A</v>
      </c>
      <c r="H169" s="9" t="e">
        <f t="shared" si="115"/>
        <v>#N/A</v>
      </c>
      <c r="I169" s="9" t="e">
        <f t="shared" si="115"/>
        <v>#N/A</v>
      </c>
      <c r="K169" s="9">
        <f t="shared" si="116"/>
        <v>2.5999995143575996E-2</v>
      </c>
      <c r="L169" s="9" t="e">
        <f t="shared" si="117"/>
        <v>#VALUE!</v>
      </c>
      <c r="M169" s="9" t="e">
        <f t="shared" si="118"/>
        <v>#VALUE!</v>
      </c>
      <c r="N169" s="9" t="e">
        <f t="shared" si="119"/>
        <v>#VALUE!</v>
      </c>
      <c r="O169" s="9" t="e">
        <f t="shared" si="120"/>
        <v>#VALUE!</v>
      </c>
      <c r="P169" s="9" t="e">
        <f t="shared" si="121"/>
        <v>#VALUE!</v>
      </c>
    </row>
    <row r="170" spans="1:16" x14ac:dyDescent="0.15">
      <c r="C170" s="9">
        <f t="shared" si="122"/>
        <v>0.35</v>
      </c>
      <c r="D170" s="9">
        <f t="shared" si="115"/>
        <v>0.17499999999999999</v>
      </c>
      <c r="E170" s="9" t="e">
        <f t="shared" si="115"/>
        <v>#N/A</v>
      </c>
      <c r="F170" s="9" t="e">
        <f t="shared" si="115"/>
        <v>#N/A</v>
      </c>
      <c r="G170" s="9" t="e">
        <f t="shared" si="115"/>
        <v>#N/A</v>
      </c>
      <c r="H170" s="9" t="e">
        <f t="shared" si="115"/>
        <v>#N/A</v>
      </c>
      <c r="I170" s="9" t="e">
        <f t="shared" si="115"/>
        <v>#N/A</v>
      </c>
      <c r="K170" s="9">
        <f t="shared" si="116"/>
        <v>2.5999993283235774E-2</v>
      </c>
      <c r="L170" s="9" t="e">
        <f t="shared" si="117"/>
        <v>#VALUE!</v>
      </c>
      <c r="M170" s="9" t="e">
        <f t="shared" si="118"/>
        <v>#VALUE!</v>
      </c>
      <c r="N170" s="9" t="e">
        <f t="shared" si="119"/>
        <v>#VALUE!</v>
      </c>
      <c r="O170" s="9" t="e">
        <f t="shared" si="120"/>
        <v>#VALUE!</v>
      </c>
      <c r="P170" s="9" t="e">
        <f t="shared" si="121"/>
        <v>#VALUE!</v>
      </c>
    </row>
    <row r="171" spans="1:16" x14ac:dyDescent="0.15">
      <c r="C171" s="9">
        <f t="shared" si="122"/>
        <v>0.39999999999999997</v>
      </c>
      <c r="D171" s="9">
        <f t="shared" si="115"/>
        <v>0.19999999999999998</v>
      </c>
      <c r="E171" s="9" t="e">
        <f t="shared" si="115"/>
        <v>#N/A</v>
      </c>
      <c r="F171" s="9" t="e">
        <f t="shared" si="115"/>
        <v>#N/A</v>
      </c>
      <c r="G171" s="9" t="e">
        <f t="shared" si="115"/>
        <v>#N/A</v>
      </c>
      <c r="H171" s="9" t="e">
        <f t="shared" si="115"/>
        <v>#N/A</v>
      </c>
      <c r="I171" s="9" t="e">
        <f t="shared" si="115"/>
        <v>#N/A</v>
      </c>
      <c r="K171" s="9">
        <f t="shared" si="116"/>
        <v>2.5999990808725913E-2</v>
      </c>
      <c r="L171" s="9" t="e">
        <f t="shared" si="117"/>
        <v>#VALUE!</v>
      </c>
      <c r="M171" s="9" t="e">
        <f t="shared" si="118"/>
        <v>#VALUE!</v>
      </c>
      <c r="N171" s="9" t="e">
        <f t="shared" si="119"/>
        <v>#VALUE!</v>
      </c>
      <c r="O171" s="9" t="e">
        <f t="shared" si="120"/>
        <v>#VALUE!</v>
      </c>
      <c r="P171" s="9" t="e">
        <f t="shared" si="121"/>
        <v>#VALUE!</v>
      </c>
    </row>
    <row r="172" spans="1:16" x14ac:dyDescent="0.15">
      <c r="C172" s="9">
        <f t="shared" si="122"/>
        <v>0.44999999999999996</v>
      </c>
      <c r="D172" s="9">
        <f t="shared" si="115"/>
        <v>0.22499999999999998</v>
      </c>
      <c r="E172" s="9" t="e">
        <f t="shared" si="115"/>
        <v>#N/A</v>
      </c>
      <c r="F172" s="9" t="e">
        <f t="shared" si="115"/>
        <v>#N/A</v>
      </c>
      <c r="G172" s="9" t="e">
        <f t="shared" si="115"/>
        <v>#N/A</v>
      </c>
      <c r="H172" s="9" t="e">
        <f t="shared" si="115"/>
        <v>#N/A</v>
      </c>
      <c r="I172" s="9" t="e">
        <f t="shared" si="115"/>
        <v>#N/A</v>
      </c>
      <c r="K172" s="9">
        <f t="shared" si="116"/>
        <v>2.5999987538781653E-2</v>
      </c>
      <c r="L172" s="9" t="e">
        <f t="shared" si="117"/>
        <v>#VALUE!</v>
      </c>
      <c r="M172" s="9" t="e">
        <f t="shared" si="118"/>
        <v>#VALUE!</v>
      </c>
      <c r="N172" s="9" t="e">
        <f t="shared" si="119"/>
        <v>#VALUE!</v>
      </c>
      <c r="O172" s="9" t="e">
        <f t="shared" si="120"/>
        <v>#VALUE!</v>
      </c>
      <c r="P172" s="9" t="e">
        <f t="shared" si="121"/>
        <v>#VALUE!</v>
      </c>
    </row>
    <row r="173" spans="1:16" x14ac:dyDescent="0.15">
      <c r="C173" s="9">
        <f t="shared" si="122"/>
        <v>0.49999999999999994</v>
      </c>
      <c r="D173" s="9">
        <f t="shared" si="115"/>
        <v>0.24999999999999997</v>
      </c>
      <c r="E173" s="9" t="e">
        <f t="shared" si="115"/>
        <v>#N/A</v>
      </c>
      <c r="F173" s="9" t="e">
        <f t="shared" si="115"/>
        <v>#N/A</v>
      </c>
      <c r="G173" s="9" t="e">
        <f t="shared" si="115"/>
        <v>#N/A</v>
      </c>
      <c r="H173" s="9" t="e">
        <f t="shared" si="115"/>
        <v>#N/A</v>
      </c>
      <c r="I173" s="9" t="e">
        <f t="shared" si="115"/>
        <v>#N/A</v>
      </c>
      <c r="K173" s="9">
        <f t="shared" si="116"/>
        <v>2.599998324373087E-2</v>
      </c>
      <c r="L173" s="9" t="e">
        <f t="shared" si="117"/>
        <v>#VALUE!</v>
      </c>
      <c r="M173" s="9" t="e">
        <f t="shared" si="118"/>
        <v>#VALUE!</v>
      </c>
      <c r="N173" s="9" t="e">
        <f t="shared" si="119"/>
        <v>#VALUE!</v>
      </c>
      <c r="O173" s="9" t="e">
        <f t="shared" si="120"/>
        <v>#VALUE!</v>
      </c>
      <c r="P173" s="9" t="e">
        <f t="shared" si="121"/>
        <v>#VALUE!</v>
      </c>
    </row>
    <row r="174" spans="1:16" x14ac:dyDescent="0.15">
      <c r="C174" s="9">
        <f t="shared" si="122"/>
        <v>0.54999999999999993</v>
      </c>
      <c r="D174" s="9">
        <f t="shared" si="115"/>
        <v>0.27499999999999997</v>
      </c>
      <c r="E174" s="9" t="e">
        <f t="shared" si="115"/>
        <v>#N/A</v>
      </c>
      <c r="F174" s="9" t="e">
        <f t="shared" si="115"/>
        <v>#N/A</v>
      </c>
      <c r="G174" s="9" t="e">
        <f t="shared" si="115"/>
        <v>#N/A</v>
      </c>
      <c r="H174" s="9" t="e">
        <f t="shared" si="115"/>
        <v>#N/A</v>
      </c>
      <c r="I174" s="9" t="e">
        <f t="shared" si="115"/>
        <v>#N/A</v>
      </c>
      <c r="K174" s="9">
        <f t="shared" si="116"/>
        <v>2.5999977633796502E-2</v>
      </c>
      <c r="L174" s="9" t="e">
        <f t="shared" si="117"/>
        <v>#VALUE!</v>
      </c>
      <c r="M174" s="9" t="e">
        <f t="shared" si="118"/>
        <v>#VALUE!</v>
      </c>
      <c r="N174" s="9" t="e">
        <f t="shared" si="119"/>
        <v>#VALUE!</v>
      </c>
      <c r="O174" s="9" t="e">
        <f t="shared" si="120"/>
        <v>#VALUE!</v>
      </c>
      <c r="P174" s="9" t="e">
        <f t="shared" si="121"/>
        <v>#VALUE!</v>
      </c>
    </row>
    <row r="175" spans="1:16" x14ac:dyDescent="0.15">
      <c r="C175" s="9">
        <f t="shared" si="122"/>
        <v>0.6</v>
      </c>
      <c r="D175" s="9">
        <f t="shared" si="115"/>
        <v>0.3</v>
      </c>
      <c r="E175" s="9" t="e">
        <f t="shared" si="115"/>
        <v>#N/A</v>
      </c>
      <c r="F175" s="9" t="e">
        <f t="shared" si="115"/>
        <v>#N/A</v>
      </c>
      <c r="G175" s="9" t="e">
        <f t="shared" si="115"/>
        <v>#N/A</v>
      </c>
      <c r="H175" s="9" t="e">
        <f t="shared" si="115"/>
        <v>#N/A</v>
      </c>
      <c r="I175" s="9" t="e">
        <f t="shared" si="115"/>
        <v>#N/A</v>
      </c>
      <c r="K175" s="9">
        <f t="shared" si="116"/>
        <v>2.5999970344865331E-2</v>
      </c>
      <c r="L175" s="9" t="e">
        <f t="shared" si="117"/>
        <v>#VALUE!</v>
      </c>
      <c r="M175" s="9" t="e">
        <f t="shared" si="118"/>
        <v>#VALUE!</v>
      </c>
      <c r="N175" s="9" t="e">
        <f t="shared" si="119"/>
        <v>#VALUE!</v>
      </c>
      <c r="O175" s="9" t="e">
        <f t="shared" si="120"/>
        <v>#VALUE!</v>
      </c>
      <c r="P175" s="9" t="e">
        <f t="shared" si="121"/>
        <v>#VALUE!</v>
      </c>
    </row>
    <row r="176" spans="1:16" x14ac:dyDescent="0.15">
      <c r="C176" s="9">
        <f t="shared" si="122"/>
        <v>0.65</v>
      </c>
      <c r="D176" s="9">
        <f t="shared" si="115"/>
        <v>0.32500000000000001</v>
      </c>
      <c r="E176" s="9" t="e">
        <f t="shared" si="115"/>
        <v>#N/A</v>
      </c>
      <c r="F176" s="9" t="e">
        <f t="shared" si="115"/>
        <v>#N/A</v>
      </c>
      <c r="G176" s="9" t="e">
        <f t="shared" si="115"/>
        <v>#N/A</v>
      </c>
      <c r="H176" s="9" t="e">
        <f t="shared" si="115"/>
        <v>#N/A</v>
      </c>
      <c r="I176" s="9" t="e">
        <f t="shared" si="115"/>
        <v>#N/A</v>
      </c>
      <c r="K176" s="9">
        <f t="shared" si="116"/>
        <v>2.599996092124186E-2</v>
      </c>
      <c r="L176" s="9" t="e">
        <f t="shared" si="117"/>
        <v>#VALUE!</v>
      </c>
      <c r="M176" s="9" t="e">
        <f t="shared" si="118"/>
        <v>#VALUE!</v>
      </c>
      <c r="N176" s="9" t="e">
        <f t="shared" si="119"/>
        <v>#VALUE!</v>
      </c>
      <c r="O176" s="9" t="e">
        <f t="shared" si="120"/>
        <v>#VALUE!</v>
      </c>
      <c r="P176" s="9" t="e">
        <f t="shared" si="121"/>
        <v>#VALUE!</v>
      </c>
    </row>
    <row r="177" spans="3:16" x14ac:dyDescent="0.15">
      <c r="C177" s="9">
        <f t="shared" si="122"/>
        <v>0.70000000000000007</v>
      </c>
      <c r="D177" s="9">
        <f t="shared" si="115"/>
        <v>0.35000000000000003</v>
      </c>
      <c r="E177" s="9" t="e">
        <f t="shared" si="115"/>
        <v>#N/A</v>
      </c>
      <c r="F177" s="9" t="e">
        <f t="shared" si="115"/>
        <v>#N/A</v>
      </c>
      <c r="G177" s="9" t="e">
        <f t="shared" si="115"/>
        <v>#N/A</v>
      </c>
      <c r="H177" s="9" t="e">
        <f t="shared" si="115"/>
        <v>#N/A</v>
      </c>
      <c r="I177" s="9" t="e">
        <f t="shared" si="115"/>
        <v>#N/A</v>
      </c>
      <c r="K177" s="9">
        <f t="shared" si="116"/>
        <v>2.5999948794829326E-2</v>
      </c>
      <c r="L177" s="9" t="e">
        <f t="shared" si="117"/>
        <v>#VALUE!</v>
      </c>
      <c r="M177" s="9" t="e">
        <f t="shared" si="118"/>
        <v>#VALUE!</v>
      </c>
      <c r="N177" s="9" t="e">
        <f t="shared" si="119"/>
        <v>#VALUE!</v>
      </c>
      <c r="O177" s="9" t="e">
        <f t="shared" si="120"/>
        <v>#VALUE!</v>
      </c>
      <c r="P177" s="9" t="e">
        <f t="shared" si="121"/>
        <v>#VALUE!</v>
      </c>
    </row>
    <row r="178" spans="3:16" x14ac:dyDescent="0.15">
      <c r="C178" s="9">
        <f t="shared" si="122"/>
        <v>0.75000000000000011</v>
      </c>
      <c r="D178" s="9">
        <f t="shared" si="115"/>
        <v>0.37500000000000006</v>
      </c>
      <c r="E178" s="9" t="e">
        <f t="shared" si="115"/>
        <v>#N/A</v>
      </c>
      <c r="F178" s="9" t="e">
        <f t="shared" si="115"/>
        <v>#N/A</v>
      </c>
      <c r="G178" s="9" t="e">
        <f t="shared" si="115"/>
        <v>#N/A</v>
      </c>
      <c r="H178" s="9" t="e">
        <f t="shared" si="115"/>
        <v>#N/A</v>
      </c>
      <c r="I178" s="9" t="e">
        <f t="shared" si="115"/>
        <v>#N/A</v>
      </c>
      <c r="K178" s="9">
        <f t="shared" si="116"/>
        <v>2.5999933260094414E-2</v>
      </c>
      <c r="L178" s="9" t="e">
        <f t="shared" si="117"/>
        <v>#VALUE!</v>
      </c>
      <c r="M178" s="9" t="e">
        <f t="shared" si="118"/>
        <v>#VALUE!</v>
      </c>
      <c r="N178" s="9" t="e">
        <f t="shared" si="119"/>
        <v>#VALUE!</v>
      </c>
      <c r="O178" s="9" t="e">
        <f t="shared" si="120"/>
        <v>#VALUE!</v>
      </c>
      <c r="P178" s="9" t="e">
        <f t="shared" si="121"/>
        <v>#VALUE!</v>
      </c>
    </row>
    <row r="179" spans="3:16" x14ac:dyDescent="0.15">
      <c r="C179" s="9">
        <f t="shared" si="122"/>
        <v>0.80000000000000016</v>
      </c>
      <c r="D179" s="9">
        <f t="shared" si="115"/>
        <v>0.40000000000000008</v>
      </c>
      <c r="E179" s="9" t="e">
        <f t="shared" si="115"/>
        <v>#N/A</v>
      </c>
      <c r="F179" s="9" t="e">
        <f t="shared" si="115"/>
        <v>#N/A</v>
      </c>
      <c r="G179" s="9" t="e">
        <f t="shared" si="115"/>
        <v>#N/A</v>
      </c>
      <c r="H179" s="9" t="e">
        <f t="shared" si="115"/>
        <v>#N/A</v>
      </c>
      <c r="I179" s="9" t="e">
        <f t="shared" si="115"/>
        <v>#N/A</v>
      </c>
      <c r="K179" s="9">
        <f t="shared" si="116"/>
        <v>2.5999913444077032E-2</v>
      </c>
      <c r="L179" s="9" t="e">
        <f t="shared" si="117"/>
        <v>#VALUE!</v>
      </c>
      <c r="M179" s="9" t="e">
        <f t="shared" si="118"/>
        <v>#VALUE!</v>
      </c>
      <c r="N179" s="9" t="e">
        <f t="shared" si="119"/>
        <v>#VALUE!</v>
      </c>
      <c r="O179" s="9" t="e">
        <f t="shared" si="120"/>
        <v>#VALUE!</v>
      </c>
      <c r="P179" s="9" t="e">
        <f t="shared" si="121"/>
        <v>#VALUE!</v>
      </c>
    </row>
    <row r="180" spans="3:16" x14ac:dyDescent="0.15">
      <c r="C180" s="9">
        <f t="shared" si="122"/>
        <v>0.8500000000000002</v>
      </c>
      <c r="D180" s="9">
        <f t="shared" si="115"/>
        <v>0.4250000000000001</v>
      </c>
      <c r="E180" s="9" t="e">
        <f t="shared" si="115"/>
        <v>#N/A</v>
      </c>
      <c r="F180" s="9" t="e">
        <f t="shared" si="115"/>
        <v>#N/A</v>
      </c>
      <c r="G180" s="9" t="e">
        <f t="shared" si="115"/>
        <v>#N/A</v>
      </c>
      <c r="H180" s="9" t="e">
        <f t="shared" si="115"/>
        <v>#N/A</v>
      </c>
      <c r="I180" s="9" t="e">
        <f t="shared" si="115"/>
        <v>#N/A</v>
      </c>
      <c r="K180" s="9">
        <f t="shared" si="116"/>
        <v>2.5999888270601637E-2</v>
      </c>
      <c r="L180" s="9" t="e">
        <f t="shared" si="117"/>
        <v>#VALUE!</v>
      </c>
      <c r="M180" s="9" t="e">
        <f t="shared" si="118"/>
        <v>#VALUE!</v>
      </c>
      <c r="N180" s="9" t="e">
        <f t="shared" si="119"/>
        <v>#VALUE!</v>
      </c>
      <c r="O180" s="9" t="e">
        <f t="shared" si="120"/>
        <v>#VALUE!</v>
      </c>
      <c r="P180" s="9" t="e">
        <f t="shared" si="121"/>
        <v>#VALUE!</v>
      </c>
    </row>
    <row r="181" spans="3:16" x14ac:dyDescent="0.15">
      <c r="C181" s="9">
        <f t="shared" si="122"/>
        <v>0.90000000000000024</v>
      </c>
      <c r="D181" s="9">
        <f t="shared" si="115"/>
        <v>0.45000000000000012</v>
      </c>
      <c r="E181" s="9" t="e">
        <f t="shared" si="115"/>
        <v>#N/A</v>
      </c>
      <c r="F181" s="9" t="e">
        <f t="shared" si="115"/>
        <v>#N/A</v>
      </c>
      <c r="G181" s="9" t="e">
        <f t="shared" si="115"/>
        <v>#N/A</v>
      </c>
      <c r="H181" s="9" t="e">
        <f t="shared" si="115"/>
        <v>#N/A</v>
      </c>
      <c r="I181" s="9" t="e">
        <f t="shared" si="115"/>
        <v>#N/A</v>
      </c>
      <c r="K181" s="9">
        <f t="shared" si="116"/>
        <v>2.5999856417731594E-2</v>
      </c>
      <c r="L181" s="9" t="e">
        <f t="shared" si="117"/>
        <v>#VALUE!</v>
      </c>
      <c r="M181" s="9" t="e">
        <f t="shared" si="118"/>
        <v>#VALUE!</v>
      </c>
      <c r="N181" s="9" t="e">
        <f t="shared" si="119"/>
        <v>#VALUE!</v>
      </c>
      <c r="O181" s="9" t="e">
        <f t="shared" si="120"/>
        <v>#VALUE!</v>
      </c>
      <c r="P181" s="9" t="e">
        <f t="shared" si="121"/>
        <v>#VALUE!</v>
      </c>
    </row>
    <row r="182" spans="3:16" x14ac:dyDescent="0.15">
      <c r="C182" s="9">
        <f t="shared" si="122"/>
        <v>0.95000000000000029</v>
      </c>
      <c r="D182" s="9">
        <f t="shared" si="115"/>
        <v>0.47500000000000014</v>
      </c>
      <c r="E182" s="9" t="e">
        <f t="shared" si="115"/>
        <v>#N/A</v>
      </c>
      <c r="F182" s="9" t="e">
        <f t="shared" si="115"/>
        <v>#N/A</v>
      </c>
      <c r="G182" s="9" t="e">
        <f t="shared" si="115"/>
        <v>#N/A</v>
      </c>
      <c r="H182" s="9" t="e">
        <f t="shared" si="115"/>
        <v>#N/A</v>
      </c>
      <c r="I182" s="9" t="e">
        <f t="shared" si="115"/>
        <v>#N/A</v>
      </c>
      <c r="K182" s="9">
        <f t="shared" si="116"/>
        <v>2.5999816267383648E-2</v>
      </c>
      <c r="L182" s="9" t="e">
        <f t="shared" si="117"/>
        <v>#VALUE!</v>
      </c>
      <c r="M182" s="9" t="e">
        <f t="shared" si="118"/>
        <v>#VALUE!</v>
      </c>
      <c r="N182" s="9" t="e">
        <f t="shared" si="119"/>
        <v>#VALUE!</v>
      </c>
      <c r="O182" s="9" t="e">
        <f t="shared" si="120"/>
        <v>#VALUE!</v>
      </c>
      <c r="P182" s="9" t="e">
        <f t="shared" si="121"/>
        <v>#VALUE!</v>
      </c>
    </row>
    <row r="183" spans="3:16" x14ac:dyDescent="0.15">
      <c r="C183" s="9">
        <f t="shared" si="122"/>
        <v>1.0000000000000002</v>
      </c>
      <c r="D183" s="9">
        <f t="shared" si="115"/>
        <v>0.50000000000000011</v>
      </c>
      <c r="E183" s="9" t="e">
        <f t="shared" si="115"/>
        <v>#N/A</v>
      </c>
      <c r="F183" s="9" t="e">
        <f t="shared" si="115"/>
        <v>#N/A</v>
      </c>
      <c r="G183" s="9" t="e">
        <f t="shared" si="115"/>
        <v>#N/A</v>
      </c>
      <c r="H183" s="9" t="e">
        <f t="shared" si="115"/>
        <v>#N/A</v>
      </c>
      <c r="I183" s="9" t="e">
        <f t="shared" si="115"/>
        <v>#N/A</v>
      </c>
      <c r="K183" s="9">
        <f t="shared" si="116"/>
        <v>2.5999765845885064E-2</v>
      </c>
      <c r="L183" s="9" t="e">
        <f t="shared" si="117"/>
        <v>#VALUE!</v>
      </c>
      <c r="M183" s="9" t="e">
        <f t="shared" si="118"/>
        <v>#VALUE!</v>
      </c>
      <c r="N183" s="9" t="e">
        <f t="shared" si="119"/>
        <v>#VALUE!</v>
      </c>
      <c r="O183" s="9" t="e">
        <f t="shared" si="120"/>
        <v>#VALUE!</v>
      </c>
      <c r="P183" s="9" t="e">
        <f t="shared" si="121"/>
        <v>#VALUE!</v>
      </c>
    </row>
    <row r="184" spans="3:16" x14ac:dyDescent="0.15">
      <c r="C184" t="s">
        <v>93</v>
      </c>
    </row>
    <row r="185" spans="3:16" x14ac:dyDescent="0.15">
      <c r="D185" s="9" t="s">
        <v>94</v>
      </c>
      <c r="E185" s="9" t="s">
        <v>94</v>
      </c>
      <c r="F185" s="9" t="s">
        <v>94</v>
      </c>
      <c r="G185" s="9" t="s">
        <v>94</v>
      </c>
      <c r="H185" s="9" t="s">
        <v>94</v>
      </c>
      <c r="I185" s="9" t="s">
        <v>94</v>
      </c>
    </row>
    <row r="186" spans="3:16" x14ac:dyDescent="0.15">
      <c r="D186" s="9">
        <f>$D$29</f>
        <v>0.13333333333333336</v>
      </c>
      <c r="E186" s="9">
        <f t="shared" ref="E186:I201" si="123">$D$29</f>
        <v>0.13333333333333336</v>
      </c>
      <c r="F186" s="9">
        <f t="shared" si="123"/>
        <v>0.13333333333333336</v>
      </c>
      <c r="G186" s="9">
        <f t="shared" si="123"/>
        <v>0.13333333333333336</v>
      </c>
      <c r="H186" s="9">
        <f t="shared" si="123"/>
        <v>0.13333333333333336</v>
      </c>
      <c r="I186" s="9">
        <f t="shared" si="123"/>
        <v>0.13333333333333336</v>
      </c>
    </row>
    <row r="187" spans="3:16" x14ac:dyDescent="0.15">
      <c r="D187" s="9">
        <f t="shared" ref="D187:I202" si="124">$D$29</f>
        <v>0.13333333333333336</v>
      </c>
      <c r="E187" s="9">
        <f t="shared" si="123"/>
        <v>0.13333333333333336</v>
      </c>
      <c r="F187" s="9">
        <f t="shared" si="123"/>
        <v>0.13333333333333336</v>
      </c>
      <c r="G187" s="9">
        <f t="shared" si="123"/>
        <v>0.13333333333333336</v>
      </c>
      <c r="H187" s="9">
        <f t="shared" si="123"/>
        <v>0.13333333333333336</v>
      </c>
      <c r="I187" s="9">
        <f t="shared" si="123"/>
        <v>0.13333333333333336</v>
      </c>
    </row>
    <row r="188" spans="3:16" x14ac:dyDescent="0.15">
      <c r="D188" s="9">
        <f t="shared" si="124"/>
        <v>0.13333333333333336</v>
      </c>
      <c r="E188" s="9">
        <f t="shared" si="123"/>
        <v>0.13333333333333336</v>
      </c>
      <c r="F188" s="9">
        <f t="shared" si="123"/>
        <v>0.13333333333333336</v>
      </c>
      <c r="G188" s="9">
        <f t="shared" si="123"/>
        <v>0.13333333333333336</v>
      </c>
      <c r="H188" s="9">
        <f t="shared" si="123"/>
        <v>0.13333333333333336</v>
      </c>
      <c r="I188" s="9">
        <f t="shared" si="123"/>
        <v>0.13333333333333336</v>
      </c>
    </row>
    <row r="189" spans="3:16" x14ac:dyDescent="0.15">
      <c r="D189" s="9">
        <f t="shared" si="124"/>
        <v>0.13333333333333336</v>
      </c>
      <c r="E189" s="9">
        <f t="shared" si="123"/>
        <v>0.13333333333333336</v>
      </c>
      <c r="F189" s="9">
        <f t="shared" si="123"/>
        <v>0.13333333333333336</v>
      </c>
      <c r="G189" s="9">
        <f t="shared" si="123"/>
        <v>0.13333333333333336</v>
      </c>
      <c r="H189" s="9">
        <f t="shared" si="123"/>
        <v>0.13333333333333336</v>
      </c>
      <c r="I189" s="9">
        <f t="shared" si="123"/>
        <v>0.13333333333333336</v>
      </c>
    </row>
    <row r="190" spans="3:16" x14ac:dyDescent="0.15">
      <c r="D190" s="9">
        <f t="shared" si="124"/>
        <v>0.13333333333333336</v>
      </c>
      <c r="E190" s="9">
        <f t="shared" si="123"/>
        <v>0.13333333333333336</v>
      </c>
      <c r="F190" s="9">
        <f t="shared" si="123"/>
        <v>0.13333333333333336</v>
      </c>
      <c r="G190" s="9">
        <f t="shared" si="123"/>
        <v>0.13333333333333336</v>
      </c>
      <c r="H190" s="9">
        <f t="shared" si="123"/>
        <v>0.13333333333333336</v>
      </c>
      <c r="I190" s="9">
        <f t="shared" si="123"/>
        <v>0.13333333333333336</v>
      </c>
    </row>
    <row r="191" spans="3:16" x14ac:dyDescent="0.15">
      <c r="D191" s="9">
        <f t="shared" si="124"/>
        <v>0.13333333333333336</v>
      </c>
      <c r="E191" s="9">
        <f t="shared" si="123"/>
        <v>0.13333333333333336</v>
      </c>
      <c r="F191" s="9">
        <f t="shared" si="123"/>
        <v>0.13333333333333336</v>
      </c>
      <c r="G191" s="9">
        <f t="shared" si="123"/>
        <v>0.13333333333333336</v>
      </c>
      <c r="H191" s="9">
        <f t="shared" si="123"/>
        <v>0.13333333333333336</v>
      </c>
      <c r="I191" s="9">
        <f t="shared" si="123"/>
        <v>0.13333333333333336</v>
      </c>
    </row>
    <row r="192" spans="3:16" x14ac:dyDescent="0.15">
      <c r="D192" s="9">
        <f t="shared" si="124"/>
        <v>0.13333333333333336</v>
      </c>
      <c r="E192" s="9">
        <f t="shared" si="123"/>
        <v>0.13333333333333336</v>
      </c>
      <c r="F192" s="9">
        <f t="shared" si="123"/>
        <v>0.13333333333333336</v>
      </c>
      <c r="G192" s="9">
        <f t="shared" si="123"/>
        <v>0.13333333333333336</v>
      </c>
      <c r="H192" s="9">
        <f t="shared" si="123"/>
        <v>0.13333333333333336</v>
      </c>
      <c r="I192" s="9">
        <f t="shared" si="123"/>
        <v>0.13333333333333336</v>
      </c>
    </row>
    <row r="193" spans="4:9" x14ac:dyDescent="0.15">
      <c r="D193" s="9">
        <f t="shared" si="124"/>
        <v>0.13333333333333336</v>
      </c>
      <c r="E193" s="9">
        <f t="shared" si="123"/>
        <v>0.13333333333333336</v>
      </c>
      <c r="F193" s="9">
        <f t="shared" si="123"/>
        <v>0.13333333333333336</v>
      </c>
      <c r="G193" s="9">
        <f t="shared" si="123"/>
        <v>0.13333333333333336</v>
      </c>
      <c r="H193" s="9">
        <f t="shared" si="123"/>
        <v>0.13333333333333336</v>
      </c>
      <c r="I193" s="9">
        <f t="shared" si="123"/>
        <v>0.13333333333333336</v>
      </c>
    </row>
    <row r="194" spans="4:9" x14ac:dyDescent="0.15">
      <c r="D194" s="9">
        <f t="shared" si="124"/>
        <v>0.13333333333333336</v>
      </c>
      <c r="E194" s="9">
        <f t="shared" si="123"/>
        <v>0.13333333333333336</v>
      </c>
      <c r="F194" s="9">
        <f t="shared" si="123"/>
        <v>0.13333333333333336</v>
      </c>
      <c r="G194" s="9">
        <f t="shared" si="123"/>
        <v>0.13333333333333336</v>
      </c>
      <c r="H194" s="9">
        <f t="shared" si="123"/>
        <v>0.13333333333333336</v>
      </c>
      <c r="I194" s="9">
        <f t="shared" si="123"/>
        <v>0.13333333333333336</v>
      </c>
    </row>
    <row r="195" spans="4:9" x14ac:dyDescent="0.15">
      <c r="D195" s="9">
        <f t="shared" si="124"/>
        <v>0.13333333333333336</v>
      </c>
      <c r="E195" s="9">
        <f t="shared" si="123"/>
        <v>0.13333333333333336</v>
      </c>
      <c r="F195" s="9">
        <f t="shared" si="123"/>
        <v>0.13333333333333336</v>
      </c>
      <c r="G195" s="9">
        <f t="shared" si="123"/>
        <v>0.13333333333333336</v>
      </c>
      <c r="H195" s="9">
        <f t="shared" si="123"/>
        <v>0.13333333333333336</v>
      </c>
      <c r="I195" s="9">
        <f t="shared" si="123"/>
        <v>0.13333333333333336</v>
      </c>
    </row>
    <row r="196" spans="4:9" x14ac:dyDescent="0.15">
      <c r="D196" s="9">
        <f t="shared" si="124"/>
        <v>0.13333333333333336</v>
      </c>
      <c r="E196" s="9">
        <f t="shared" si="123"/>
        <v>0.13333333333333336</v>
      </c>
      <c r="F196" s="9">
        <f t="shared" si="123"/>
        <v>0.13333333333333336</v>
      </c>
      <c r="G196" s="9">
        <f t="shared" si="123"/>
        <v>0.13333333333333336</v>
      </c>
      <c r="H196" s="9">
        <f t="shared" si="123"/>
        <v>0.13333333333333336</v>
      </c>
      <c r="I196" s="9">
        <f t="shared" si="123"/>
        <v>0.13333333333333336</v>
      </c>
    </row>
    <row r="197" spans="4:9" x14ac:dyDescent="0.15">
      <c r="D197" s="9">
        <f t="shared" si="124"/>
        <v>0.13333333333333336</v>
      </c>
      <c r="E197" s="9">
        <f t="shared" si="123"/>
        <v>0.13333333333333336</v>
      </c>
      <c r="F197" s="9">
        <f t="shared" si="123"/>
        <v>0.13333333333333336</v>
      </c>
      <c r="G197" s="9">
        <f t="shared" si="123"/>
        <v>0.13333333333333336</v>
      </c>
      <c r="H197" s="9">
        <f t="shared" si="123"/>
        <v>0.13333333333333336</v>
      </c>
      <c r="I197" s="9">
        <f t="shared" si="123"/>
        <v>0.13333333333333336</v>
      </c>
    </row>
    <row r="198" spans="4:9" x14ac:dyDescent="0.15">
      <c r="D198" s="9">
        <f t="shared" si="124"/>
        <v>0.13333333333333336</v>
      </c>
      <c r="E198" s="9">
        <f t="shared" si="123"/>
        <v>0.13333333333333336</v>
      </c>
      <c r="F198" s="9">
        <f t="shared" si="123"/>
        <v>0.13333333333333336</v>
      </c>
      <c r="G198" s="9">
        <f t="shared" si="123"/>
        <v>0.13333333333333336</v>
      </c>
      <c r="H198" s="9">
        <f t="shared" si="123"/>
        <v>0.13333333333333336</v>
      </c>
      <c r="I198" s="9">
        <f t="shared" si="123"/>
        <v>0.13333333333333336</v>
      </c>
    </row>
    <row r="199" spans="4:9" x14ac:dyDescent="0.15">
      <c r="D199" s="9">
        <f t="shared" si="124"/>
        <v>0.13333333333333336</v>
      </c>
      <c r="E199" s="9">
        <f t="shared" si="123"/>
        <v>0.13333333333333336</v>
      </c>
      <c r="F199" s="9">
        <f t="shared" si="123"/>
        <v>0.13333333333333336</v>
      </c>
      <c r="G199" s="9">
        <f t="shared" si="123"/>
        <v>0.13333333333333336</v>
      </c>
      <c r="H199" s="9">
        <f t="shared" si="123"/>
        <v>0.13333333333333336</v>
      </c>
      <c r="I199" s="9">
        <f t="shared" si="123"/>
        <v>0.13333333333333336</v>
      </c>
    </row>
    <row r="200" spans="4:9" x14ac:dyDescent="0.15">
      <c r="D200" s="9">
        <f t="shared" si="124"/>
        <v>0.13333333333333336</v>
      </c>
      <c r="E200" s="9">
        <f t="shared" si="123"/>
        <v>0.13333333333333336</v>
      </c>
      <c r="F200" s="9">
        <f t="shared" si="123"/>
        <v>0.13333333333333336</v>
      </c>
      <c r="G200" s="9">
        <f t="shared" si="123"/>
        <v>0.13333333333333336</v>
      </c>
      <c r="H200" s="9">
        <f t="shared" si="123"/>
        <v>0.13333333333333336</v>
      </c>
      <c r="I200" s="9">
        <f t="shared" si="123"/>
        <v>0.13333333333333336</v>
      </c>
    </row>
    <row r="201" spans="4:9" x14ac:dyDescent="0.15">
      <c r="D201" s="9">
        <f t="shared" si="124"/>
        <v>0.13333333333333336</v>
      </c>
      <c r="E201" s="9">
        <f t="shared" si="123"/>
        <v>0.13333333333333336</v>
      </c>
      <c r="F201" s="9">
        <f t="shared" si="123"/>
        <v>0.13333333333333336</v>
      </c>
      <c r="G201" s="9">
        <f t="shared" si="123"/>
        <v>0.13333333333333336</v>
      </c>
      <c r="H201" s="9">
        <f t="shared" si="123"/>
        <v>0.13333333333333336</v>
      </c>
      <c r="I201" s="9">
        <f t="shared" si="123"/>
        <v>0.13333333333333336</v>
      </c>
    </row>
    <row r="202" spans="4:9" x14ac:dyDescent="0.15">
      <c r="D202" s="9">
        <f t="shared" si="124"/>
        <v>0.13333333333333336</v>
      </c>
      <c r="E202" s="9">
        <f t="shared" si="124"/>
        <v>0.13333333333333336</v>
      </c>
      <c r="F202" s="9">
        <f t="shared" si="124"/>
        <v>0.13333333333333336</v>
      </c>
      <c r="G202" s="9">
        <f t="shared" si="124"/>
        <v>0.13333333333333336</v>
      </c>
      <c r="H202" s="9">
        <f t="shared" si="124"/>
        <v>0.13333333333333336</v>
      </c>
      <c r="I202" s="9">
        <f t="shared" si="124"/>
        <v>0.13333333333333336</v>
      </c>
    </row>
    <row r="203" spans="4:9" x14ac:dyDescent="0.15">
      <c r="D203" s="9">
        <f t="shared" ref="D203:I207" si="125">$D$29</f>
        <v>0.13333333333333336</v>
      </c>
      <c r="E203" s="9">
        <f t="shared" si="125"/>
        <v>0.13333333333333336</v>
      </c>
      <c r="F203" s="9">
        <f t="shared" si="125"/>
        <v>0.13333333333333336</v>
      </c>
      <c r="G203" s="9">
        <f t="shared" si="125"/>
        <v>0.13333333333333336</v>
      </c>
      <c r="H203" s="9">
        <f t="shared" si="125"/>
        <v>0.13333333333333336</v>
      </c>
      <c r="I203" s="9">
        <f t="shared" si="125"/>
        <v>0.13333333333333336</v>
      </c>
    </row>
    <row r="204" spans="4:9" x14ac:dyDescent="0.15">
      <c r="D204" s="9">
        <f t="shared" si="125"/>
        <v>0.13333333333333336</v>
      </c>
      <c r="E204" s="9">
        <f t="shared" si="125"/>
        <v>0.13333333333333336</v>
      </c>
      <c r="F204" s="9">
        <f t="shared" si="125"/>
        <v>0.13333333333333336</v>
      </c>
      <c r="G204" s="9">
        <f t="shared" si="125"/>
        <v>0.13333333333333336</v>
      </c>
      <c r="H204" s="9">
        <f t="shared" si="125"/>
        <v>0.13333333333333336</v>
      </c>
      <c r="I204" s="9">
        <f t="shared" si="125"/>
        <v>0.13333333333333336</v>
      </c>
    </row>
    <row r="205" spans="4:9" x14ac:dyDescent="0.15">
      <c r="D205" s="9">
        <f t="shared" si="125"/>
        <v>0.13333333333333336</v>
      </c>
      <c r="E205" s="9">
        <f t="shared" si="125"/>
        <v>0.13333333333333336</v>
      </c>
      <c r="F205" s="9">
        <f t="shared" si="125"/>
        <v>0.13333333333333336</v>
      </c>
      <c r="G205" s="9">
        <f t="shared" si="125"/>
        <v>0.13333333333333336</v>
      </c>
      <c r="H205" s="9">
        <f t="shared" si="125"/>
        <v>0.13333333333333336</v>
      </c>
      <c r="I205" s="9">
        <f t="shared" si="125"/>
        <v>0.13333333333333336</v>
      </c>
    </row>
    <row r="206" spans="4:9" x14ac:dyDescent="0.15">
      <c r="D206" s="9">
        <f t="shared" si="125"/>
        <v>0.13333333333333336</v>
      </c>
      <c r="E206" s="9">
        <f t="shared" si="125"/>
        <v>0.13333333333333336</v>
      </c>
      <c r="F206" s="9">
        <f t="shared" si="125"/>
        <v>0.13333333333333336</v>
      </c>
      <c r="G206" s="9">
        <f t="shared" si="125"/>
        <v>0.13333333333333336</v>
      </c>
      <c r="H206" s="9">
        <f t="shared" si="125"/>
        <v>0.13333333333333336</v>
      </c>
      <c r="I206" s="9">
        <f t="shared" si="125"/>
        <v>0.13333333333333336</v>
      </c>
    </row>
    <row r="207" spans="4:9" x14ac:dyDescent="0.15">
      <c r="D207" s="9">
        <f t="shared" si="125"/>
        <v>0.13333333333333336</v>
      </c>
      <c r="E207" s="9">
        <f t="shared" si="125"/>
        <v>0.13333333333333336</v>
      </c>
      <c r="F207" s="9">
        <f t="shared" si="125"/>
        <v>0.13333333333333336</v>
      </c>
      <c r="G207" s="9">
        <f t="shared" si="125"/>
        <v>0.13333333333333336</v>
      </c>
      <c r="H207" s="9">
        <f t="shared" si="125"/>
        <v>0.13333333333333336</v>
      </c>
      <c r="I207" s="9">
        <f t="shared" si="125"/>
        <v>0.13333333333333336</v>
      </c>
    </row>
    <row r="210" spans="1:16" x14ac:dyDescent="0.15">
      <c r="A210" s="8" t="s">
        <v>46</v>
      </c>
      <c r="D210" s="10" t="str">
        <f t="shared" ref="D210:I210" si="126">D5</f>
        <v>砒素</v>
      </c>
      <c r="E210" s="10" t="str">
        <f t="shared" si="126"/>
        <v>ふっ素</v>
      </c>
      <c r="F210" s="10" t="str">
        <f t="shared" si="126"/>
        <v>ほう素</v>
      </c>
      <c r="G210" s="10" t="str">
        <f t="shared" si="126"/>
        <v>カドミウム</v>
      </c>
      <c r="H210" s="10" t="str">
        <f t="shared" si="126"/>
        <v>セレン</v>
      </c>
      <c r="I210" s="10" t="str">
        <f t="shared" si="126"/>
        <v>六価クロム</v>
      </c>
      <c r="K210" s="10" t="str">
        <f t="shared" ref="K210:P210" si="127">K115</f>
        <v>砒素</v>
      </c>
      <c r="L210" s="10" t="str">
        <f t="shared" si="127"/>
        <v>ふっ素</v>
      </c>
      <c r="M210" s="10" t="str">
        <f t="shared" si="127"/>
        <v>ほう素</v>
      </c>
      <c r="N210" s="10" t="str">
        <f t="shared" si="127"/>
        <v>カドミウム</v>
      </c>
      <c r="O210" s="10" t="str">
        <f t="shared" si="127"/>
        <v>セレン</v>
      </c>
      <c r="P210" s="10" t="str">
        <f t="shared" si="127"/>
        <v>六価クロム</v>
      </c>
    </row>
    <row r="211" spans="1:16" x14ac:dyDescent="0.15">
      <c r="A211" s="8" t="s">
        <v>113</v>
      </c>
      <c r="C211" t="s">
        <v>92</v>
      </c>
      <c r="D211" s="9">
        <f>IF(D57=TRUE,0,NA())</f>
        <v>0</v>
      </c>
      <c r="E211" s="9" t="e">
        <f t="shared" ref="E211:I211" si="128">IF(E57=TRUE,0,NA())</f>
        <v>#N/A</v>
      </c>
      <c r="F211" s="9" t="e">
        <f t="shared" si="128"/>
        <v>#N/A</v>
      </c>
      <c r="G211" s="9" t="e">
        <f t="shared" si="128"/>
        <v>#N/A</v>
      </c>
      <c r="H211" s="9" t="e">
        <f t="shared" si="128"/>
        <v>#N/A</v>
      </c>
      <c r="I211" s="9" t="e">
        <f t="shared" si="128"/>
        <v>#N/A</v>
      </c>
      <c r="J211" t="s">
        <v>29</v>
      </c>
      <c r="K211" s="9">
        <f t="shared" ref="K211:P211" si="129">D11</f>
        <v>0.01</v>
      </c>
      <c r="L211" s="9">
        <f t="shared" si="129"/>
        <v>0.8</v>
      </c>
      <c r="M211" s="9">
        <f t="shared" si="129"/>
        <v>1</v>
      </c>
      <c r="N211" s="9">
        <f t="shared" si="129"/>
        <v>3.0000000000000001E-3</v>
      </c>
      <c r="O211" s="9">
        <f t="shared" si="129"/>
        <v>0.01</v>
      </c>
      <c r="P211" s="9">
        <f t="shared" si="129"/>
        <v>0.05</v>
      </c>
    </row>
    <row r="212" spans="1:16" x14ac:dyDescent="0.15">
      <c r="A212" t="s">
        <v>104</v>
      </c>
      <c r="D212" s="9">
        <f>IF(D57=TRUE,D161/2,NA())</f>
        <v>0.25</v>
      </c>
      <c r="E212" s="9" t="e">
        <f t="shared" ref="E212:I212" si="130">IF(E57=TRUE,E161/2,NA())</f>
        <v>#N/A</v>
      </c>
      <c r="F212" s="9" t="e">
        <f t="shared" si="130"/>
        <v>#N/A</v>
      </c>
      <c r="G212" s="9" t="e">
        <f t="shared" si="130"/>
        <v>#N/A</v>
      </c>
      <c r="H212" s="9" t="e">
        <f t="shared" si="130"/>
        <v>#N/A</v>
      </c>
      <c r="I212" s="9" t="e">
        <f t="shared" si="130"/>
        <v>#N/A</v>
      </c>
      <c r="K212" s="9">
        <f t="shared" ref="K212:P212" si="131">D11</f>
        <v>0.01</v>
      </c>
      <c r="L212" s="9">
        <f t="shared" si="131"/>
        <v>0.8</v>
      </c>
      <c r="M212" s="9">
        <f t="shared" si="131"/>
        <v>1</v>
      </c>
      <c r="N212" s="9">
        <f t="shared" si="131"/>
        <v>3.0000000000000001E-3</v>
      </c>
      <c r="O212" s="9">
        <f t="shared" si="131"/>
        <v>0.01</v>
      </c>
      <c r="P212" s="9">
        <f t="shared" si="131"/>
        <v>0.05</v>
      </c>
    </row>
    <row r="213" spans="1:16" x14ac:dyDescent="0.15">
      <c r="D213" s="9">
        <f>IF(D57=TRUE,D161,NA())</f>
        <v>0.5</v>
      </c>
      <c r="E213" s="9" t="e">
        <f t="shared" ref="E213:I213" si="132">IF(E57=TRUE,E161,NA())</f>
        <v>#N/A</v>
      </c>
      <c r="F213" s="9" t="e">
        <f t="shared" si="132"/>
        <v>#N/A</v>
      </c>
      <c r="G213" s="9" t="e">
        <f t="shared" si="132"/>
        <v>#N/A</v>
      </c>
      <c r="H213" s="9" t="e">
        <f t="shared" si="132"/>
        <v>#N/A</v>
      </c>
      <c r="I213" s="9" t="e">
        <f t="shared" si="132"/>
        <v>#N/A</v>
      </c>
      <c r="K213" s="9">
        <f t="shared" ref="K213:P213" si="133">D11</f>
        <v>0.01</v>
      </c>
      <c r="L213" s="9">
        <f t="shared" si="133"/>
        <v>0.8</v>
      </c>
      <c r="M213" s="9">
        <f t="shared" si="133"/>
        <v>1</v>
      </c>
      <c r="N213" s="9">
        <f t="shared" si="133"/>
        <v>3.0000000000000001E-3</v>
      </c>
      <c r="O213" s="9">
        <f t="shared" si="133"/>
        <v>0.01</v>
      </c>
      <c r="P213" s="9">
        <f t="shared" si="133"/>
        <v>0.05</v>
      </c>
    </row>
    <row r="215" spans="1:16" x14ac:dyDescent="0.15">
      <c r="A215" s="8" t="s">
        <v>46</v>
      </c>
      <c r="D215" s="10" t="str">
        <f t="shared" ref="D215:I215" si="134">D5</f>
        <v>砒素</v>
      </c>
      <c r="E215" s="10" t="str">
        <f t="shared" si="134"/>
        <v>ふっ素</v>
      </c>
      <c r="F215" s="10" t="str">
        <f t="shared" si="134"/>
        <v>ほう素</v>
      </c>
      <c r="G215" s="10" t="str">
        <f t="shared" si="134"/>
        <v>カドミウム</v>
      </c>
      <c r="H215" s="10" t="str">
        <f t="shared" si="134"/>
        <v>セレン</v>
      </c>
      <c r="I215" s="10" t="str">
        <f t="shared" si="134"/>
        <v>六価クロム</v>
      </c>
      <c r="K215" s="10" t="str">
        <f t="shared" ref="K215:P215" si="135">K115</f>
        <v>砒素</v>
      </c>
      <c r="L215" s="10" t="str">
        <f t="shared" si="135"/>
        <v>ふっ素</v>
      </c>
      <c r="M215" s="10" t="str">
        <f t="shared" si="135"/>
        <v>ほう素</v>
      </c>
      <c r="N215" s="10" t="str">
        <f t="shared" si="135"/>
        <v>カドミウム</v>
      </c>
      <c r="O215" s="10" t="str">
        <f t="shared" si="135"/>
        <v>セレン</v>
      </c>
      <c r="P215" s="10" t="str">
        <f t="shared" si="135"/>
        <v>六価クロム</v>
      </c>
    </row>
    <row r="216" spans="1:16" x14ac:dyDescent="0.15">
      <c r="A216" s="8" t="s">
        <v>114</v>
      </c>
      <c r="C216" t="s">
        <v>92</v>
      </c>
      <c r="D216" s="9">
        <f>IF(D57=TRUE,$D$3,NA())</f>
        <v>0.5</v>
      </c>
      <c r="E216" s="9" t="e">
        <f t="shared" ref="E216:I216" si="136">IF(E57=TRUE,$D$3,NA())</f>
        <v>#N/A</v>
      </c>
      <c r="F216" s="9" t="e">
        <f t="shared" si="136"/>
        <v>#N/A</v>
      </c>
      <c r="G216" s="9" t="e">
        <f t="shared" si="136"/>
        <v>#N/A</v>
      </c>
      <c r="H216" s="9" t="e">
        <f t="shared" si="136"/>
        <v>#N/A</v>
      </c>
      <c r="I216" s="9" t="e">
        <f t="shared" si="136"/>
        <v>#N/A</v>
      </c>
      <c r="J216" t="s">
        <v>29</v>
      </c>
      <c r="K216" s="9">
        <v>0</v>
      </c>
      <c r="L216" s="9">
        <v>0</v>
      </c>
      <c r="M216" s="9">
        <v>0</v>
      </c>
      <c r="N216" s="9">
        <v>0</v>
      </c>
      <c r="O216" s="9">
        <v>0</v>
      </c>
      <c r="P216" s="9">
        <v>0</v>
      </c>
    </row>
    <row r="217" spans="1:16" x14ac:dyDescent="0.15">
      <c r="A217" t="s">
        <v>103</v>
      </c>
      <c r="D217" s="9">
        <f>IF(D57=TRUE,$D$3,NA())</f>
        <v>0.5</v>
      </c>
      <c r="E217" s="9" t="e">
        <f t="shared" ref="E217:I217" si="137">IF(E57=TRUE,$D$3,NA())</f>
        <v>#N/A</v>
      </c>
      <c r="F217" s="9" t="e">
        <f t="shared" si="137"/>
        <v>#N/A</v>
      </c>
      <c r="G217" s="9" t="e">
        <f t="shared" si="137"/>
        <v>#N/A</v>
      </c>
      <c r="H217" s="9" t="e">
        <f t="shared" si="137"/>
        <v>#N/A</v>
      </c>
      <c r="I217" s="9" t="e">
        <f t="shared" si="137"/>
        <v>#N/A</v>
      </c>
      <c r="K217" s="9">
        <f t="shared" ref="K217:P217" si="138">D8/2</f>
        <v>1.2999999999999999E-2</v>
      </c>
      <c r="L217" s="9" t="e">
        <f t="shared" si="138"/>
        <v>#VALUE!</v>
      </c>
      <c r="M217" s="9" t="e">
        <f t="shared" si="138"/>
        <v>#VALUE!</v>
      </c>
      <c r="N217" s="9" t="e">
        <f t="shared" si="138"/>
        <v>#VALUE!</v>
      </c>
      <c r="O217" s="9" t="e">
        <f t="shared" si="138"/>
        <v>#VALUE!</v>
      </c>
      <c r="P217" s="9" t="e">
        <f t="shared" si="138"/>
        <v>#VALUE!</v>
      </c>
    </row>
    <row r="218" spans="1:16" x14ac:dyDescent="0.15">
      <c r="D218" s="9">
        <f>IF(D57=TRUE,$D$3,NA())</f>
        <v>0.5</v>
      </c>
      <c r="E218" s="9" t="e">
        <f t="shared" ref="E218:I218" si="139">IF(E57=TRUE,$D$3,NA())</f>
        <v>#N/A</v>
      </c>
      <c r="F218" s="9" t="e">
        <f t="shared" si="139"/>
        <v>#N/A</v>
      </c>
      <c r="G218" s="9" t="e">
        <f t="shared" si="139"/>
        <v>#N/A</v>
      </c>
      <c r="H218" s="9" t="e">
        <f t="shared" si="139"/>
        <v>#N/A</v>
      </c>
      <c r="I218" s="9" t="e">
        <f t="shared" si="139"/>
        <v>#N/A</v>
      </c>
      <c r="K218" s="9">
        <f t="shared" ref="K218:P218" si="140">D8</f>
        <v>2.5999999999999999E-2</v>
      </c>
      <c r="L218" s="9" t="str">
        <f t="shared" si="140"/>
        <v/>
      </c>
      <c r="M218" s="9" t="str">
        <f t="shared" si="140"/>
        <v/>
      </c>
      <c r="N218" s="9" t="str">
        <f t="shared" si="140"/>
        <v/>
      </c>
      <c r="O218" s="9" t="str">
        <f t="shared" si="140"/>
        <v/>
      </c>
      <c r="P218" s="9" t="str">
        <f t="shared" si="140"/>
        <v/>
      </c>
    </row>
    <row r="220" spans="1:16" x14ac:dyDescent="0.15">
      <c r="A220" s="8" t="s">
        <v>46</v>
      </c>
      <c r="D220" s="10" t="str">
        <f t="shared" ref="D220:I220" si="141">D5</f>
        <v>砒素</v>
      </c>
      <c r="E220" s="10" t="str">
        <f t="shared" si="141"/>
        <v>ふっ素</v>
      </c>
      <c r="F220" s="10" t="str">
        <f t="shared" si="141"/>
        <v>ほう素</v>
      </c>
      <c r="G220" s="10" t="str">
        <f t="shared" si="141"/>
        <v>カドミウム</v>
      </c>
      <c r="H220" s="10" t="str">
        <f t="shared" si="141"/>
        <v>セレン</v>
      </c>
      <c r="I220" s="10" t="str">
        <f t="shared" si="141"/>
        <v>六価クロム</v>
      </c>
      <c r="K220" s="10" t="str">
        <f t="shared" ref="K220:P220" si="142">K115</f>
        <v>砒素</v>
      </c>
      <c r="L220" s="10" t="str">
        <f t="shared" si="142"/>
        <v>ふっ素</v>
      </c>
      <c r="M220" s="10" t="str">
        <f t="shared" si="142"/>
        <v>ほう素</v>
      </c>
      <c r="N220" s="10" t="str">
        <f t="shared" si="142"/>
        <v>カドミウム</v>
      </c>
      <c r="O220" s="10" t="str">
        <f t="shared" si="142"/>
        <v>セレン</v>
      </c>
      <c r="P220" s="10" t="str">
        <f t="shared" si="142"/>
        <v>六価クロム</v>
      </c>
    </row>
    <row r="221" spans="1:16" x14ac:dyDescent="0.15">
      <c r="A221" s="8" t="s">
        <v>105</v>
      </c>
      <c r="C221" t="s">
        <v>92</v>
      </c>
      <c r="D221" s="9" t="e">
        <f>IFERROR(D226,NA())</f>
        <v>#N/A</v>
      </c>
      <c r="E221" s="9" t="e">
        <f t="shared" ref="E221:I221" si="143">IFERROR(E226,NA())</f>
        <v>#N/A</v>
      </c>
      <c r="F221" s="9" t="e">
        <f t="shared" si="143"/>
        <v>#N/A</v>
      </c>
      <c r="G221" s="9" t="e">
        <f>IFERROR(G226,NA())</f>
        <v>#N/A</v>
      </c>
      <c r="H221" s="9" t="e">
        <f t="shared" si="143"/>
        <v>#N/A</v>
      </c>
      <c r="I221" s="9" t="e">
        <f t="shared" si="143"/>
        <v>#N/A</v>
      </c>
      <c r="J221" t="s">
        <v>29</v>
      </c>
      <c r="K221" s="9">
        <v>0</v>
      </c>
      <c r="L221" s="9">
        <v>0</v>
      </c>
      <c r="M221" s="9">
        <v>0</v>
      </c>
      <c r="N221" s="9">
        <v>0</v>
      </c>
      <c r="O221" s="9">
        <v>0</v>
      </c>
      <c r="P221" s="9">
        <v>0</v>
      </c>
    </row>
    <row r="222" spans="1:16" x14ac:dyDescent="0.15">
      <c r="A222" t="s">
        <v>106</v>
      </c>
      <c r="D222" s="9" t="e">
        <f t="shared" ref="D222:I223" si="144">IFERROR(D227,NA())</f>
        <v>#N/A</v>
      </c>
      <c r="E222" s="9" t="e">
        <f t="shared" si="144"/>
        <v>#N/A</v>
      </c>
      <c r="F222" s="9" t="e">
        <f t="shared" si="144"/>
        <v>#N/A</v>
      </c>
      <c r="G222" s="9" t="e">
        <f t="shared" si="144"/>
        <v>#N/A</v>
      </c>
      <c r="H222" s="9" t="e">
        <f t="shared" si="144"/>
        <v>#N/A</v>
      </c>
      <c r="I222" s="9" t="e">
        <f t="shared" si="144"/>
        <v>#N/A</v>
      </c>
      <c r="K222" s="9">
        <f t="shared" ref="K222:P222" si="145">D8/2</f>
        <v>1.2999999999999999E-2</v>
      </c>
      <c r="L222" s="9" t="e">
        <f t="shared" si="145"/>
        <v>#VALUE!</v>
      </c>
      <c r="M222" s="9" t="e">
        <f t="shared" si="145"/>
        <v>#VALUE!</v>
      </c>
      <c r="N222" s="9" t="e">
        <f t="shared" si="145"/>
        <v>#VALUE!</v>
      </c>
      <c r="O222" s="9" t="e">
        <f t="shared" si="145"/>
        <v>#VALUE!</v>
      </c>
      <c r="P222" s="9" t="e">
        <f t="shared" si="145"/>
        <v>#VALUE!</v>
      </c>
    </row>
    <row r="223" spans="1:16" x14ac:dyDescent="0.15">
      <c r="D223" s="9" t="e">
        <f t="shared" si="144"/>
        <v>#N/A</v>
      </c>
      <c r="E223" s="9" t="e">
        <f t="shared" si="144"/>
        <v>#N/A</v>
      </c>
      <c r="F223" s="9" t="e">
        <f t="shared" si="144"/>
        <v>#N/A</v>
      </c>
      <c r="G223" s="9" t="e">
        <f t="shared" si="144"/>
        <v>#N/A</v>
      </c>
      <c r="H223" s="9" t="e">
        <f t="shared" si="144"/>
        <v>#N/A</v>
      </c>
      <c r="I223" s="9" t="e">
        <f t="shared" si="144"/>
        <v>#N/A</v>
      </c>
      <c r="K223" s="9">
        <f t="shared" ref="K223:P223" si="146">D8</f>
        <v>2.5999999999999999E-2</v>
      </c>
      <c r="L223" s="9" t="str">
        <f t="shared" si="146"/>
        <v/>
      </c>
      <c r="M223" s="9" t="str">
        <f t="shared" si="146"/>
        <v/>
      </c>
      <c r="N223" s="9" t="str">
        <f t="shared" si="146"/>
        <v/>
      </c>
      <c r="O223" s="9" t="str">
        <f t="shared" si="146"/>
        <v/>
      </c>
      <c r="P223" s="9" t="str">
        <f t="shared" si="146"/>
        <v/>
      </c>
    </row>
    <row r="225" spans="3:9" x14ac:dyDescent="0.15">
      <c r="D225" s="10" t="str">
        <f t="shared" ref="D225:I225" si="147">D10</f>
        <v>砒素</v>
      </c>
      <c r="E225" s="10" t="str">
        <f t="shared" si="147"/>
        <v>ふっ素</v>
      </c>
      <c r="F225" s="10" t="str">
        <f t="shared" si="147"/>
        <v>ほう素</v>
      </c>
      <c r="G225" s="10" t="str">
        <f t="shared" si="147"/>
        <v>カドミウム</v>
      </c>
      <c r="H225" s="10" t="str">
        <f t="shared" si="147"/>
        <v>セレン</v>
      </c>
      <c r="I225" s="10" t="str">
        <f t="shared" si="147"/>
        <v>六価クロム</v>
      </c>
    </row>
    <row r="226" spans="3:9" x14ac:dyDescent="0.15">
      <c r="C226" t="s">
        <v>92</v>
      </c>
      <c r="D226" s="9" t="e">
        <f t="shared" ref="D226:I228" si="148">IF(D$39=FALSE,IF(D$156&gt;$D$3,NA(),IFERROR(D$156,NA())),NA())</f>
        <v>#N/A</v>
      </c>
      <c r="E226" s="9" t="e">
        <f t="shared" si="148"/>
        <v>#VALUE!</v>
      </c>
      <c r="F226" s="9" t="e">
        <f t="shared" si="148"/>
        <v>#VALUE!</v>
      </c>
      <c r="G226" s="9" t="e">
        <f t="shared" si="148"/>
        <v>#VALUE!</v>
      </c>
      <c r="H226" s="9" t="e">
        <f t="shared" si="148"/>
        <v>#VALUE!</v>
      </c>
      <c r="I226" s="9" t="e">
        <f t="shared" si="148"/>
        <v>#VALUE!</v>
      </c>
    </row>
    <row r="227" spans="3:9" x14ac:dyDescent="0.15">
      <c r="D227" s="9" t="e">
        <f t="shared" si="148"/>
        <v>#N/A</v>
      </c>
      <c r="E227" s="9" t="e">
        <f t="shared" si="148"/>
        <v>#VALUE!</v>
      </c>
      <c r="F227" s="9" t="e">
        <f t="shared" si="148"/>
        <v>#VALUE!</v>
      </c>
      <c r="G227" s="9" t="e">
        <f t="shared" si="148"/>
        <v>#VALUE!</v>
      </c>
      <c r="H227" s="9" t="e">
        <f t="shared" si="148"/>
        <v>#VALUE!</v>
      </c>
      <c r="I227" s="9" t="e">
        <f t="shared" si="148"/>
        <v>#VALUE!</v>
      </c>
    </row>
    <row r="228" spans="3:9" x14ac:dyDescent="0.15">
      <c r="D228" s="9" t="e">
        <f t="shared" si="148"/>
        <v>#N/A</v>
      </c>
      <c r="E228" s="9" t="e">
        <f t="shared" si="148"/>
        <v>#VALUE!</v>
      </c>
      <c r="F228" s="9" t="e">
        <f t="shared" si="148"/>
        <v>#VALUE!</v>
      </c>
      <c r="G228" s="9" t="e">
        <f t="shared" si="148"/>
        <v>#VALUE!</v>
      </c>
      <c r="H228" s="9" t="e">
        <f t="shared" si="148"/>
        <v>#VALUE!</v>
      </c>
      <c r="I228" s="9" t="e">
        <f t="shared" si="148"/>
        <v>#VALUE!</v>
      </c>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個別サイト評価計算ツール</vt:lpstr>
      <vt:lpstr>計算</vt:lpstr>
      <vt:lpstr>個別サイト評価計算ツール!Print_Area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2019-03-27T08:41:14Z</dcterms:created>
  <dcterms:modified xsi:type="dcterms:W3CDTF">2021-03-02T04:24:59Z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c55989-3c9e-4466-8514-eac6f80f6373_Enabled">
    <vt:lpwstr>True</vt:lpwstr>
  </property>
  <property fmtid="{D5CDD505-2E9C-101B-9397-08002B2CF9AE}" pid="3" name="MSIP_Label_ddc55989-3c9e-4466-8514-eac6f80f6373_SiteId">
    <vt:lpwstr>18a7fec8-652f-409b-8369-272d9ce80620</vt:lpwstr>
  </property>
  <property fmtid="{D5CDD505-2E9C-101B-9397-08002B2CF9AE}" pid="4" name="MSIP_Label_ddc55989-3c9e-4466-8514-eac6f80f6373_Owner">
    <vt:lpwstr>y-imoto@aist.go.jp</vt:lpwstr>
  </property>
  <property fmtid="{D5CDD505-2E9C-101B-9397-08002B2CF9AE}" pid="5" name="MSIP_Label_ddc55989-3c9e-4466-8514-eac6f80f6373_SetDate">
    <vt:lpwstr>2021-03-02T04:22:48.4267004Z</vt:lpwstr>
  </property>
  <property fmtid="{D5CDD505-2E9C-101B-9397-08002B2CF9AE}" pid="6" name="MSIP_Label_ddc55989-3c9e-4466-8514-eac6f80f6373_Name">
    <vt:lpwstr>No Restrictions</vt:lpwstr>
  </property>
  <property fmtid="{D5CDD505-2E9C-101B-9397-08002B2CF9AE}" pid="7" name="MSIP_Label_ddc55989-3c9e-4466-8514-eac6f80f6373_Application">
    <vt:lpwstr>Microsoft Azure Information Protection</vt:lpwstr>
  </property>
  <property fmtid="{D5CDD505-2E9C-101B-9397-08002B2CF9AE}" pid="8" name="MSIP_Label_ddc55989-3c9e-4466-8514-eac6f80f6373_ActionId">
    <vt:lpwstr>7c0882be-d50c-4a75-854a-527770776df6</vt:lpwstr>
  </property>
  <property fmtid="{D5CDD505-2E9C-101B-9397-08002B2CF9AE}" pid="9" name="MSIP_Label_ddc55989-3c9e-4466-8514-eac6f80f6373_Extended_MSFT_Method">
    <vt:lpwstr>Manual</vt:lpwstr>
  </property>
  <property fmtid="{D5CDD505-2E9C-101B-9397-08002B2CF9AE}" pid="10" name="Sensitivity">
    <vt:lpwstr>No Restrictions</vt:lpwstr>
  </property>
</Properties>
</file>