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https://digitalgojp.sharepoint.com/sites/ENV_FS0069/Lib0001/05_農薬登録基準値設定/長期ばく露影響評価/★PEC・予測ばく露量の算定シート（最新版）/鳥類/"/>
    </mc:Choice>
  </mc:AlternateContent>
  <xr:revisionPtr revIDLastSave="299" documentId="13_ncr:1_{54E2F732-71E0-4C6A-9BB2-205497EC84B4}" xr6:coauthVersionLast="47" xr6:coauthVersionMax="47" xr10:uidLastSave="{CFC3FD73-83EE-44E2-A93D-52568846BF0F}"/>
  <bookViews>
    <workbookView xWindow="9555" yWindow="-15630" windowWidth="18885" windowHeight="8175" tabRatio="843" xr2:uid="{3213835F-DFF4-4C2D-BD47-D6B57FA17BB0}"/>
  </bookViews>
  <sheets>
    <sheet name="改訂履歴" sheetId="22" r:id="rId1"/>
    <sheet name="評価結果" sheetId="9" r:id="rId2"/>
    <sheet name="鳥類基準値算定" sheetId="10" r:id="rId3"/>
    <sheet name="水稲食シナリオ" sheetId="1" r:id="rId4"/>
    <sheet name="果実食シナリオ" sheetId="2" r:id="rId5"/>
    <sheet name="種子食シナリオ (直播水稲)" sheetId="19" r:id="rId6"/>
    <sheet name="種子食シナリオ（豆類等）" sheetId="3" r:id="rId7"/>
    <sheet name="昆虫食シナリオ" sheetId="4" r:id="rId8"/>
    <sheet name="混合食シナリオ" sheetId="18" r:id="rId9"/>
    <sheet name="田面水シナリオ " sheetId="11" r:id="rId10"/>
    <sheet name="水質汚濁性試験結果入力①" sheetId="12" r:id="rId11"/>
    <sheet name="水質汚濁性試験結果入力②" sheetId="20" r:id="rId12"/>
    <sheet name="魚食シナリオ" sheetId="6" r:id="rId13"/>
    <sheet name="土壌無脊椎動物食シナリオ" sheetId="7" r:id="rId14"/>
    <sheet name="鳥類食シナリオ" sheetId="8" r:id="rId15"/>
  </sheets>
  <externalReferences>
    <externalReference r:id="rId16"/>
  </externalReferences>
  <definedNames>
    <definedName name="dr">'[1]第１段階(非水田）'!$H$8</definedName>
    <definedName name="ds">'[1]第１段階(水田）'!$H$6</definedName>
    <definedName name="dt" localSheetId="10">水質汚濁性試験結果入力①!#REF!</definedName>
    <definedName name="dt" localSheetId="11">水質汚濁性試験結果入力②!#REF!</definedName>
    <definedName name="ffp" localSheetId="10">水質汚濁性試験結果入力①!#REF!</definedName>
    <definedName name="ffp" localSheetId="11">水質汚濁性試験結果入力②!#REF!</definedName>
    <definedName name="fp">'[1]第１段階(水田）'!$H$7</definedName>
    <definedName name="fpp">'[1]第１段階(水田）'!$H$8</definedName>
    <definedName name="fu">'[1]第１段階(非水田）'!$H$6</definedName>
    <definedName name="fua">'[1]第１段階(非水田）'!$H$7</definedName>
    <definedName name="I" localSheetId="10">水質汚濁性試験結果入力①!#REF!</definedName>
    <definedName name="I" localSheetId="11">水質汚濁性試験結果入力②!#REF!</definedName>
    <definedName name="k" localSheetId="10">水質汚濁性試験結果入力①!#REF!</definedName>
    <definedName name="k" localSheetId="11">水質汚濁性試験結果入力②!#REF!</definedName>
    <definedName name="Klevee" localSheetId="10">水質汚濁性試験結果入力①!#REF!</definedName>
    <definedName name="Klevee" localSheetId="11">水質汚濁性試験結果入力②!#REF!</definedName>
    <definedName name="Koc" localSheetId="10">水質汚濁性試験結果入力①!#REF!</definedName>
    <definedName name="Koc" localSheetId="11">水質汚濁性試験結果入力②!#REF!</definedName>
    <definedName name="Oclevee" localSheetId="10">水質汚濁性試験結果入力①!#REF!</definedName>
    <definedName name="Oclevee" localSheetId="11">水質汚濁性試験結果入力②!#REF!</definedName>
    <definedName name="Ocse" localSheetId="10">水質汚濁性試験結果入力①!#REF!</definedName>
    <definedName name="Ocse" localSheetId="11">水質汚濁性試験結果入力②!#REF!</definedName>
    <definedName name="Plevee" localSheetId="10">水質汚濁性試験結果入力①!#REF!</definedName>
    <definedName name="Plevee" localSheetId="11">水質汚濁性試験結果入力②!#REF!</definedName>
    <definedName name="Pse" localSheetId="10">水質汚濁性試験結果入力①!#REF!</definedName>
    <definedName name="Pse" localSheetId="11">水質汚濁性試験結果入力②!#REF!</definedName>
    <definedName name="RUaa">'[1]第2段階(非水田）'!$H$20</definedName>
    <definedName name="RUaday">'[1]第2段階(非水田）'!#REF!</definedName>
    <definedName name="RUUa">'[1]第2段階(非水田）'!$H$21</definedName>
    <definedName name="rws" localSheetId="10">水質汚濁性試験結果入力①!#REF!</definedName>
    <definedName name="rws" localSheetId="11">水質汚濁性試験結果入力②!#REF!</definedName>
    <definedName name="Vse" localSheetId="10">水質汚濁性試験結果入力①!#REF!</definedName>
    <definedName name="Vse" localSheetId="11">水質汚濁性試験結果入力②!#REF!</definedName>
    <definedName name="Y範囲2days">OFFSET(#REF!,0,0,#REF!+1,1)</definedName>
    <definedName name="Y範囲3days">OFFSET(#REF!,0,0,#REF!+1,1)</definedName>
    <definedName name="Y範囲4days">OFFSET(#REF!,0,0,#REF!+1,1)</definedName>
    <definedName name="Y範囲7days">OFFSET(#REF!,0,0,#REF!+1,1)</definedName>
    <definedName name="っっｐ">#REF!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10" l="1"/>
  <c r="H10" i="10"/>
  <c r="C19" i="6" l="1"/>
  <c r="C8" i="6"/>
  <c r="C10" i="6"/>
  <c r="H22" i="20" l="1"/>
  <c r="C22" i="6"/>
  <c r="H8" i="10"/>
  <c r="C34" i="8" l="1"/>
  <c r="C21" i="18"/>
  <c r="N70" i="20"/>
  <c r="M70" i="20"/>
  <c r="O64" i="20"/>
  <c r="K64" i="20"/>
  <c r="N64" i="20" s="1"/>
  <c r="C64" i="20"/>
  <c r="O63" i="20"/>
  <c r="N63" i="20"/>
  <c r="M63" i="20"/>
  <c r="K63" i="20"/>
  <c r="C63" i="20"/>
  <c r="O62" i="20"/>
  <c r="K62" i="20"/>
  <c r="N62" i="20" s="1"/>
  <c r="C62" i="20"/>
  <c r="O61" i="20"/>
  <c r="K61" i="20"/>
  <c r="N61" i="20" s="1"/>
  <c r="C61" i="20"/>
  <c r="O60" i="20"/>
  <c r="N60" i="20"/>
  <c r="K60" i="20"/>
  <c r="C60" i="20"/>
  <c r="O59" i="20"/>
  <c r="N59" i="20"/>
  <c r="K59" i="20"/>
  <c r="M60" i="20" s="1"/>
  <c r="C59" i="20"/>
  <c r="O58" i="20"/>
  <c r="K58" i="20"/>
  <c r="N58" i="20" s="1"/>
  <c r="C58" i="20"/>
  <c r="O57" i="20"/>
  <c r="K57" i="20"/>
  <c r="M57" i="20" s="1"/>
  <c r="C57" i="20"/>
  <c r="O56" i="20"/>
  <c r="N56" i="20"/>
  <c r="K56" i="20"/>
  <c r="E56" i="20"/>
  <c r="C56" i="20"/>
  <c r="O55" i="20"/>
  <c r="K55" i="20"/>
  <c r="M56" i="20" s="1"/>
  <c r="C55" i="20"/>
  <c r="O54" i="20"/>
  <c r="K54" i="20"/>
  <c r="N54" i="20" s="1"/>
  <c r="C54" i="20"/>
  <c r="O53" i="20"/>
  <c r="K53" i="20"/>
  <c r="E53" i="20"/>
  <c r="C53" i="20"/>
  <c r="O52" i="20"/>
  <c r="K52" i="20"/>
  <c r="C52" i="20"/>
  <c r="O51" i="20"/>
  <c r="K51" i="20"/>
  <c r="M51" i="20" s="1"/>
  <c r="C51" i="20"/>
  <c r="O50" i="20"/>
  <c r="K50" i="20"/>
  <c r="C50" i="20"/>
  <c r="O49" i="20"/>
  <c r="K49" i="20"/>
  <c r="M50" i="20" s="1"/>
  <c r="C49" i="20"/>
  <c r="O48" i="20"/>
  <c r="K48" i="20"/>
  <c r="N48" i="20" s="1"/>
  <c r="E48" i="20"/>
  <c r="C48" i="20"/>
  <c r="O47" i="20"/>
  <c r="K47" i="20"/>
  <c r="C47" i="20"/>
  <c r="O46" i="20"/>
  <c r="K46" i="20"/>
  <c r="E46" i="20"/>
  <c r="C46" i="20"/>
  <c r="O45" i="20"/>
  <c r="K45" i="20"/>
  <c r="C45" i="20"/>
  <c r="K44" i="20"/>
  <c r="E44" i="20"/>
  <c r="C44" i="20"/>
  <c r="D44" i="20" s="1"/>
  <c r="D32" i="20"/>
  <c r="H28" i="20"/>
  <c r="H27" i="20"/>
  <c r="H26" i="20"/>
  <c r="E54" i="20" s="1"/>
  <c r="D26" i="20"/>
  <c r="D25" i="20"/>
  <c r="H24" i="20"/>
  <c r="D24" i="20"/>
  <c r="D23" i="20"/>
  <c r="E62" i="20"/>
  <c r="D22" i="20"/>
  <c r="D21" i="20"/>
  <c r="D20" i="20"/>
  <c r="D19" i="20"/>
  <c r="D18" i="20"/>
  <c r="D17" i="20"/>
  <c r="D16" i="20"/>
  <c r="D15" i="20"/>
  <c r="D14" i="20"/>
  <c r="D13" i="20"/>
  <c r="D12" i="20"/>
  <c r="D11" i="20"/>
  <c r="D10" i="20"/>
  <c r="D9" i="20"/>
  <c r="D8" i="20"/>
  <c r="D7" i="20"/>
  <c r="D6" i="20"/>
  <c r="H24" i="12"/>
  <c r="H22" i="12"/>
  <c r="H28" i="12"/>
  <c r="H27" i="12"/>
  <c r="H26" i="12"/>
  <c r="E47" i="12" l="1"/>
  <c r="N53" i="20"/>
  <c r="D62" i="20"/>
  <c r="N50" i="20"/>
  <c r="N52" i="20"/>
  <c r="N45" i="20"/>
  <c r="N51" i="20"/>
  <c r="M48" i="20"/>
  <c r="E45" i="20"/>
  <c r="F62" i="20"/>
  <c r="F44" i="20"/>
  <c r="M46" i="20"/>
  <c r="D59" i="20"/>
  <c r="N46" i="20"/>
  <c r="M49" i="20"/>
  <c r="N49" i="20"/>
  <c r="M52" i="20"/>
  <c r="M47" i="20"/>
  <c r="E49" i="20"/>
  <c r="M55" i="20"/>
  <c r="E57" i="20"/>
  <c r="D60" i="20"/>
  <c r="M54" i="20"/>
  <c r="N57" i="20"/>
  <c r="N47" i="20"/>
  <c r="E52" i="20"/>
  <c r="N55" i="20"/>
  <c r="M58" i="20"/>
  <c r="E60" i="20"/>
  <c r="F60" i="20" s="1"/>
  <c r="D63" i="20"/>
  <c r="E51" i="20"/>
  <c r="M45" i="20"/>
  <c r="E47" i="20"/>
  <c r="M53" i="20"/>
  <c r="E55" i="20"/>
  <c r="D58" i="20"/>
  <c r="M61" i="20"/>
  <c r="E63" i="20"/>
  <c r="F63" i="20" s="1"/>
  <c r="D45" i="20"/>
  <c r="E50" i="20"/>
  <c r="E58" i="20"/>
  <c r="D61" i="20"/>
  <c r="M64" i="20"/>
  <c r="M59" i="20"/>
  <c r="E61" i="20"/>
  <c r="F61" i="20" s="1"/>
  <c r="D64" i="20"/>
  <c r="M62" i="20"/>
  <c r="E64" i="20"/>
  <c r="F64" i="20" s="1"/>
  <c r="E59" i="20"/>
  <c r="F59" i="20" s="1"/>
  <c r="E64" i="12"/>
  <c r="E61" i="12"/>
  <c r="E53" i="12"/>
  <c r="E45" i="12"/>
  <c r="E60" i="12"/>
  <c r="E52" i="12"/>
  <c r="E54" i="12"/>
  <c r="E59" i="12"/>
  <c r="E58" i="12"/>
  <c r="E57" i="12"/>
  <c r="E49" i="12"/>
  <c r="E62" i="12"/>
  <c r="E46" i="12"/>
  <c r="E51" i="12"/>
  <c r="E50" i="12"/>
  <c r="E44" i="12"/>
  <c r="E56" i="12"/>
  <c r="E48" i="12"/>
  <c r="E63" i="12"/>
  <c r="E55" i="12"/>
  <c r="C47" i="8"/>
  <c r="G10" i="18"/>
  <c r="G9" i="18"/>
  <c r="C23" i="19"/>
  <c r="C25" i="19" s="1"/>
  <c r="C10" i="19"/>
  <c r="C9" i="19"/>
  <c r="C8" i="19"/>
  <c r="H44" i="20" l="1"/>
  <c r="G44" i="20"/>
  <c r="F45" i="20"/>
  <c r="D46" i="20"/>
  <c r="F46" i="20" s="1"/>
  <c r="D47" i="20"/>
  <c r="I44" i="20"/>
  <c r="F58" i="20"/>
  <c r="H58" i="20" s="1"/>
  <c r="C13" i="19"/>
  <c r="C15" i="19" s="1"/>
  <c r="C9" i="18" s="1"/>
  <c r="G12" i="18"/>
  <c r="G11" i="18"/>
  <c r="C11" i="18" s="1"/>
  <c r="G8" i="18"/>
  <c r="G7" i="18"/>
  <c r="C37" i="4"/>
  <c r="C26" i="4"/>
  <c r="C27" i="4"/>
  <c r="C27" i="8" l="1"/>
  <c r="H60" i="20"/>
  <c r="G46" i="20"/>
  <c r="H46" i="20"/>
  <c r="H59" i="20"/>
  <c r="G45" i="20"/>
  <c r="H45" i="20"/>
  <c r="I45" i="20"/>
  <c r="I46" i="20"/>
  <c r="F47" i="20"/>
  <c r="D48" i="20"/>
  <c r="O45" i="12"/>
  <c r="H61" i="20" l="1"/>
  <c r="G47" i="20"/>
  <c r="H47" i="20"/>
  <c r="F48" i="20"/>
  <c r="D49" i="20"/>
  <c r="I47" i="20"/>
  <c r="C64" i="12"/>
  <c r="D7" i="12"/>
  <c r="C44" i="12"/>
  <c r="H62" i="20" l="1"/>
  <c r="H48" i="20"/>
  <c r="I48" i="20" s="1"/>
  <c r="G48" i="20"/>
  <c r="F49" i="20"/>
  <c r="D50" i="20"/>
  <c r="D12" i="12"/>
  <c r="D13" i="12"/>
  <c r="D14" i="12"/>
  <c r="D15" i="12"/>
  <c r="D16" i="12"/>
  <c r="D17" i="12"/>
  <c r="D18" i="12"/>
  <c r="D19" i="12"/>
  <c r="D20" i="12"/>
  <c r="D21" i="12"/>
  <c r="D22" i="12"/>
  <c r="D23" i="12"/>
  <c r="D24" i="12"/>
  <c r="D25" i="12"/>
  <c r="D26" i="12"/>
  <c r="D11" i="12"/>
  <c r="N21" i="11"/>
  <c r="O28" i="11" s="1"/>
  <c r="O21" i="11"/>
  <c r="P21" i="11"/>
  <c r="N22" i="11"/>
  <c r="O29" i="11" s="1"/>
  <c r="O22" i="11"/>
  <c r="P22" i="11"/>
  <c r="N23" i="11"/>
  <c r="O30" i="11" s="1"/>
  <c r="O23" i="11"/>
  <c r="P23" i="11"/>
  <c r="N24" i="11"/>
  <c r="O31" i="11" s="1"/>
  <c r="O24" i="11"/>
  <c r="P24" i="11"/>
  <c r="N25" i="11"/>
  <c r="P39" i="11" s="1"/>
  <c r="O25" i="11"/>
  <c r="P25" i="11"/>
  <c r="N26" i="11"/>
  <c r="P40" i="11" s="1"/>
  <c r="O26" i="11"/>
  <c r="P26" i="11"/>
  <c r="N27" i="11"/>
  <c r="P41" i="11" s="1"/>
  <c r="O27" i="11"/>
  <c r="P27" i="11"/>
  <c r="N28" i="11"/>
  <c r="P28" i="11"/>
  <c r="N29" i="11"/>
  <c r="O36" i="11" s="1"/>
  <c r="P29" i="11"/>
  <c r="N30" i="11"/>
  <c r="O37" i="11" s="1"/>
  <c r="P30" i="11"/>
  <c r="N31" i="11"/>
  <c r="O38" i="11" s="1"/>
  <c r="P31" i="11"/>
  <c r="N32" i="11"/>
  <c r="O39" i="11" s="1"/>
  <c r="P32" i="11"/>
  <c r="N33" i="11"/>
  <c r="O40" i="11" s="1"/>
  <c r="P33" i="11"/>
  <c r="N34" i="11"/>
  <c r="O41" i="11" s="1"/>
  <c r="O34" i="11"/>
  <c r="P34" i="11"/>
  <c r="N35" i="11"/>
  <c r="N36" i="11"/>
  <c r="N37" i="11"/>
  <c r="N38" i="11"/>
  <c r="P38" i="11"/>
  <c r="N39" i="11"/>
  <c r="N40" i="11"/>
  <c r="N41" i="11"/>
  <c r="P35" i="11" l="1"/>
  <c r="H63" i="20"/>
  <c r="H49" i="20"/>
  <c r="G49" i="20"/>
  <c r="F50" i="20"/>
  <c r="D51" i="20"/>
  <c r="I49" i="20"/>
  <c r="P36" i="11"/>
  <c r="Q36" i="11" s="1"/>
  <c r="O32" i="11"/>
  <c r="Q32" i="11" s="1"/>
  <c r="O35" i="11"/>
  <c r="O33" i="11"/>
  <c r="Q33" i="11" s="1"/>
  <c r="Q22" i="11"/>
  <c r="Q38" i="11"/>
  <c r="Q24" i="11"/>
  <c r="Q40" i="11"/>
  <c r="Q41" i="11"/>
  <c r="Q25" i="11"/>
  <c r="Q28" i="11"/>
  <c r="Q26" i="11"/>
  <c r="Q21" i="11"/>
  <c r="Q34" i="11"/>
  <c r="Q39" i="11"/>
  <c r="Q29" i="11"/>
  <c r="Q31" i="11"/>
  <c r="Q27" i="11"/>
  <c r="P37" i="11"/>
  <c r="Q37" i="11" s="1"/>
  <c r="Q30" i="11"/>
  <c r="Q23" i="11"/>
  <c r="Q35" i="11" l="1"/>
  <c r="H64" i="20"/>
  <c r="H50" i="20"/>
  <c r="G50" i="20"/>
  <c r="I50" i="20"/>
  <c r="F51" i="20"/>
  <c r="D52" i="20"/>
  <c r="C8" i="11"/>
  <c r="D9" i="12"/>
  <c r="D10" i="12"/>
  <c r="H51" i="20" l="1"/>
  <c r="G51" i="20"/>
  <c r="D53" i="20"/>
  <c r="F52" i="20"/>
  <c r="G58" i="20"/>
  <c r="I58" i="20" s="1"/>
  <c r="I51" i="20"/>
  <c r="C10" i="11"/>
  <c r="D19" i="9" s="1"/>
  <c r="E5" i="6"/>
  <c r="C9" i="6" s="1"/>
  <c r="H52" i="20" l="1"/>
  <c r="I52" i="20" s="1"/>
  <c r="G52" i="20"/>
  <c r="G59" i="20"/>
  <c r="I59" i="20" s="1"/>
  <c r="D54" i="20"/>
  <c r="F53" i="20"/>
  <c r="D8" i="12"/>
  <c r="D6" i="12"/>
  <c r="N70" i="12"/>
  <c r="M70" i="12"/>
  <c r="O64" i="12"/>
  <c r="K64" i="12"/>
  <c r="O63" i="12"/>
  <c r="K63" i="12"/>
  <c r="C63" i="12"/>
  <c r="O62" i="12"/>
  <c r="K62" i="12"/>
  <c r="C62" i="12"/>
  <c r="O61" i="12"/>
  <c r="K61" i="12"/>
  <c r="C61" i="12"/>
  <c r="O60" i="12"/>
  <c r="K60" i="12"/>
  <c r="C60" i="12"/>
  <c r="O59" i="12"/>
  <c r="K59" i="12"/>
  <c r="C59" i="12"/>
  <c r="O58" i="12"/>
  <c r="K58" i="12"/>
  <c r="C58" i="12"/>
  <c r="O57" i="12"/>
  <c r="K57" i="12"/>
  <c r="C57" i="12"/>
  <c r="O56" i="12"/>
  <c r="K56" i="12"/>
  <c r="C56" i="12"/>
  <c r="O55" i="12"/>
  <c r="K55" i="12"/>
  <c r="C55" i="12"/>
  <c r="O54" i="12"/>
  <c r="K54" i="12"/>
  <c r="C54" i="12"/>
  <c r="O53" i="12"/>
  <c r="K53" i="12"/>
  <c r="C53" i="12"/>
  <c r="O52" i="12"/>
  <c r="K52" i="12"/>
  <c r="C52" i="12"/>
  <c r="O51" i="12"/>
  <c r="K51" i="12"/>
  <c r="C51" i="12"/>
  <c r="O50" i="12"/>
  <c r="K50" i="12"/>
  <c r="C50" i="12"/>
  <c r="O49" i="12"/>
  <c r="K49" i="12"/>
  <c r="C49" i="12"/>
  <c r="O48" i="12"/>
  <c r="K48" i="12"/>
  <c r="C48" i="12"/>
  <c r="O47" i="12"/>
  <c r="K47" i="12"/>
  <c r="C47" i="12"/>
  <c r="O46" i="12"/>
  <c r="K46" i="12"/>
  <c r="C46" i="12"/>
  <c r="K45" i="12"/>
  <c r="C45" i="12"/>
  <c r="K44" i="12"/>
  <c r="D44" i="12"/>
  <c r="H53" i="20" l="1"/>
  <c r="G53" i="20"/>
  <c r="G60" i="20"/>
  <c r="I60" i="20" s="1"/>
  <c r="I53" i="20"/>
  <c r="F54" i="20"/>
  <c r="D55" i="20"/>
  <c r="D58" i="12"/>
  <c r="F58" i="12" s="1"/>
  <c r="F44" i="12"/>
  <c r="D32" i="12"/>
  <c r="F64" i="12" s="1"/>
  <c r="N59" i="12"/>
  <c r="M52" i="12"/>
  <c r="N53" i="12"/>
  <c r="N58" i="12"/>
  <c r="N45" i="12"/>
  <c r="M56" i="12"/>
  <c r="N50" i="12"/>
  <c r="N49" i="12"/>
  <c r="N62" i="12"/>
  <c r="N57" i="12"/>
  <c r="N46" i="12"/>
  <c r="N52" i="12"/>
  <c r="N60" i="12"/>
  <c r="M61" i="12"/>
  <c r="N54" i="12"/>
  <c r="N61" i="12"/>
  <c r="N63" i="12"/>
  <c r="N55" i="12"/>
  <c r="N56" i="12"/>
  <c r="M55" i="12"/>
  <c r="N51" i="12"/>
  <c r="M51" i="12"/>
  <c r="N47" i="12"/>
  <c r="N48" i="12"/>
  <c r="M47" i="12"/>
  <c r="M48" i="12"/>
  <c r="M64" i="12"/>
  <c r="M63" i="12"/>
  <c r="N64" i="12"/>
  <c r="M46" i="12"/>
  <c r="M54" i="12"/>
  <c r="M62" i="12"/>
  <c r="M45" i="12"/>
  <c r="M53" i="12"/>
  <c r="M60" i="12"/>
  <c r="M59" i="12"/>
  <c r="M50" i="12"/>
  <c r="M58" i="12"/>
  <c r="D45" i="12"/>
  <c r="F45" i="12" s="1"/>
  <c r="M49" i="12"/>
  <c r="M57" i="12"/>
  <c r="N14" i="8"/>
  <c r="N13" i="8"/>
  <c r="N12" i="8"/>
  <c r="N11" i="8"/>
  <c r="N10" i="8"/>
  <c r="N9" i="8"/>
  <c r="N8" i="8"/>
  <c r="N7" i="8"/>
  <c r="N6" i="8"/>
  <c r="N5" i="8"/>
  <c r="C9" i="3"/>
  <c r="C23" i="2"/>
  <c r="C23" i="1"/>
  <c r="C16" i="7"/>
  <c r="C10" i="2"/>
  <c r="C10" i="1"/>
  <c r="H45" i="12" l="1"/>
  <c r="G45" i="12"/>
  <c r="H58" i="12"/>
  <c r="G44" i="12"/>
  <c r="H44" i="12"/>
  <c r="I44" i="12" s="1"/>
  <c r="H54" i="20"/>
  <c r="G54" i="20"/>
  <c r="C10" i="8"/>
  <c r="F55" i="20"/>
  <c r="D56" i="20"/>
  <c r="I54" i="20"/>
  <c r="G61" i="20"/>
  <c r="I61" i="20" s="1"/>
  <c r="F60" i="12"/>
  <c r="F61" i="12"/>
  <c r="F63" i="12"/>
  <c r="F59" i="12"/>
  <c r="H59" i="12" s="1"/>
  <c r="F62" i="12"/>
  <c r="D59" i="12"/>
  <c r="D60" i="12" s="1"/>
  <c r="D61" i="12" s="1"/>
  <c r="D62" i="12" s="1"/>
  <c r="D63" i="12" s="1"/>
  <c r="D64" i="12" s="1"/>
  <c r="D46" i="12"/>
  <c r="C5" i="9"/>
  <c r="C7" i="9" s="1"/>
  <c r="H55" i="20" l="1"/>
  <c r="G55" i="20"/>
  <c r="F56" i="20"/>
  <c r="D57" i="20"/>
  <c r="F57" i="20" s="1"/>
  <c r="G62" i="20"/>
  <c r="I62" i="20" s="1"/>
  <c r="I55" i="20"/>
  <c r="F46" i="12"/>
  <c r="I45" i="12"/>
  <c r="D47" i="12"/>
  <c r="F47" i="12" s="1"/>
  <c r="C8" i="9"/>
  <c r="H61" i="12" l="1"/>
  <c r="G47" i="12"/>
  <c r="H47" i="12"/>
  <c r="H57" i="20"/>
  <c r="G57" i="20"/>
  <c r="G46" i="12"/>
  <c r="H46" i="12"/>
  <c r="H56" i="20"/>
  <c r="G56" i="20"/>
  <c r="G64" i="20"/>
  <c r="I64" i="20" s="1"/>
  <c r="U18" i="11" s="1"/>
  <c r="I57" i="20"/>
  <c r="I56" i="20"/>
  <c r="G63" i="20"/>
  <c r="I63" i="20" s="1"/>
  <c r="H60" i="12"/>
  <c r="D48" i="12"/>
  <c r="F48" i="12" s="1"/>
  <c r="I46" i="12" l="1"/>
  <c r="H62" i="12"/>
  <c r="H48" i="12"/>
  <c r="G48" i="12"/>
  <c r="I47" i="12"/>
  <c r="D49" i="12"/>
  <c r="F49" i="12" s="1"/>
  <c r="P43" i="4"/>
  <c r="O43" i="4" s="1"/>
  <c r="P44" i="4"/>
  <c r="H63" i="12" l="1"/>
  <c r="H49" i="12"/>
  <c r="G49" i="12"/>
  <c r="I48" i="12"/>
  <c r="D50" i="12"/>
  <c r="O44" i="4"/>
  <c r="G22" i="10"/>
  <c r="G21" i="10"/>
  <c r="F50" i="12" l="1"/>
  <c r="D51" i="12"/>
  <c r="I49" i="12"/>
  <c r="C22" i="1"/>
  <c r="C24" i="1" s="1"/>
  <c r="H64" i="12" l="1"/>
  <c r="G50" i="12"/>
  <c r="H50" i="12"/>
  <c r="F51" i="12"/>
  <c r="D52" i="12"/>
  <c r="C17" i="7"/>
  <c r="L19" i="7" s="1"/>
  <c r="I50" i="12" l="1"/>
  <c r="H51" i="12"/>
  <c r="G51" i="12"/>
  <c r="F52" i="12"/>
  <c r="D53" i="12"/>
  <c r="G58" i="12"/>
  <c r="I58" i="12" s="1"/>
  <c r="C12" i="6"/>
  <c r="D21" i="9" s="1"/>
  <c r="C18" i="7"/>
  <c r="C19" i="7"/>
  <c r="C10" i="4"/>
  <c r="C23" i="3"/>
  <c r="I51" i="12" l="1"/>
  <c r="H52" i="12"/>
  <c r="G52" i="12"/>
  <c r="C25" i="3"/>
  <c r="F53" i="12"/>
  <c r="D54" i="12"/>
  <c r="G59" i="12"/>
  <c r="I59" i="12" s="1"/>
  <c r="C29" i="4"/>
  <c r="C13" i="7"/>
  <c r="C15" i="7" s="1"/>
  <c r="C12" i="7"/>
  <c r="C14" i="7" s="1"/>
  <c r="C42" i="8"/>
  <c r="I52" i="12" l="1"/>
  <c r="H53" i="12"/>
  <c r="G53" i="12"/>
  <c r="F54" i="12"/>
  <c r="D55" i="12"/>
  <c r="G60" i="12"/>
  <c r="I60" i="12" s="1"/>
  <c r="C11" i="6"/>
  <c r="D20" i="9" s="1"/>
  <c r="C18" i="8"/>
  <c r="C17" i="8"/>
  <c r="C23" i="8"/>
  <c r="C15" i="8"/>
  <c r="C12" i="8"/>
  <c r="D23" i="9" s="1"/>
  <c r="I53" i="12" l="1"/>
  <c r="H54" i="12"/>
  <c r="G54" i="12"/>
  <c r="F55" i="12"/>
  <c r="D56" i="12"/>
  <c r="G61" i="12"/>
  <c r="I61" i="12" s="1"/>
  <c r="D41" i="9"/>
  <c r="E41" i="9" s="1"/>
  <c r="C24" i="10"/>
  <c r="H13" i="10"/>
  <c r="H12" i="10"/>
  <c r="H11" i="10"/>
  <c r="H9" i="10"/>
  <c r="I54" i="12" l="1"/>
  <c r="H55" i="12"/>
  <c r="G55" i="12"/>
  <c r="F56" i="12"/>
  <c r="D57" i="12"/>
  <c r="F57" i="12" s="1"/>
  <c r="G62" i="12"/>
  <c r="I62" i="12" s="1"/>
  <c r="C15" i="10"/>
  <c r="C16" i="10" s="1"/>
  <c r="C30" i="10" s="1"/>
  <c r="C27" i="9" s="1"/>
  <c r="I55" i="12" l="1"/>
  <c r="H57" i="12"/>
  <c r="G57" i="12"/>
  <c r="H56" i="12"/>
  <c r="G56" i="12"/>
  <c r="G64" i="12"/>
  <c r="I64" i="12" s="1"/>
  <c r="G63" i="12"/>
  <c r="I63" i="12" s="1"/>
  <c r="D39" i="9"/>
  <c r="E39" i="9" s="1"/>
  <c r="G21" i="9" s="1"/>
  <c r="G39" i="9" s="1"/>
  <c r="H39" i="9" s="1"/>
  <c r="D37" i="9"/>
  <c r="E37" i="9" s="1"/>
  <c r="C21" i="8"/>
  <c r="C22" i="8" s="1"/>
  <c r="C19" i="8"/>
  <c r="C20" i="8" s="1"/>
  <c r="C16" i="8"/>
  <c r="L43" i="7"/>
  <c r="L42" i="7"/>
  <c r="C43" i="7"/>
  <c r="C42" i="7"/>
  <c r="L20" i="7"/>
  <c r="L18" i="7"/>
  <c r="L38" i="7" s="1"/>
  <c r="L12" i="7"/>
  <c r="L14" i="7" s="1"/>
  <c r="L13" i="7"/>
  <c r="L15" i="7" s="1"/>
  <c r="I56" i="12" l="1"/>
  <c r="I57" i="12"/>
  <c r="C45" i="7"/>
  <c r="L45" i="7"/>
  <c r="L46" i="7" s="1"/>
  <c r="C44" i="7"/>
  <c r="L37" i="7"/>
  <c r="L44" i="7" s="1"/>
  <c r="L17" i="7"/>
  <c r="L26" i="7" s="1"/>
  <c r="L16" i="7"/>
  <c r="L25" i="7" s="1"/>
  <c r="U17" i="11" l="1"/>
  <c r="C14" i="11" s="1" a="1"/>
  <c r="C14" i="11" s="1"/>
  <c r="C15" i="6" s="1"/>
  <c r="C18" i="6" s="1"/>
  <c r="C21" i="6" s="1"/>
  <c r="Q45" i="7"/>
  <c r="C32" i="8" s="1"/>
  <c r="Q44" i="7"/>
  <c r="C31" i="8" s="1"/>
  <c r="C46" i="7"/>
  <c r="L27" i="7"/>
  <c r="C33" i="8" l="1"/>
  <c r="C16" i="11"/>
  <c r="G19" i="9" s="1"/>
  <c r="C48" i="7"/>
  <c r="C26" i="7"/>
  <c r="Q26" i="7" s="1"/>
  <c r="C25" i="7"/>
  <c r="Q25" i="7" s="1"/>
  <c r="C22" i="2"/>
  <c r="C24" i="2" s="1"/>
  <c r="C26" i="2" l="1"/>
  <c r="C27" i="7"/>
  <c r="C29" i="7" s="1"/>
  <c r="D22" i="9" s="1"/>
  <c r="T43" i="4"/>
  <c r="S43" i="4" s="1"/>
  <c r="T44" i="4"/>
  <c r="P45" i="4"/>
  <c r="T45" i="4"/>
  <c r="P46" i="4"/>
  <c r="T46" i="4"/>
  <c r="P47" i="4"/>
  <c r="T47" i="4"/>
  <c r="P48" i="4"/>
  <c r="T48" i="4"/>
  <c r="P49" i="4"/>
  <c r="T49" i="4"/>
  <c r="P50" i="4"/>
  <c r="T50" i="4"/>
  <c r="P51" i="4"/>
  <c r="T51" i="4"/>
  <c r="P52" i="4"/>
  <c r="T52" i="4"/>
  <c r="C8" i="3"/>
  <c r="C10" i="3"/>
  <c r="C15" i="4"/>
  <c r="C9" i="4"/>
  <c r="C14" i="4" s="1"/>
  <c r="C8" i="2"/>
  <c r="C13" i="2" s="1"/>
  <c r="C26" i="8" s="1"/>
  <c r="C8" i="1"/>
  <c r="C29" i="8" l="1"/>
  <c r="G37" i="9"/>
  <c r="H37" i="9" s="1"/>
  <c r="D38" i="9"/>
  <c r="E38" i="9" s="1"/>
  <c r="C13" i="3"/>
  <c r="C28" i="8" s="1"/>
  <c r="C26" i="1"/>
  <c r="C13" i="1"/>
  <c r="C15" i="2"/>
  <c r="C8" i="18" s="1"/>
  <c r="C17" i="4"/>
  <c r="D17" i="9" s="1"/>
  <c r="D35" i="9" s="1"/>
  <c r="D40" i="9"/>
  <c r="S44" i="4"/>
  <c r="C38" i="4" s="1"/>
  <c r="C40" i="4" s="1"/>
  <c r="S52" i="4"/>
  <c r="S50" i="4"/>
  <c r="S48" i="4"/>
  <c r="S46" i="4"/>
  <c r="O52" i="4"/>
  <c r="O50" i="4"/>
  <c r="O48" i="4"/>
  <c r="O46" i="4"/>
  <c r="S51" i="4"/>
  <c r="S49" i="4"/>
  <c r="S47" i="4"/>
  <c r="S45" i="4"/>
  <c r="O51" i="4"/>
  <c r="O49" i="4"/>
  <c r="O47" i="4"/>
  <c r="O45" i="4"/>
  <c r="C30" i="8" l="1"/>
  <c r="C12" i="18"/>
  <c r="D15" i="9"/>
  <c r="D33" i="9" s="1"/>
  <c r="E33" i="9" s="1"/>
  <c r="C15" i="1"/>
  <c r="C7" i="18" s="1"/>
  <c r="C25" i="8"/>
  <c r="C15" i="3"/>
  <c r="E35" i="9"/>
  <c r="G20" i="9"/>
  <c r="G38" i="9" s="1"/>
  <c r="E40" i="9"/>
  <c r="G22" i="9" s="1"/>
  <c r="C51" i="8" l="1"/>
  <c r="D16" i="9"/>
  <c r="D34" i="9" s="1"/>
  <c r="C10" i="18"/>
  <c r="C25" i="18" s="1"/>
  <c r="G17" i="9"/>
  <c r="G35" i="9" s="1"/>
  <c r="D14" i="9"/>
  <c r="D32" i="9" s="1"/>
  <c r="E32" i="9" s="1"/>
  <c r="G40" i="9"/>
  <c r="H40" i="9" s="1"/>
  <c r="C52" i="8"/>
  <c r="H38" i="9"/>
  <c r="E34" i="9" l="1"/>
  <c r="G16" i="9" s="1"/>
  <c r="G18" i="9"/>
  <c r="G14" i="9"/>
  <c r="G32" i="9" s="1"/>
  <c r="H32" i="9" s="1"/>
  <c r="C54" i="8"/>
  <c r="G23" i="9" s="1"/>
  <c r="G41" i="9" s="1"/>
  <c r="H41" i="9" s="1"/>
  <c r="G15" i="9"/>
  <c r="G33" i="9" s="1"/>
  <c r="H33" i="9" s="1"/>
  <c r="H35" i="9"/>
  <c r="G34" i="9" l="1"/>
  <c r="H34" i="9" s="1"/>
  <c r="G36" i="9"/>
  <c r="H36"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<sst xmlns="http://schemas.openxmlformats.org/spreadsheetml/2006/main" count="917" uniqueCount="283">
  <si>
    <t>1.魚食／土壌無脊椎動物食／鳥類食シナリオの評価要否判定</t>
    <rPh sb="2" eb="4">
      <t>ギョショク</t>
    </rPh>
    <rPh sb="5" eb="12">
      <t>ドジョウムセキツイドウブツ</t>
    </rPh>
    <rPh sb="12" eb="13">
      <t>ショク</t>
    </rPh>
    <rPh sb="14" eb="17">
      <t>チョウルイショク</t>
    </rPh>
    <rPh sb="22" eb="28">
      <t>ヒョウカヨウヒハンテイ</t>
    </rPh>
    <phoneticPr fontId="3"/>
  </si>
  <si>
    <t>BCF</t>
    <phoneticPr fontId="3"/>
  </si>
  <si>
    <t>(L/kg-diet)</t>
    <phoneticPr fontId="5"/>
  </si>
  <si>
    <t>のセルは入力要求項目</t>
    <rPh sb="4" eb="6">
      <t>ニュウリョク</t>
    </rPh>
    <rPh sb="6" eb="8">
      <t>ヨウキュウ</t>
    </rPh>
    <rPh sb="8" eb="10">
      <t>コウモク</t>
    </rPh>
    <phoneticPr fontId="4"/>
  </si>
  <si>
    <t>log Pow</t>
    <phoneticPr fontId="3"/>
  </si>
  <si>
    <t>のセルは任意（試験・該当があれば入力）</t>
    <rPh sb="4" eb="6">
      <t>ニンイ</t>
    </rPh>
    <rPh sb="7" eb="9">
      <t>シケン</t>
    </rPh>
    <rPh sb="10" eb="12">
      <t>ガイトウ</t>
    </rPh>
    <rPh sb="16" eb="18">
      <t>ニュウリョク</t>
    </rPh>
    <phoneticPr fontId="4"/>
  </si>
  <si>
    <t>Pow</t>
    <phoneticPr fontId="3"/>
  </si>
  <si>
    <t>上記シナリオの評価要否</t>
    <rPh sb="0" eb="2">
      <t>ジョウキ</t>
    </rPh>
    <rPh sb="7" eb="9">
      <t>ヒョウカ</t>
    </rPh>
    <rPh sb="9" eb="11">
      <t>ヨウヒ</t>
    </rPh>
    <phoneticPr fontId="3"/>
  </si>
  <si>
    <t>2.鳥類予測ばく露量等</t>
    <rPh sb="2" eb="4">
      <t>チョウルイ</t>
    </rPh>
    <rPh sb="4" eb="6">
      <t>ヨソク</t>
    </rPh>
    <rPh sb="8" eb="9">
      <t>ロ</t>
    </rPh>
    <rPh sb="9" eb="10">
      <t>リョウ</t>
    </rPh>
    <rPh sb="10" eb="11">
      <t>トウ</t>
    </rPh>
    <phoneticPr fontId="4"/>
  </si>
  <si>
    <t>シナリオ名</t>
    <rPh sb="4" eb="5">
      <t>メイ</t>
    </rPh>
    <phoneticPr fontId="3"/>
  </si>
  <si>
    <t>初期評価</t>
    <rPh sb="0" eb="4">
      <t>ショキヒョウカ</t>
    </rPh>
    <phoneticPr fontId="3"/>
  </si>
  <si>
    <t>二次評価</t>
    <rPh sb="0" eb="4">
      <t>ニジヒョウカ</t>
    </rPh>
    <phoneticPr fontId="3"/>
  </si>
  <si>
    <t>項目</t>
    <rPh sb="0" eb="2">
      <t>コウモク</t>
    </rPh>
    <phoneticPr fontId="3"/>
  </si>
  <si>
    <t>値</t>
    <rPh sb="0" eb="1">
      <t>アタイ</t>
    </rPh>
    <phoneticPr fontId="3"/>
  </si>
  <si>
    <t>単位</t>
    <rPh sb="0" eb="2">
      <t>タンイ</t>
    </rPh>
    <phoneticPr fontId="3"/>
  </si>
  <si>
    <t>水稲シナリオ</t>
    <rPh sb="0" eb="2">
      <t>スイトウ</t>
    </rPh>
    <phoneticPr fontId="3"/>
  </si>
  <si>
    <t>予測ばく露量</t>
    <rPh sb="0" eb="2">
      <t>ヨソク</t>
    </rPh>
    <rPh sb="4" eb="6">
      <t>ロリョウ</t>
    </rPh>
    <phoneticPr fontId="3"/>
  </si>
  <si>
    <t>(mg-a.i./kg体重/日)</t>
    <rPh sb="11" eb="13">
      <t>タイジュウ</t>
    </rPh>
    <rPh sb="14" eb="15">
      <t>ニチ</t>
    </rPh>
    <phoneticPr fontId="5"/>
  </si>
  <si>
    <t>果実食シナリオ</t>
    <rPh sb="0" eb="3">
      <t>カジツショク</t>
    </rPh>
    <phoneticPr fontId="3"/>
  </si>
  <si>
    <t>種子食シナリオ</t>
    <rPh sb="0" eb="3">
      <t>シュシショク</t>
    </rPh>
    <phoneticPr fontId="3"/>
  </si>
  <si>
    <t>昆虫食シナリオ</t>
    <rPh sb="0" eb="3">
      <t>コンチュウショク</t>
    </rPh>
    <phoneticPr fontId="3"/>
  </si>
  <si>
    <t>混合食シナリオ</t>
    <rPh sb="0" eb="3">
      <t>コンゴウショク</t>
    </rPh>
    <phoneticPr fontId="3"/>
  </si>
  <si>
    <t>田面水シナリオ</t>
    <rPh sb="0" eb="3">
      <t>デンメンスイ</t>
    </rPh>
    <phoneticPr fontId="3"/>
  </si>
  <si>
    <t>魚食シナリオ（田面水由来）</t>
    <rPh sb="0" eb="2">
      <t>ギョショク</t>
    </rPh>
    <phoneticPr fontId="3"/>
  </si>
  <si>
    <t>魚食シナリオ（河川水由来）</t>
    <rPh sb="0" eb="2">
      <t>ギョショク</t>
    </rPh>
    <rPh sb="7" eb="10">
      <t>カセンスイ</t>
    </rPh>
    <phoneticPr fontId="3"/>
  </si>
  <si>
    <t>土壌無脊椎動物食シナリオ</t>
    <rPh sb="0" eb="7">
      <t>ドジョウムセキツイドウブツ</t>
    </rPh>
    <rPh sb="7" eb="8">
      <t>ショク</t>
    </rPh>
    <phoneticPr fontId="3"/>
  </si>
  <si>
    <t>鳥類食シナリオ</t>
    <rPh sb="0" eb="2">
      <t>チョウルイ</t>
    </rPh>
    <rPh sb="2" eb="3">
      <t>ショク</t>
    </rPh>
    <phoneticPr fontId="3"/>
  </si>
  <si>
    <t>BMF</t>
    <phoneticPr fontId="3"/>
  </si>
  <si>
    <t>(-.)</t>
    <phoneticPr fontId="5"/>
  </si>
  <si>
    <t>3.鳥類基準値</t>
    <rPh sb="2" eb="7">
      <t>チョウルイキジュンチ</t>
    </rPh>
    <phoneticPr fontId="4"/>
  </si>
  <si>
    <t>鳥類基準値</t>
    <rPh sb="0" eb="5">
      <t>チョウルイキジュンチ</t>
    </rPh>
    <phoneticPr fontId="3"/>
  </si>
  <si>
    <t>4.リスク判定</t>
    <rPh sb="5" eb="7">
      <t>ハンテイ</t>
    </rPh>
    <phoneticPr fontId="4"/>
  </si>
  <si>
    <t>*リスク懸念ありの場合はセルが赤く表示</t>
    <rPh sb="15" eb="16">
      <t>アカ</t>
    </rPh>
    <rPh sb="17" eb="19">
      <t>ヒョウジ</t>
    </rPh>
    <phoneticPr fontId="3"/>
  </si>
  <si>
    <t>結果</t>
    <rPh sb="0" eb="2">
      <t>ケッカ</t>
    </rPh>
    <phoneticPr fontId="3"/>
  </si>
  <si>
    <t>基準値/予測ばく露量</t>
    <rPh sb="0" eb="3">
      <t>キジュンチ</t>
    </rPh>
    <rPh sb="4" eb="6">
      <t>ヨソク</t>
    </rPh>
    <rPh sb="8" eb="10">
      <t>ロリョウ</t>
    </rPh>
    <phoneticPr fontId="3"/>
  </si>
  <si>
    <t>混合食シナリオ</t>
    <rPh sb="0" eb="2">
      <t>コンゴウ</t>
    </rPh>
    <rPh sb="2" eb="3">
      <t>ショク</t>
    </rPh>
    <phoneticPr fontId="3"/>
  </si>
  <si>
    <t>鳥類基準値算定シート</t>
    <rPh sb="0" eb="2">
      <t>チョウルイ</t>
    </rPh>
    <rPh sb="2" eb="5">
      <t>キジュンチ</t>
    </rPh>
    <rPh sb="5" eb="7">
      <t>サンテイ</t>
    </rPh>
    <phoneticPr fontId="4"/>
  </si>
  <si>
    <t>1. 化合物 (有効成分名）：</t>
    <rPh sb="3" eb="6">
      <t>カゴウブツ</t>
    </rPh>
    <rPh sb="8" eb="10">
      <t>ユウコウ</t>
    </rPh>
    <rPh sb="10" eb="12">
      <t>セイブン</t>
    </rPh>
    <rPh sb="12" eb="13">
      <t>メイ</t>
    </rPh>
    <phoneticPr fontId="4"/>
  </si>
  <si>
    <t>のセルは計算結果 (変更不可）</t>
    <rPh sb="4" eb="6">
      <t>ケイサン</t>
    </rPh>
    <rPh sb="6" eb="8">
      <t>ケッカ</t>
    </rPh>
    <rPh sb="10" eb="12">
      <t>ヘンコウ</t>
    </rPh>
    <rPh sb="12" eb="14">
      <t>フカ</t>
    </rPh>
    <phoneticPr fontId="4"/>
  </si>
  <si>
    <t>2. 鳥類急性経口毒性</t>
    <rPh sb="3" eb="5">
      <t>チョウルイ</t>
    </rPh>
    <rPh sb="5" eb="7">
      <t>キュウセイ</t>
    </rPh>
    <rPh sb="7" eb="9">
      <t>ケイコウ</t>
    </rPh>
    <rPh sb="9" eb="11">
      <t>ドクセイ</t>
    </rPh>
    <phoneticPr fontId="4"/>
  </si>
  <si>
    <r>
      <t>鳥種</t>
    </r>
    <r>
      <rPr>
        <vertAlign val="superscript"/>
        <sz val="10"/>
        <color rgb="FFFF0000"/>
        <rFont val="游ゴシック"/>
        <family val="3"/>
        <charset val="128"/>
        <scheme val="minor"/>
      </rPr>
      <t>注１</t>
    </r>
    <rPh sb="0" eb="1">
      <t>トリ</t>
    </rPh>
    <rPh sb="1" eb="2">
      <t>タネ</t>
    </rPh>
    <phoneticPr fontId="4"/>
  </si>
  <si>
    <r>
      <t>LD</t>
    </r>
    <r>
      <rPr>
        <vertAlign val="subscript"/>
        <sz val="10"/>
        <rFont val="游ゴシック"/>
        <family val="3"/>
        <charset val="128"/>
        <scheme val="minor"/>
      </rPr>
      <t>50</t>
    </r>
    <phoneticPr fontId="4"/>
  </si>
  <si>
    <r>
      <t>平均体重(g)</t>
    </r>
    <r>
      <rPr>
        <vertAlign val="superscript"/>
        <sz val="10"/>
        <color rgb="FFFF0000"/>
        <rFont val="游ゴシック"/>
        <family val="3"/>
        <charset val="128"/>
        <scheme val="minor"/>
      </rPr>
      <t>注２</t>
    </r>
    <rPh sb="0" eb="2">
      <t>ヘイキン</t>
    </rPh>
    <rPh sb="2" eb="4">
      <t>タイジュウ</t>
    </rPh>
    <rPh sb="7" eb="8">
      <t>チュウ</t>
    </rPh>
    <phoneticPr fontId="4"/>
  </si>
  <si>
    <r>
      <t>標準体重の使用</t>
    </r>
    <r>
      <rPr>
        <vertAlign val="superscript"/>
        <sz val="10"/>
        <color rgb="FFFF0000"/>
        <rFont val="游ゴシック"/>
        <family val="3"/>
        <charset val="128"/>
        <scheme val="minor"/>
      </rPr>
      <t>注3</t>
    </r>
    <rPh sb="0" eb="2">
      <t>ヒョウジュン</t>
    </rPh>
    <rPh sb="2" eb="4">
      <t>タイジュウ</t>
    </rPh>
    <rPh sb="5" eb="7">
      <t>シヨウ</t>
    </rPh>
    <phoneticPr fontId="4"/>
  </si>
  <si>
    <r>
      <t>LD</t>
    </r>
    <r>
      <rPr>
        <vertAlign val="subscript"/>
        <sz val="10"/>
        <rFont val="游ゴシック"/>
        <family val="3"/>
        <charset val="128"/>
        <scheme val="minor"/>
      </rPr>
      <t>50</t>
    </r>
    <r>
      <rPr>
        <i/>
        <vertAlign val="subscript"/>
        <sz val="10"/>
        <rFont val="游ゴシック"/>
        <family val="3"/>
        <charset val="128"/>
        <scheme val="minor"/>
      </rPr>
      <t xml:space="preserve"> Adj.</t>
    </r>
    <phoneticPr fontId="4"/>
  </si>
  <si>
    <t>ウズラ　（ニホンウズラ）</t>
    <phoneticPr fontId="4"/>
  </si>
  <si>
    <t>mg/kg-b.w.</t>
    <phoneticPr fontId="4"/>
  </si>
  <si>
    <t>g</t>
    <phoneticPr fontId="4"/>
  </si>
  <si>
    <r>
      <t>*注1: １鳥種で複数試験成績がある場合、体重補正後のLD50</t>
    </r>
    <r>
      <rPr>
        <b/>
        <i/>
        <vertAlign val="subscript"/>
        <sz val="10"/>
        <color rgb="FFFF0000"/>
        <rFont val="游ゴシック"/>
        <family val="3"/>
        <charset val="128"/>
        <scheme val="minor"/>
      </rPr>
      <t xml:space="preserve"> Adj.</t>
    </r>
    <r>
      <rPr>
        <b/>
        <sz val="10"/>
        <color rgb="FFFF0000"/>
        <rFont val="游ゴシック"/>
        <family val="3"/>
        <charset val="128"/>
        <scheme val="minor"/>
      </rPr>
      <t xml:space="preserve">から幾何平均を求め、当該種のLD50 </t>
    </r>
    <r>
      <rPr>
        <b/>
        <i/>
        <vertAlign val="subscript"/>
        <sz val="10"/>
        <color rgb="FFFF0000"/>
        <rFont val="游ゴシック"/>
        <family val="3"/>
        <charset val="128"/>
        <scheme val="minor"/>
      </rPr>
      <t>Adj.</t>
    </r>
    <r>
      <rPr>
        <b/>
        <sz val="10"/>
        <color rgb="FFFF0000"/>
        <rFont val="游ゴシック"/>
        <family val="3"/>
        <charset val="128"/>
        <scheme val="minor"/>
      </rPr>
      <t>とすること</t>
    </r>
    <rPh sb="1" eb="2">
      <t>チュウ</t>
    </rPh>
    <rPh sb="6" eb="7">
      <t>トリ</t>
    </rPh>
    <rPh sb="7" eb="8">
      <t>シュ</t>
    </rPh>
    <rPh sb="9" eb="11">
      <t>フクスウ</t>
    </rPh>
    <rPh sb="11" eb="13">
      <t>シケン</t>
    </rPh>
    <rPh sb="13" eb="15">
      <t>セイセキ</t>
    </rPh>
    <rPh sb="18" eb="20">
      <t>バアイ</t>
    </rPh>
    <phoneticPr fontId="4"/>
  </si>
  <si>
    <t>ボブホワイト (コリン）ウズラ</t>
    <phoneticPr fontId="4"/>
  </si>
  <si>
    <t>*注2: 被験物質投与前の各供試鳥の個別体重の算術平均値を入力すること</t>
    <rPh sb="1" eb="2">
      <t>チュウ</t>
    </rPh>
    <rPh sb="5" eb="7">
      <t>ヒケン</t>
    </rPh>
    <rPh sb="7" eb="9">
      <t>ブッシツ</t>
    </rPh>
    <rPh sb="9" eb="11">
      <t>トウヨ</t>
    </rPh>
    <rPh sb="11" eb="12">
      <t>マエ</t>
    </rPh>
    <rPh sb="13" eb="14">
      <t>カク</t>
    </rPh>
    <rPh sb="14" eb="16">
      <t>キョウシ</t>
    </rPh>
    <rPh sb="16" eb="17">
      <t>チョウ</t>
    </rPh>
    <rPh sb="18" eb="20">
      <t>コベツ</t>
    </rPh>
    <rPh sb="20" eb="22">
      <t>タイジュウ</t>
    </rPh>
    <rPh sb="23" eb="25">
      <t>サンジュツ</t>
    </rPh>
    <rPh sb="25" eb="27">
      <t>ヘイキン</t>
    </rPh>
    <rPh sb="27" eb="28">
      <t>チ</t>
    </rPh>
    <rPh sb="29" eb="31">
      <t>ニュウリョク</t>
    </rPh>
    <phoneticPr fontId="4"/>
  </si>
  <si>
    <t>マガモ</t>
    <phoneticPr fontId="4"/>
  </si>
  <si>
    <t>*注3: 標準体重（ウズラ120g、コリンウズラ178g、マガモ1,580g）を平均体重の代わりに用いる場合は、有 を記入すること</t>
    <rPh sb="40" eb="42">
      <t>ヘイキン</t>
    </rPh>
    <rPh sb="42" eb="44">
      <t>タイジュウ</t>
    </rPh>
    <rPh sb="45" eb="46">
      <t>カ</t>
    </rPh>
    <rPh sb="56" eb="57">
      <t>ユウ</t>
    </rPh>
    <rPh sb="59" eb="61">
      <t>キニュウ</t>
    </rPh>
    <phoneticPr fontId="4"/>
  </si>
  <si>
    <t>その他鳥種１</t>
    <rPh sb="2" eb="3">
      <t>タ</t>
    </rPh>
    <rPh sb="3" eb="4">
      <t>トリ</t>
    </rPh>
    <rPh sb="4" eb="5">
      <t>シュ</t>
    </rPh>
    <phoneticPr fontId="4"/>
  </si>
  <si>
    <t>　</t>
    <phoneticPr fontId="3"/>
  </si>
  <si>
    <t>　なお、次の①～②すべてを満たさない時は選択不可</t>
    <rPh sb="18" eb="19">
      <t>トキ</t>
    </rPh>
    <rPh sb="20" eb="22">
      <t>センタク</t>
    </rPh>
    <rPh sb="22" eb="24">
      <t>フカ</t>
    </rPh>
    <phoneticPr fontId="4"/>
  </si>
  <si>
    <t>その他鳥種２</t>
    <rPh sb="2" eb="3">
      <t>タ</t>
    </rPh>
    <rPh sb="3" eb="4">
      <t>トリ</t>
    </rPh>
    <rPh sb="4" eb="5">
      <t>シュ</t>
    </rPh>
    <phoneticPr fontId="4"/>
  </si>
  <si>
    <t>　①供試鳥種がウズラ、コリンウズラ、マガモのいずれかであること</t>
    <phoneticPr fontId="4"/>
  </si>
  <si>
    <t>その他鳥種３</t>
    <rPh sb="2" eb="3">
      <t>タ</t>
    </rPh>
    <rPh sb="3" eb="4">
      <t>トリ</t>
    </rPh>
    <rPh sb="4" eb="5">
      <t>シュ</t>
    </rPh>
    <phoneticPr fontId="4"/>
  </si>
  <si>
    <t>　②供試鳥の個別体重が不明であることの理由書を環境省に提出し、鳥類登録基準設定検討会において、</t>
    <phoneticPr fontId="4"/>
  </si>
  <si>
    <t>　　標準体重の使用はやむを得ないと認められること</t>
    <phoneticPr fontId="4"/>
  </si>
  <si>
    <r>
      <t>LD</t>
    </r>
    <r>
      <rPr>
        <vertAlign val="subscript"/>
        <sz val="10"/>
        <rFont val="游ゴシック"/>
        <family val="3"/>
        <charset val="128"/>
        <scheme val="minor"/>
      </rPr>
      <t>50 Adj</t>
    </r>
    <r>
      <rPr>
        <sz val="10"/>
        <rFont val="游ゴシック"/>
        <family val="3"/>
        <charset val="128"/>
        <scheme val="minor"/>
      </rPr>
      <t>.（有効数字3桁）</t>
    </r>
    <rPh sb="10" eb="12">
      <t>ユウコウ</t>
    </rPh>
    <rPh sb="12" eb="14">
      <t>スウジ</t>
    </rPh>
    <rPh sb="15" eb="16">
      <t>ケタ</t>
    </rPh>
    <phoneticPr fontId="4"/>
  </si>
  <si>
    <t>3. 鳥類繁殖毒性</t>
    <rPh sb="3" eb="5">
      <t>チョウルイ</t>
    </rPh>
    <rPh sb="5" eb="7">
      <t>ハンショク</t>
    </rPh>
    <rPh sb="7" eb="9">
      <t>ドクセイ</t>
    </rPh>
    <phoneticPr fontId="4"/>
  </si>
  <si>
    <t>鳥種</t>
    <rPh sb="0" eb="1">
      <t>トリ</t>
    </rPh>
    <rPh sb="1" eb="2">
      <t>タネ</t>
    </rPh>
    <phoneticPr fontId="4"/>
  </si>
  <si>
    <t>NOAEL</t>
    <phoneticPr fontId="4"/>
  </si>
  <si>
    <t>NOAEC</t>
    <phoneticPr fontId="4"/>
  </si>
  <si>
    <t>ウズラ</t>
    <phoneticPr fontId="3"/>
  </si>
  <si>
    <t>mg/kg-diet</t>
    <phoneticPr fontId="3"/>
  </si>
  <si>
    <t>マガモ</t>
    <phoneticPr fontId="3"/>
  </si>
  <si>
    <t>NOAEL（有効数字3桁）</t>
    <rPh sb="6" eb="8">
      <t>ユウコウ</t>
    </rPh>
    <rPh sb="8" eb="10">
      <t>スウジ</t>
    </rPh>
    <rPh sb="11" eb="12">
      <t>ケタ</t>
    </rPh>
    <phoneticPr fontId="4"/>
  </si>
  <si>
    <t>4. 登録基準値（長期）</t>
    <rPh sb="3" eb="5">
      <t>トウロク</t>
    </rPh>
    <rPh sb="5" eb="8">
      <t>キジュンチ</t>
    </rPh>
    <rPh sb="9" eb="11">
      <t>チョウキ</t>
    </rPh>
    <phoneticPr fontId="4"/>
  </si>
  <si>
    <t>半致死量→亜致死的用量への補正</t>
    <rPh sb="0" eb="1">
      <t>ハン</t>
    </rPh>
    <rPh sb="1" eb="4">
      <t>チシリョウ</t>
    </rPh>
    <rPh sb="5" eb="6">
      <t>ア</t>
    </rPh>
    <rPh sb="6" eb="8">
      <t>チシ</t>
    </rPh>
    <rPh sb="8" eb="9">
      <t>テキ</t>
    </rPh>
    <rPh sb="9" eb="11">
      <t>ヨウリョウ</t>
    </rPh>
    <rPh sb="13" eb="15">
      <t>ホセイ</t>
    </rPh>
    <phoneticPr fontId="3"/>
  </si>
  <si>
    <t>不確実係数</t>
    <rPh sb="0" eb="3">
      <t>フカクジツ</t>
    </rPh>
    <rPh sb="3" eb="5">
      <t>ケイスウ</t>
    </rPh>
    <phoneticPr fontId="4"/>
  </si>
  <si>
    <t>鳥類基準値</t>
    <rPh sb="0" eb="5">
      <t>チョウルイキジュンチ</t>
    </rPh>
    <phoneticPr fontId="4"/>
  </si>
  <si>
    <t>鳥類予測ばく露量算定シート（水稲食シナリオ）</t>
    <rPh sb="0" eb="2">
      <t>チョウルイ</t>
    </rPh>
    <rPh sb="2" eb="4">
      <t>ヨソク</t>
    </rPh>
    <rPh sb="6" eb="7">
      <t>ロ</t>
    </rPh>
    <rPh sb="7" eb="8">
      <t>リョウ</t>
    </rPh>
    <rPh sb="8" eb="10">
      <t>サンテイ</t>
    </rPh>
    <phoneticPr fontId="4"/>
  </si>
  <si>
    <t>１．最大散布量となる農薬の使用方法</t>
    <rPh sb="2" eb="4">
      <t>サイダイ</t>
    </rPh>
    <rPh sb="4" eb="7">
      <t>サンプリョウ</t>
    </rPh>
    <rPh sb="10" eb="12">
      <t>ノウヤク</t>
    </rPh>
    <rPh sb="13" eb="15">
      <t>シヨウ</t>
    </rPh>
    <rPh sb="15" eb="17">
      <t>ホウホウ</t>
    </rPh>
    <phoneticPr fontId="5"/>
  </si>
  <si>
    <t>のセルは任意（試験があれば入力）</t>
    <rPh sb="4" eb="6">
      <t>ニンイ</t>
    </rPh>
    <rPh sb="7" eb="9">
      <t>シケン</t>
    </rPh>
    <rPh sb="13" eb="15">
      <t>ニュウリョク</t>
    </rPh>
    <phoneticPr fontId="4"/>
  </si>
  <si>
    <t>製剤名</t>
    <rPh sb="0" eb="2">
      <t>セイザイ</t>
    </rPh>
    <rPh sb="2" eb="3">
      <t>メイ</t>
    </rPh>
    <phoneticPr fontId="5"/>
  </si>
  <si>
    <t>有効成分濃度</t>
    <rPh sb="0" eb="2">
      <t>ユウコウ</t>
    </rPh>
    <rPh sb="2" eb="4">
      <t>セイブン</t>
    </rPh>
    <rPh sb="4" eb="6">
      <t>ノウド</t>
    </rPh>
    <phoneticPr fontId="5"/>
  </si>
  <si>
    <t>有効成分の散布量</t>
    <rPh sb="0" eb="2">
      <t>ユウコウ</t>
    </rPh>
    <rPh sb="2" eb="4">
      <t>セイブン</t>
    </rPh>
    <rPh sb="5" eb="8">
      <t>サンプリョウ</t>
    </rPh>
    <phoneticPr fontId="5"/>
  </si>
  <si>
    <t>最大散布回数</t>
    <rPh sb="0" eb="2">
      <t>サイダイ</t>
    </rPh>
    <rPh sb="2" eb="4">
      <t>サンプ</t>
    </rPh>
    <rPh sb="4" eb="6">
      <t>カイスウ</t>
    </rPh>
    <phoneticPr fontId="5"/>
  </si>
  <si>
    <t>散布間隔</t>
    <rPh sb="0" eb="4">
      <t>サンプカンカク</t>
    </rPh>
    <phoneticPr fontId="5"/>
  </si>
  <si>
    <t>％</t>
    <phoneticPr fontId="5"/>
  </si>
  <si>
    <t>(kg-a.i./ha)</t>
    <phoneticPr fontId="5"/>
  </si>
  <si>
    <t>回</t>
    <rPh sb="0" eb="1">
      <t>カイ</t>
    </rPh>
    <phoneticPr fontId="5"/>
  </si>
  <si>
    <t>日</t>
    <rPh sb="0" eb="1">
      <t>ニチ</t>
    </rPh>
    <phoneticPr fontId="5"/>
  </si>
  <si>
    <t>２．初期評価における予測ばく露量</t>
    <rPh sb="2" eb="4">
      <t>ショキ</t>
    </rPh>
    <rPh sb="4" eb="6">
      <t>ヒョウカ</t>
    </rPh>
    <rPh sb="10" eb="12">
      <t>ヨソク</t>
    </rPh>
    <rPh sb="14" eb="15">
      <t>ロ</t>
    </rPh>
    <rPh sb="15" eb="16">
      <t>リョウ</t>
    </rPh>
    <phoneticPr fontId="5"/>
  </si>
  <si>
    <t>単位散布量</t>
    <rPh sb="0" eb="2">
      <t>タンイ</t>
    </rPh>
    <rPh sb="2" eb="5">
      <t>サンプリョウ</t>
    </rPh>
    <phoneticPr fontId="5"/>
  </si>
  <si>
    <t>RUD</t>
    <phoneticPr fontId="5"/>
  </si>
  <si>
    <t>(mg-a.i./kg-diet)/(kg-a.i./ha)</t>
    <phoneticPr fontId="5"/>
  </si>
  <si>
    <t>複数回散布係数</t>
    <rPh sb="0" eb="3">
      <t>フクスウカイ</t>
    </rPh>
    <rPh sb="3" eb="5">
      <t>サンプ</t>
    </rPh>
    <rPh sb="5" eb="7">
      <t>ケイスウ</t>
    </rPh>
    <phoneticPr fontId="5"/>
  </si>
  <si>
    <t>(-)</t>
    <phoneticPr fontId="5"/>
  </si>
  <si>
    <t>時間加重平均係数</t>
    <rPh sb="0" eb="8">
      <t>ジカンカジュウヘイキンケイスウ</t>
    </rPh>
    <phoneticPr fontId="3"/>
  </si>
  <si>
    <t>推定残留濃度</t>
    <rPh sb="0" eb="2">
      <t>スイテイ</t>
    </rPh>
    <rPh sb="2" eb="4">
      <t>ザンリュウ</t>
    </rPh>
    <rPh sb="4" eb="6">
      <t>ノウド</t>
    </rPh>
    <phoneticPr fontId="5"/>
  </si>
  <si>
    <t>(mg-a.i./kg-diet)</t>
    <phoneticPr fontId="5"/>
  </si>
  <si>
    <t>予測ばく露量</t>
    <rPh sb="0" eb="2">
      <t>ヨソク</t>
    </rPh>
    <rPh sb="4" eb="6">
      <t>ロリョウ</t>
    </rPh>
    <phoneticPr fontId="5"/>
  </si>
  <si>
    <t>３．二次評価における予測ばく露量</t>
    <rPh sb="2" eb="4">
      <t>ニジ</t>
    </rPh>
    <rPh sb="4" eb="6">
      <t>ヒョウカ</t>
    </rPh>
    <rPh sb="10" eb="12">
      <t>ヨソク</t>
    </rPh>
    <rPh sb="14" eb="15">
      <t>ロ</t>
    </rPh>
    <rPh sb="15" eb="16">
      <t>リョウ</t>
    </rPh>
    <phoneticPr fontId="5"/>
  </si>
  <si>
    <t>水稲に係る作物残留試験における被験物質の残留濃度</t>
    <rPh sb="0" eb="2">
      <t>スイトウ</t>
    </rPh>
    <rPh sb="3" eb="4">
      <t>カカ</t>
    </rPh>
    <rPh sb="5" eb="7">
      <t>サクモツ</t>
    </rPh>
    <rPh sb="7" eb="9">
      <t>ザンリュウ</t>
    </rPh>
    <rPh sb="9" eb="11">
      <t>シケン</t>
    </rPh>
    <rPh sb="15" eb="17">
      <t>ヒケン</t>
    </rPh>
    <rPh sb="17" eb="19">
      <t>ブッシツ</t>
    </rPh>
    <rPh sb="20" eb="22">
      <t>ザンリュウ</t>
    </rPh>
    <rPh sb="22" eb="24">
      <t>ノウド</t>
    </rPh>
    <phoneticPr fontId="5"/>
  </si>
  <si>
    <t>作物残留試験における散布後経過日数</t>
    <rPh sb="0" eb="2">
      <t>サクモツ</t>
    </rPh>
    <rPh sb="2" eb="4">
      <t>ザンリュウ</t>
    </rPh>
    <rPh sb="4" eb="6">
      <t>シケン</t>
    </rPh>
    <rPh sb="10" eb="13">
      <t>サンプゴ</t>
    </rPh>
    <rPh sb="13" eb="15">
      <t>ケイカ</t>
    </rPh>
    <rPh sb="15" eb="17">
      <t>ニッスウ</t>
    </rPh>
    <phoneticPr fontId="5"/>
  </si>
  <si>
    <t>作物残留試験における半減期</t>
    <phoneticPr fontId="5"/>
  </si>
  <si>
    <t>複数回散布係数</t>
    <rPh sb="0" eb="7">
      <t>フクスウカイサンプケイスウ</t>
    </rPh>
    <phoneticPr fontId="3"/>
  </si>
  <si>
    <t>(-)</t>
    <phoneticPr fontId="3"/>
  </si>
  <si>
    <t>鳥類予測ばく露量算定シート（果実食シナリオ）</t>
    <rPh sb="0" eb="2">
      <t>チョウルイ</t>
    </rPh>
    <rPh sb="2" eb="4">
      <t>ヨソク</t>
    </rPh>
    <rPh sb="6" eb="7">
      <t>ロ</t>
    </rPh>
    <rPh sb="7" eb="8">
      <t>リョウ</t>
    </rPh>
    <rPh sb="8" eb="10">
      <t>サンテイ</t>
    </rPh>
    <rPh sb="14" eb="16">
      <t>カジツ</t>
    </rPh>
    <phoneticPr fontId="4"/>
  </si>
  <si>
    <t>果実に係る作物残留試験における被験物質の残留濃度</t>
    <rPh sb="0" eb="2">
      <t>カジツ</t>
    </rPh>
    <rPh sb="3" eb="4">
      <t>カカ</t>
    </rPh>
    <rPh sb="5" eb="7">
      <t>サクモツ</t>
    </rPh>
    <rPh sb="7" eb="9">
      <t>ザンリュウ</t>
    </rPh>
    <rPh sb="9" eb="11">
      <t>シケン</t>
    </rPh>
    <rPh sb="15" eb="19">
      <t>ヒケンブッシツ</t>
    </rPh>
    <rPh sb="20" eb="22">
      <t>ザンリュウ</t>
    </rPh>
    <rPh sb="22" eb="24">
      <t>ノウド</t>
    </rPh>
    <phoneticPr fontId="5"/>
  </si>
  <si>
    <t>鳥類予測ばく露量算定シート（種子食シナリオ）</t>
    <rPh sb="0" eb="2">
      <t>チョウルイ</t>
    </rPh>
    <rPh sb="2" eb="4">
      <t>ヨソク</t>
    </rPh>
    <rPh sb="6" eb="7">
      <t>ロ</t>
    </rPh>
    <rPh sb="7" eb="8">
      <t>リョウ</t>
    </rPh>
    <rPh sb="8" eb="10">
      <t>サンテイ</t>
    </rPh>
    <rPh sb="14" eb="16">
      <t>シュシ</t>
    </rPh>
    <phoneticPr fontId="4"/>
  </si>
  <si>
    <t>有効成分の使用量</t>
    <rPh sb="0" eb="2">
      <t>ユウコウ</t>
    </rPh>
    <rPh sb="2" eb="4">
      <t>セイブン</t>
    </rPh>
    <rPh sb="5" eb="8">
      <t>シヨウリョウ</t>
    </rPh>
    <phoneticPr fontId="5"/>
  </si>
  <si>
    <t>適用農作物</t>
    <rPh sb="0" eb="2">
      <t>テキヨウ</t>
    </rPh>
    <rPh sb="2" eb="5">
      <t>ノウサクモツ</t>
    </rPh>
    <phoneticPr fontId="5"/>
  </si>
  <si>
    <t>(kg-a.i./kg-seed)</t>
    <phoneticPr fontId="5"/>
  </si>
  <si>
    <t>直播水稲</t>
    <rPh sb="0" eb="2">
      <t>チョクハン</t>
    </rPh>
    <rPh sb="2" eb="4">
      <t>スイトウ</t>
    </rPh>
    <phoneticPr fontId="2"/>
  </si>
  <si>
    <t>(mg-a.i./kg-diet)/(mg-a.i./kg-seed)</t>
    <phoneticPr fontId="5"/>
  </si>
  <si>
    <t>餌のばく露割合</t>
    <rPh sb="0" eb="1">
      <t>エサ</t>
    </rPh>
    <rPh sb="4" eb="5">
      <t>ロ</t>
    </rPh>
    <rPh sb="5" eb="7">
      <t>ワリアイ</t>
    </rPh>
    <phoneticPr fontId="5"/>
  </si>
  <si>
    <t>出芽時の残留農薬濃度</t>
    <rPh sb="0" eb="2">
      <t>シュツガ</t>
    </rPh>
    <rPh sb="2" eb="3">
      <t>ジ</t>
    </rPh>
    <rPh sb="4" eb="6">
      <t>ザンリュウ</t>
    </rPh>
    <rPh sb="6" eb="8">
      <t>ノウヤク</t>
    </rPh>
    <rPh sb="8" eb="10">
      <t>ノウド</t>
    </rPh>
    <phoneticPr fontId="5"/>
  </si>
  <si>
    <t>(mg-a.i./kg-seed)</t>
    <phoneticPr fontId="5"/>
  </si>
  <si>
    <t>出芽時の種子重量</t>
    <rPh sb="0" eb="2">
      <t>シュツガ</t>
    </rPh>
    <rPh sb="2" eb="3">
      <t>ジ</t>
    </rPh>
    <rPh sb="4" eb="6">
      <t>シュシ</t>
    </rPh>
    <rPh sb="6" eb="8">
      <t>ジュウリョウ</t>
    </rPh>
    <phoneticPr fontId="5"/>
  </si>
  <si>
    <t>(g-seed/粒）</t>
    <rPh sb="8" eb="9">
      <t>ツブ</t>
    </rPh>
    <phoneticPr fontId="5"/>
  </si>
  <si>
    <t>処理前の種子重量</t>
    <rPh sb="0" eb="2">
      <t>ショリ</t>
    </rPh>
    <rPh sb="2" eb="3">
      <t>マエ</t>
    </rPh>
    <rPh sb="4" eb="6">
      <t>シュシ</t>
    </rPh>
    <rPh sb="6" eb="8">
      <t>ジュウリョウ</t>
    </rPh>
    <phoneticPr fontId="5"/>
  </si>
  <si>
    <t>豆類、とうもろこし及び野菜類</t>
    <rPh sb="0" eb="2">
      <t>マメルイ</t>
    </rPh>
    <rPh sb="9" eb="10">
      <t>オヨ</t>
    </rPh>
    <rPh sb="11" eb="14">
      <t>ヤサイルイ</t>
    </rPh>
    <phoneticPr fontId="2"/>
  </si>
  <si>
    <t>鳥類予測ばく露量算定シート（昆虫食シナリオ）</t>
    <rPh sb="0" eb="2">
      <t>チョウルイ</t>
    </rPh>
    <rPh sb="2" eb="4">
      <t>ヨソク</t>
    </rPh>
    <rPh sb="6" eb="7">
      <t>ロ</t>
    </rPh>
    <rPh sb="7" eb="8">
      <t>リョウ</t>
    </rPh>
    <rPh sb="8" eb="10">
      <t>サンテイ</t>
    </rPh>
    <rPh sb="14" eb="16">
      <t>コンチュウ</t>
    </rPh>
    <phoneticPr fontId="4"/>
  </si>
  <si>
    <t>（水田）</t>
    <rPh sb="1" eb="3">
      <t>スイデン</t>
    </rPh>
    <phoneticPr fontId="5"/>
  </si>
  <si>
    <t>（非水田）</t>
    <rPh sb="1" eb="2">
      <t>ヒ</t>
    </rPh>
    <rPh sb="2" eb="4">
      <t>スイデン</t>
    </rPh>
    <phoneticPr fontId="5"/>
  </si>
  <si>
    <t>①通常の使用方法に基づく場合</t>
    <rPh sb="1" eb="3">
      <t>ツウジョウ</t>
    </rPh>
    <rPh sb="4" eb="6">
      <t>シヨウ</t>
    </rPh>
    <rPh sb="6" eb="8">
      <t>ホウホウ</t>
    </rPh>
    <rPh sb="9" eb="10">
      <t>モト</t>
    </rPh>
    <rPh sb="12" eb="14">
      <t>バアイ</t>
    </rPh>
    <phoneticPr fontId="5"/>
  </si>
  <si>
    <t>試験設計における作物栽培</t>
    <rPh sb="0" eb="2">
      <t>シケン</t>
    </rPh>
    <rPh sb="2" eb="4">
      <t>セッケイ</t>
    </rPh>
    <rPh sb="8" eb="10">
      <t>サクモツ</t>
    </rPh>
    <rPh sb="10" eb="12">
      <t>サイバイ</t>
    </rPh>
    <phoneticPr fontId="5"/>
  </si>
  <si>
    <t>土壌残留試験における評価対象農薬の散布直後の残留濃度</t>
    <rPh sb="0" eb="2">
      <t>ドジョウ</t>
    </rPh>
    <rPh sb="2" eb="4">
      <t>ザンリュウ</t>
    </rPh>
    <rPh sb="4" eb="6">
      <t>シケン</t>
    </rPh>
    <rPh sb="10" eb="12">
      <t>ヒョウカ</t>
    </rPh>
    <rPh sb="12" eb="14">
      <t>タイショウ</t>
    </rPh>
    <rPh sb="14" eb="16">
      <t>ノウヤク</t>
    </rPh>
    <rPh sb="17" eb="19">
      <t>サンプ</t>
    </rPh>
    <rPh sb="19" eb="21">
      <t>チョクゴ</t>
    </rPh>
    <rPh sb="22" eb="24">
      <t>ザンリュウ</t>
    </rPh>
    <rPh sb="24" eb="26">
      <t>ノウド</t>
    </rPh>
    <phoneticPr fontId="5"/>
  </si>
  <si>
    <t>(mg a.i./kg soil)</t>
    <phoneticPr fontId="5"/>
  </si>
  <si>
    <t>②複数回の使用が認められる農薬について、２倍量を１回のみ処理した場合</t>
    <rPh sb="1" eb="4">
      <t>フクスウカイ</t>
    </rPh>
    <rPh sb="5" eb="7">
      <t>シヨウ</t>
    </rPh>
    <rPh sb="8" eb="9">
      <t>ミト</t>
    </rPh>
    <rPh sb="13" eb="15">
      <t>ノウヤク</t>
    </rPh>
    <rPh sb="21" eb="22">
      <t>バイ</t>
    </rPh>
    <rPh sb="22" eb="23">
      <t>リョウ</t>
    </rPh>
    <rPh sb="25" eb="26">
      <t>カイ</t>
    </rPh>
    <rPh sb="28" eb="30">
      <t>ショリ</t>
    </rPh>
    <rPh sb="32" eb="34">
      <t>バアイ</t>
    </rPh>
    <phoneticPr fontId="5"/>
  </si>
  <si>
    <t>散布回数</t>
    <rPh sb="0" eb="2">
      <t>サンプ</t>
    </rPh>
    <rPh sb="2" eb="4">
      <t>カイスウ</t>
    </rPh>
    <phoneticPr fontId="5"/>
  </si>
  <si>
    <t>散布間隔の日数</t>
    <rPh sb="0" eb="2">
      <t>サンプ</t>
    </rPh>
    <rPh sb="2" eb="4">
      <t>カンカク</t>
    </rPh>
    <rPh sb="5" eb="7">
      <t>ニッスウ</t>
    </rPh>
    <phoneticPr fontId="5"/>
  </si>
  <si>
    <t>土壌残留試験で求められる土壌残留濃度の半減期</t>
    <rPh sb="0" eb="2">
      <t>ドジョウ</t>
    </rPh>
    <rPh sb="2" eb="4">
      <t>ザンリュウ</t>
    </rPh>
    <rPh sb="4" eb="6">
      <t>シケン</t>
    </rPh>
    <rPh sb="7" eb="8">
      <t>モト</t>
    </rPh>
    <rPh sb="12" eb="14">
      <t>ドジョウ</t>
    </rPh>
    <rPh sb="14" eb="16">
      <t>ザンリュウ</t>
    </rPh>
    <rPh sb="16" eb="18">
      <t>ノウド</t>
    </rPh>
    <rPh sb="19" eb="22">
      <t>ハンゲンキ</t>
    </rPh>
    <phoneticPr fontId="5"/>
  </si>
  <si>
    <t>*注: 使用方法に定められた最大の散布回数及び最小の散布間隔を入力すること</t>
    <rPh sb="1" eb="2">
      <t>チュウ</t>
    </rPh>
    <rPh sb="4" eb="6">
      <t>シヨウ</t>
    </rPh>
    <rPh sb="6" eb="8">
      <t>ホウホウ</t>
    </rPh>
    <rPh sb="9" eb="10">
      <t>サダ</t>
    </rPh>
    <rPh sb="14" eb="16">
      <t>サイダイ</t>
    </rPh>
    <rPh sb="17" eb="19">
      <t>サンプ</t>
    </rPh>
    <rPh sb="19" eb="21">
      <t>カイスウ</t>
    </rPh>
    <rPh sb="21" eb="22">
      <t>オヨ</t>
    </rPh>
    <rPh sb="23" eb="25">
      <t>サイショウ</t>
    </rPh>
    <rPh sb="26" eb="28">
      <t>サンプ</t>
    </rPh>
    <rPh sb="28" eb="30">
      <t>カンカク</t>
    </rPh>
    <rPh sb="31" eb="33">
      <t>ニュウリョク</t>
    </rPh>
    <phoneticPr fontId="4"/>
  </si>
  <si>
    <t>*注: 散布間隔について使用上の制限のない製剤については、空欄とすると散布間隔７日として計算が行われる。</t>
    <rPh sb="1" eb="2">
      <t>チュウ</t>
    </rPh>
    <rPh sb="4" eb="6">
      <t>サンプ</t>
    </rPh>
    <rPh sb="6" eb="8">
      <t>カンカク</t>
    </rPh>
    <rPh sb="12" eb="15">
      <t>シヨウジョウ</t>
    </rPh>
    <rPh sb="16" eb="18">
      <t>セイゲン</t>
    </rPh>
    <rPh sb="21" eb="23">
      <t>セイザイ</t>
    </rPh>
    <rPh sb="29" eb="31">
      <t>クウラン</t>
    </rPh>
    <rPh sb="35" eb="37">
      <t>サンプ</t>
    </rPh>
    <rPh sb="37" eb="39">
      <t>カンカク</t>
    </rPh>
    <rPh sb="40" eb="41">
      <t>ニチ</t>
    </rPh>
    <rPh sb="44" eb="46">
      <t>ケイサン</t>
    </rPh>
    <rPh sb="47" eb="48">
      <t>オコナ</t>
    </rPh>
    <phoneticPr fontId="4"/>
  </si>
  <si>
    <t>*注: 土壌残留試験において土壌残留濃度の減衰が見られない農薬については、空欄とすると減衰なしとして計算が行われる。</t>
    <rPh sb="1" eb="2">
      <t>チュウ</t>
    </rPh>
    <rPh sb="4" eb="6">
      <t>ドジョウ</t>
    </rPh>
    <rPh sb="6" eb="8">
      <t>ザンリュウ</t>
    </rPh>
    <rPh sb="8" eb="10">
      <t>シケン</t>
    </rPh>
    <rPh sb="14" eb="16">
      <t>ドジョウ</t>
    </rPh>
    <rPh sb="16" eb="18">
      <t>ザンリュウ</t>
    </rPh>
    <rPh sb="18" eb="20">
      <t>ノウド</t>
    </rPh>
    <rPh sb="21" eb="23">
      <t>ゲンスイ</t>
    </rPh>
    <rPh sb="24" eb="25">
      <t>ミ</t>
    </rPh>
    <rPh sb="29" eb="31">
      <t>ノウヤク</t>
    </rPh>
    <rPh sb="37" eb="39">
      <t>クウラン</t>
    </rPh>
    <rPh sb="43" eb="45">
      <t>ゲンスイ</t>
    </rPh>
    <rPh sb="50" eb="52">
      <t>ケイサン</t>
    </rPh>
    <rPh sb="53" eb="54">
      <t>オコナ</t>
    </rPh>
    <phoneticPr fontId="4"/>
  </si>
  <si>
    <t>n</t>
    <phoneticPr fontId="3"/>
  </si>
  <si>
    <t>Σ</t>
    <phoneticPr fontId="4"/>
  </si>
  <si>
    <t>鳥類予測ばく露量算定シート（混合食シナリオ）</t>
    <rPh sb="0" eb="2">
      <t>チョウルイ</t>
    </rPh>
    <rPh sb="2" eb="4">
      <t>ヨソク</t>
    </rPh>
    <rPh sb="6" eb="7">
      <t>ロ</t>
    </rPh>
    <rPh sb="7" eb="8">
      <t>リョウ</t>
    </rPh>
    <rPh sb="8" eb="10">
      <t>サンテイ</t>
    </rPh>
    <rPh sb="14" eb="16">
      <t>コンゴウ</t>
    </rPh>
    <rPh sb="16" eb="17">
      <t>ショク</t>
    </rPh>
    <phoneticPr fontId="4"/>
  </si>
  <si>
    <t>水稲食・果実食・種子食・昆虫食シナリオの二次評価において、登録基準値（長期）を予測ばく露量が超過する場合に使用可能。</t>
    <rPh sb="0" eb="3">
      <t>スイトウショク</t>
    </rPh>
    <rPh sb="4" eb="7">
      <t>カジツショク</t>
    </rPh>
    <rPh sb="8" eb="10">
      <t>シュシ</t>
    </rPh>
    <rPh sb="10" eb="11">
      <t>ショク</t>
    </rPh>
    <rPh sb="12" eb="15">
      <t>コンチュウショク</t>
    </rPh>
    <rPh sb="20" eb="24">
      <t>ニジヒョウカ</t>
    </rPh>
    <rPh sb="29" eb="31">
      <t>トウロク</t>
    </rPh>
    <rPh sb="31" eb="34">
      <t>キジュンチ</t>
    </rPh>
    <rPh sb="35" eb="37">
      <t>チョウキ</t>
    </rPh>
    <rPh sb="39" eb="41">
      <t>ヨソク</t>
    </rPh>
    <rPh sb="43" eb="45">
      <t>ロリョウ</t>
    </rPh>
    <rPh sb="46" eb="48">
      <t>チョウカ</t>
    </rPh>
    <rPh sb="50" eb="52">
      <t>バアイ</t>
    </rPh>
    <rPh sb="53" eb="55">
      <t>シヨウ</t>
    </rPh>
    <rPh sb="55" eb="57">
      <t>カノウ</t>
    </rPh>
    <phoneticPr fontId="5"/>
  </si>
  <si>
    <t>のセルは別シートを参照</t>
    <rPh sb="4" eb="5">
      <t>ベツ</t>
    </rPh>
    <rPh sb="9" eb="11">
      <t>サンショウ</t>
    </rPh>
    <phoneticPr fontId="3"/>
  </si>
  <si>
    <t>１．二次評価における各シナリオの予測ばく露量</t>
    <rPh sb="2" eb="4">
      <t>ニジ</t>
    </rPh>
    <rPh sb="4" eb="6">
      <t>ヒョウカ</t>
    </rPh>
    <rPh sb="10" eb="11">
      <t>カク</t>
    </rPh>
    <rPh sb="16" eb="18">
      <t>ヨソク</t>
    </rPh>
    <rPh sb="20" eb="21">
      <t>ロ</t>
    </rPh>
    <rPh sb="21" eb="22">
      <t>リョウ</t>
    </rPh>
    <phoneticPr fontId="5"/>
  </si>
  <si>
    <t>初期OR二次</t>
    <rPh sb="0" eb="2">
      <t>ショキ</t>
    </rPh>
    <rPh sb="4" eb="6">
      <t>ニジ</t>
    </rPh>
    <phoneticPr fontId="5"/>
  </si>
  <si>
    <t>（水稲食）予測ばく露量</t>
    <rPh sb="1" eb="3">
      <t>スイトウ</t>
    </rPh>
    <rPh sb="3" eb="4">
      <t>ショク</t>
    </rPh>
    <rPh sb="5" eb="7">
      <t>ヨソク</t>
    </rPh>
    <rPh sb="9" eb="11">
      <t>ロリョウ</t>
    </rPh>
    <phoneticPr fontId="5"/>
  </si>
  <si>
    <t>（果実食）予測ばく露量</t>
    <rPh sb="1" eb="3">
      <t>カジツ</t>
    </rPh>
    <rPh sb="3" eb="4">
      <t>ショク</t>
    </rPh>
    <rPh sb="5" eb="7">
      <t>ヨソク</t>
    </rPh>
    <rPh sb="9" eb="11">
      <t>ロリョウ</t>
    </rPh>
    <phoneticPr fontId="5"/>
  </si>
  <si>
    <t>（種子食）予測ばく露量（直播水稲）</t>
    <rPh sb="1" eb="3">
      <t>シュシ</t>
    </rPh>
    <rPh sb="3" eb="4">
      <t>ショク</t>
    </rPh>
    <rPh sb="5" eb="7">
      <t>ヨソク</t>
    </rPh>
    <rPh sb="9" eb="11">
      <t>ロリョウ</t>
    </rPh>
    <rPh sb="12" eb="14">
      <t>チョクハ</t>
    </rPh>
    <rPh sb="14" eb="16">
      <t>スイトウ</t>
    </rPh>
    <phoneticPr fontId="5"/>
  </si>
  <si>
    <t>（種子食）予測ばく露量（豆類）</t>
    <rPh sb="1" eb="3">
      <t>シュシ</t>
    </rPh>
    <rPh sb="3" eb="4">
      <t>ショク</t>
    </rPh>
    <rPh sb="5" eb="7">
      <t>ヨソク</t>
    </rPh>
    <rPh sb="9" eb="11">
      <t>ロリョウ</t>
    </rPh>
    <rPh sb="12" eb="14">
      <t>マメルイ</t>
    </rPh>
    <phoneticPr fontId="5"/>
  </si>
  <si>
    <t>（昆虫食）予測ばく露量（水田）</t>
    <rPh sb="1" eb="3">
      <t>コンチュウ</t>
    </rPh>
    <rPh sb="3" eb="4">
      <t>ショク</t>
    </rPh>
    <rPh sb="5" eb="7">
      <t>ヨソク</t>
    </rPh>
    <rPh sb="9" eb="11">
      <t>ロリョウ</t>
    </rPh>
    <rPh sb="12" eb="14">
      <t>スイデン</t>
    </rPh>
    <phoneticPr fontId="5"/>
  </si>
  <si>
    <t>（昆虫食）予測ばく露量（非水田）</t>
    <rPh sb="1" eb="3">
      <t>コンチュウ</t>
    </rPh>
    <rPh sb="3" eb="4">
      <t>ショク</t>
    </rPh>
    <rPh sb="5" eb="7">
      <t>ヨソク</t>
    </rPh>
    <rPh sb="9" eb="11">
      <t>ロリョウ</t>
    </rPh>
    <rPh sb="12" eb="15">
      <t>ヒスイデン</t>
    </rPh>
    <phoneticPr fontId="5"/>
  </si>
  <si>
    <t>２．餌中の餌種類比率（PD）</t>
    <rPh sb="2" eb="4">
      <t>エサチュウ</t>
    </rPh>
    <rPh sb="5" eb="8">
      <t>エサシュルイ</t>
    </rPh>
    <rPh sb="8" eb="10">
      <t>ヒリツ</t>
    </rPh>
    <phoneticPr fontId="5"/>
  </si>
  <si>
    <r>
      <rPr>
        <b/>
        <vertAlign val="superscript"/>
        <sz val="11"/>
        <color rgb="FFFF0000"/>
        <rFont val="游ゴシック"/>
        <family val="3"/>
        <charset val="128"/>
        <scheme val="minor"/>
      </rPr>
      <t>※</t>
    </r>
    <r>
      <rPr>
        <b/>
        <sz val="11"/>
        <color rgb="FFFF0000"/>
        <rFont val="游ゴシック"/>
        <family val="3"/>
        <charset val="128"/>
        <scheme val="minor"/>
      </rPr>
      <t>注　別途算出根拠の提出が必要。</t>
    </r>
    <rPh sb="1" eb="2">
      <t>チュウ</t>
    </rPh>
    <rPh sb="3" eb="5">
      <t>ベット</t>
    </rPh>
    <rPh sb="5" eb="7">
      <t>サンシュツ</t>
    </rPh>
    <rPh sb="7" eb="9">
      <t>コンキョ</t>
    </rPh>
    <rPh sb="10" eb="12">
      <t>テイシュツ</t>
    </rPh>
    <rPh sb="13" eb="15">
      <t>ヒツヨウ</t>
    </rPh>
    <phoneticPr fontId="5"/>
  </si>
  <si>
    <t>雑食性鳥類</t>
    <rPh sb="0" eb="2">
      <t>ザッショク</t>
    </rPh>
    <rPh sb="2" eb="3">
      <t>セイ</t>
    </rPh>
    <rPh sb="3" eb="5">
      <t>チョウルイ</t>
    </rPh>
    <phoneticPr fontId="5"/>
  </si>
  <si>
    <t>PD（水稲）</t>
    <rPh sb="3" eb="5">
      <t>スイトウ</t>
    </rPh>
    <phoneticPr fontId="5"/>
  </si>
  <si>
    <t>(-)</t>
  </si>
  <si>
    <t>PD（果実）</t>
    <rPh sb="3" eb="5">
      <t>カジツ</t>
    </rPh>
    <phoneticPr fontId="5"/>
  </si>
  <si>
    <t>PD（種子：直播水稲）</t>
    <rPh sb="3" eb="5">
      <t>シュシ</t>
    </rPh>
    <phoneticPr fontId="5"/>
  </si>
  <si>
    <t>PD（種子：豆類等）</t>
    <rPh sb="3" eb="5">
      <t>シュシ</t>
    </rPh>
    <rPh sb="6" eb="9">
      <t>マメルイトウ</t>
    </rPh>
    <phoneticPr fontId="5"/>
  </si>
  <si>
    <t>PD（昆虫）</t>
    <rPh sb="3" eb="5">
      <t>コンチュウ</t>
    </rPh>
    <phoneticPr fontId="5"/>
  </si>
  <si>
    <t>上記合計</t>
    <rPh sb="0" eb="2">
      <t>ジョウキ</t>
    </rPh>
    <rPh sb="2" eb="4">
      <t>ゴウケイ</t>
    </rPh>
    <phoneticPr fontId="5"/>
  </si>
  <si>
    <t>３．混合食を想定した予測ばく露量</t>
    <rPh sb="2" eb="5">
      <t>コンゴウショク</t>
    </rPh>
    <rPh sb="6" eb="8">
      <t>ソウテイ</t>
    </rPh>
    <rPh sb="10" eb="12">
      <t>ヨソク</t>
    </rPh>
    <rPh sb="14" eb="16">
      <t>ロリョウ</t>
    </rPh>
    <phoneticPr fontId="5"/>
  </si>
  <si>
    <t>鳥類予測ばく露量算定シート（田面水シナリオ）</t>
    <rPh sb="0" eb="2">
      <t>チョウルイ</t>
    </rPh>
    <rPh sb="2" eb="4">
      <t>ヨソク</t>
    </rPh>
    <rPh sb="6" eb="7">
      <t>ロ</t>
    </rPh>
    <rPh sb="7" eb="8">
      <t>リョウ</t>
    </rPh>
    <rPh sb="8" eb="10">
      <t>サンテイ</t>
    </rPh>
    <rPh sb="14" eb="15">
      <t>デン</t>
    </rPh>
    <rPh sb="15" eb="16">
      <t>メン</t>
    </rPh>
    <rPh sb="16" eb="17">
      <t>スイ</t>
    </rPh>
    <phoneticPr fontId="4"/>
  </si>
  <si>
    <t>散布間隔</t>
    <rPh sb="0" eb="2">
      <t>サンプ</t>
    </rPh>
    <rPh sb="2" eb="4">
      <t>カンカク</t>
    </rPh>
    <phoneticPr fontId="4"/>
  </si>
  <si>
    <r>
      <t>補正係数</t>
    </r>
    <r>
      <rPr>
        <vertAlign val="superscript"/>
        <sz val="11"/>
        <color rgb="FFFF0000"/>
        <rFont val="游ゴシック"/>
        <family val="3"/>
        <charset val="128"/>
        <scheme val="minor"/>
      </rPr>
      <t>注１</t>
    </r>
    <rPh sb="0" eb="2">
      <t>ホセイ</t>
    </rPh>
    <rPh sb="2" eb="4">
      <t>ケイスウ</t>
    </rPh>
    <rPh sb="4" eb="5">
      <t>チュウ</t>
    </rPh>
    <phoneticPr fontId="5"/>
  </si>
  <si>
    <t>日</t>
    <rPh sb="0" eb="1">
      <t>ニチ</t>
    </rPh>
    <phoneticPr fontId="4"/>
  </si>
  <si>
    <r>
      <t>２．初期評価における予測ばく露量（</t>
    </r>
    <r>
      <rPr>
        <b/>
        <sz val="11"/>
        <color theme="1"/>
        <rFont val="游ゴシック"/>
        <family val="3"/>
        <charset val="128"/>
        <scheme val="minor"/>
      </rPr>
      <t>半減期を考慮しない</t>
    </r>
    <r>
      <rPr>
        <sz val="11"/>
        <color theme="1"/>
        <rFont val="游ゴシック"/>
        <family val="3"/>
        <charset val="128"/>
        <scheme val="minor"/>
      </rPr>
      <t>）</t>
    </r>
    <rPh sb="2" eb="4">
      <t>ショキ</t>
    </rPh>
    <rPh sb="4" eb="6">
      <t>ヒョウカ</t>
    </rPh>
    <rPh sb="10" eb="12">
      <t>ヨソク</t>
    </rPh>
    <rPh sb="14" eb="15">
      <t>ロ</t>
    </rPh>
    <rPh sb="15" eb="16">
      <t>リョウ</t>
    </rPh>
    <rPh sb="17" eb="20">
      <t>ハンゲンキ</t>
    </rPh>
    <rPh sb="21" eb="23">
      <t>コウリョ</t>
    </rPh>
    <phoneticPr fontId="5"/>
  </si>
  <si>
    <t>(mg-a.i./L-diet)</t>
    <phoneticPr fontId="5"/>
  </si>
  <si>
    <r>
      <rPr>
        <b/>
        <vertAlign val="superscript"/>
        <sz val="11"/>
        <color rgb="FFFF0000"/>
        <rFont val="游ゴシック"/>
        <family val="3"/>
        <charset val="128"/>
        <scheme val="minor"/>
      </rPr>
      <t>※</t>
    </r>
    <r>
      <rPr>
        <b/>
        <sz val="11"/>
        <color rgb="FFFF0000"/>
        <rFont val="游ゴシック"/>
        <family val="3"/>
        <charset val="128"/>
        <scheme val="minor"/>
      </rPr>
      <t>注１：補正係数は、施用方法により次のパラメータを入力</t>
    </r>
    <rPh sb="1" eb="2">
      <t>チュウ</t>
    </rPh>
    <rPh sb="4" eb="6">
      <t>ホセイ</t>
    </rPh>
    <rPh sb="6" eb="8">
      <t>ケイスウ</t>
    </rPh>
    <rPh sb="10" eb="11">
      <t>セ</t>
    </rPh>
    <rPh sb="11" eb="12">
      <t>ヨウ</t>
    </rPh>
    <rPh sb="12" eb="14">
      <t>ホウホウ</t>
    </rPh>
    <rPh sb="17" eb="18">
      <t>ツギ</t>
    </rPh>
    <rPh sb="25" eb="27">
      <t>ニュウリョク</t>
    </rPh>
    <phoneticPr fontId="4"/>
  </si>
  <si>
    <t>地上防除（湛水散布＝１、茎葉散布＝0.5、箱処理＝0.2）</t>
    <rPh sb="5" eb="7">
      <t>タンスイ</t>
    </rPh>
    <rPh sb="7" eb="9">
      <t>サンプ</t>
    </rPh>
    <rPh sb="12" eb="14">
      <t>ケイヨウ</t>
    </rPh>
    <rPh sb="14" eb="16">
      <t>サンプ</t>
    </rPh>
    <rPh sb="21" eb="22">
      <t>ハコ</t>
    </rPh>
    <rPh sb="22" eb="24">
      <t>ショリ</t>
    </rPh>
    <phoneticPr fontId="4"/>
  </si>
  <si>
    <t>航空防除（茎葉散布＝0.3、それ以外＝1）</t>
    <rPh sb="7" eb="9">
      <t>サンプ</t>
    </rPh>
    <phoneticPr fontId="4"/>
  </si>
  <si>
    <t>-</t>
  </si>
  <si>
    <t>(-)</t>
    <phoneticPr fontId="4"/>
  </si>
  <si>
    <t>水質汚濁性試験の作物栽培条件で登録申請に係る方法で施用した場合には、補正係数は適用しないので「-」と記載すること</t>
    <rPh sb="50" eb="52">
      <t>キサイ</t>
    </rPh>
    <phoneticPr fontId="4"/>
  </si>
  <si>
    <t>推定残留濃度</t>
    <phoneticPr fontId="5"/>
  </si>
  <si>
    <t>初期評価における田面水への有効成分散布量の合計</t>
    <rPh sb="0" eb="2">
      <t>ショキ</t>
    </rPh>
    <rPh sb="2" eb="4">
      <t>ヒョウカ</t>
    </rPh>
    <rPh sb="17" eb="19">
      <t>サンプ</t>
    </rPh>
    <rPh sb="21" eb="23">
      <t>ゴウケイ</t>
    </rPh>
    <phoneticPr fontId="4"/>
  </si>
  <si>
    <t>経過日数</t>
    <rPh sb="0" eb="2">
      <t>ケイカ</t>
    </rPh>
    <rPh sb="2" eb="4">
      <t>ニッスウ</t>
    </rPh>
    <phoneticPr fontId="4"/>
  </si>
  <si>
    <t>１回目散布分</t>
    <rPh sb="1" eb="2">
      <t>カイ</t>
    </rPh>
    <rPh sb="2" eb="3">
      <t>メ</t>
    </rPh>
    <rPh sb="3" eb="5">
      <t>サンプ</t>
    </rPh>
    <rPh sb="5" eb="6">
      <t>ブン</t>
    </rPh>
    <phoneticPr fontId="4"/>
  </si>
  <si>
    <t>２回目散布分</t>
    <rPh sb="1" eb="2">
      <t>カイ</t>
    </rPh>
    <rPh sb="2" eb="3">
      <t>メ</t>
    </rPh>
    <rPh sb="3" eb="5">
      <t>サンプ</t>
    </rPh>
    <rPh sb="5" eb="6">
      <t>ブン</t>
    </rPh>
    <phoneticPr fontId="4"/>
  </si>
  <si>
    <t>３回目散布分</t>
    <rPh sb="1" eb="2">
      <t>カイ</t>
    </rPh>
    <rPh sb="2" eb="3">
      <t>メ</t>
    </rPh>
    <rPh sb="3" eb="5">
      <t>サンプ</t>
    </rPh>
    <rPh sb="5" eb="6">
      <t>ブン</t>
    </rPh>
    <phoneticPr fontId="4"/>
  </si>
  <si>
    <t>有効成分散布量（kg a.i./ha）（合計）</t>
    <rPh sb="0" eb="2">
      <t>ユウコウ</t>
    </rPh>
    <rPh sb="2" eb="4">
      <t>セイブン</t>
    </rPh>
    <rPh sb="4" eb="6">
      <t>サンプ</t>
    </rPh>
    <rPh sb="6" eb="7">
      <t>リョウ</t>
    </rPh>
    <rPh sb="20" eb="22">
      <t>ゴウケイ</t>
    </rPh>
    <phoneticPr fontId="4"/>
  </si>
  <si>
    <t>田面水濃度</t>
    <rPh sb="0" eb="1">
      <t>デン</t>
    </rPh>
    <rPh sb="1" eb="2">
      <t>メン</t>
    </rPh>
    <rPh sb="2" eb="3">
      <t>スイ</t>
    </rPh>
    <rPh sb="3" eb="5">
      <t>ノウド</t>
    </rPh>
    <phoneticPr fontId="4"/>
  </si>
  <si>
    <t>水質汚濁性試験結果①</t>
    <rPh sb="0" eb="2">
      <t>スイシツ</t>
    </rPh>
    <rPh sb="2" eb="5">
      <t>オダクセイ</t>
    </rPh>
    <rPh sb="5" eb="7">
      <t>シケン</t>
    </rPh>
    <rPh sb="7" eb="9">
      <t>ケッカ</t>
    </rPh>
    <phoneticPr fontId="4"/>
  </si>
  <si>
    <t>水質汚濁性試験結果②</t>
    <rPh sb="0" eb="2">
      <t>スイシツ</t>
    </rPh>
    <rPh sb="2" eb="5">
      <t>オダクセイ</t>
    </rPh>
    <rPh sb="5" eb="7">
      <t>シケン</t>
    </rPh>
    <rPh sb="7" eb="9">
      <t>ケッカ</t>
    </rPh>
    <phoneticPr fontId="4"/>
  </si>
  <si>
    <t>水質汚濁性試験結果の入力
（注）</t>
    <rPh sb="10" eb="12">
      <t>ニュウリョク</t>
    </rPh>
    <rPh sb="14" eb="15">
      <t>チュウ</t>
    </rPh>
    <phoneticPr fontId="4"/>
  </si>
  <si>
    <t>測定日（経過日数）</t>
    <rPh sb="0" eb="2">
      <t>ソクテイ</t>
    </rPh>
    <rPh sb="2" eb="3">
      <t>ビ</t>
    </rPh>
    <rPh sb="4" eb="6">
      <t>ケイカ</t>
    </rPh>
    <rPh sb="6" eb="8">
      <t>ニッスウ</t>
    </rPh>
    <phoneticPr fontId="4"/>
  </si>
  <si>
    <t>水質汚濁性試験結果(mg/l)測定値</t>
    <rPh sb="0" eb="2">
      <t>スイシツ</t>
    </rPh>
    <rPh sb="2" eb="4">
      <t>オダク</t>
    </rPh>
    <rPh sb="4" eb="5">
      <t>セイ</t>
    </rPh>
    <rPh sb="5" eb="7">
      <t>シケン</t>
    </rPh>
    <rPh sb="7" eb="9">
      <t>ケッカ</t>
    </rPh>
    <rPh sb="15" eb="18">
      <t>ソクテイチ</t>
    </rPh>
    <phoneticPr fontId="4"/>
  </si>
  <si>
    <t>ln(C/C0)</t>
    <phoneticPr fontId="4"/>
  </si>
  <si>
    <t>止水期間</t>
    <rPh sb="0" eb="4">
      <t>シスイキカン</t>
    </rPh>
    <phoneticPr fontId="4"/>
  </si>
  <si>
    <t>day</t>
    <phoneticPr fontId="4"/>
  </si>
  <si>
    <t>使用方法に基づく止水期間がない場合は０を記入</t>
    <rPh sb="0" eb="4">
      <t>シヨウホウホウ</t>
    </rPh>
    <rPh sb="5" eb="6">
      <t>モト</t>
    </rPh>
    <rPh sb="8" eb="12">
      <t>シスイキカン</t>
    </rPh>
    <rPh sb="15" eb="17">
      <t>バアイ</t>
    </rPh>
    <rPh sb="20" eb="22">
      <t>キニュウ</t>
    </rPh>
    <phoneticPr fontId="4"/>
  </si>
  <si>
    <t>散布回数</t>
    <rPh sb="0" eb="2">
      <t>サンプ</t>
    </rPh>
    <rPh sb="2" eb="4">
      <t>カイスウ</t>
    </rPh>
    <phoneticPr fontId="4"/>
  </si>
  <si>
    <t>回</t>
    <rPh sb="0" eb="1">
      <t>カイ</t>
    </rPh>
    <phoneticPr fontId="4"/>
  </si>
  <si>
    <t>（止水期間＋散布間隔）</t>
    <rPh sb="1" eb="3">
      <t>シスイ</t>
    </rPh>
    <rPh sb="3" eb="5">
      <t>キカン</t>
    </rPh>
    <rPh sb="6" eb="8">
      <t>サンプ</t>
    </rPh>
    <rPh sb="8" eb="10">
      <t>カンカク</t>
    </rPh>
    <phoneticPr fontId="4"/>
  </si>
  <si>
    <t>（散布間隔×２）</t>
    <rPh sb="1" eb="3">
      <t>サンプ</t>
    </rPh>
    <rPh sb="3" eb="5">
      <t>カンカク</t>
    </rPh>
    <phoneticPr fontId="4"/>
  </si>
  <si>
    <t>（注）水質汚濁性試験での分析値は、０，１，３，７，１４日後の値は必ず入力する。その他の日について、測定している場合には、入力する。分析値がある場合にはその値が用いられ、欠測日のみ補間値が計算される。</t>
    <phoneticPr fontId="4"/>
  </si>
  <si>
    <t>（止水期間＋散布間隔×２）</t>
    <rPh sb="1" eb="3">
      <t>シスイ</t>
    </rPh>
    <rPh sb="3" eb="5">
      <t>キカン</t>
    </rPh>
    <rPh sb="6" eb="8">
      <t>サンプ</t>
    </rPh>
    <rPh sb="8" eb="10">
      <t>カンカク</t>
    </rPh>
    <phoneticPr fontId="4"/>
  </si>
  <si>
    <t>水質汚濁性試験結果から算出した半減期</t>
    <rPh sb="0" eb="5">
      <t>スイシツオダクセイ</t>
    </rPh>
    <rPh sb="5" eb="7">
      <t>シケン</t>
    </rPh>
    <rPh sb="7" eb="9">
      <t>ケッカ</t>
    </rPh>
    <rPh sb="11" eb="13">
      <t>サンシュツ</t>
    </rPh>
    <phoneticPr fontId="4"/>
  </si>
  <si>
    <t>止水の有無</t>
    <rPh sb="0" eb="2">
      <t>シスイ</t>
    </rPh>
    <rPh sb="3" eb="5">
      <t>ウム</t>
    </rPh>
    <phoneticPr fontId="4"/>
  </si>
  <si>
    <t>Ci(mg/l)
水質汚濁性試験でのi日の水中農薬濃度</t>
    <rPh sb="9" eb="11">
      <t>スイシツ</t>
    </rPh>
    <rPh sb="11" eb="14">
      <t>オダクセイ</t>
    </rPh>
    <rPh sb="14" eb="16">
      <t>シケン</t>
    </rPh>
    <rPh sb="19" eb="20">
      <t>ニチ</t>
    </rPh>
    <rPh sb="21" eb="23">
      <t>スイチュウ</t>
    </rPh>
    <rPh sb="23" eb="25">
      <t>ノウヤク</t>
    </rPh>
    <rPh sb="25" eb="27">
      <t>ノウド</t>
    </rPh>
    <phoneticPr fontId="4"/>
  </si>
  <si>
    <t>水中農薬濃度（合計）</t>
    <rPh sb="0" eb="2">
      <t>スイチュウ</t>
    </rPh>
    <rPh sb="2" eb="4">
      <t>ノウヤク</t>
    </rPh>
    <rPh sb="4" eb="6">
      <t>ノウド</t>
    </rPh>
    <rPh sb="7" eb="9">
      <t>ゴウケイ</t>
    </rPh>
    <phoneticPr fontId="4"/>
  </si>
  <si>
    <t>測定値から各日の補正値算出用データ</t>
    <rPh sb="0" eb="3">
      <t>ソクテイチ</t>
    </rPh>
    <rPh sb="5" eb="7">
      <t>カクジツ</t>
    </rPh>
    <rPh sb="8" eb="11">
      <t>ホセイチ</t>
    </rPh>
    <rPh sb="11" eb="13">
      <t>サンシュツ</t>
    </rPh>
    <rPh sb="13" eb="14">
      <t>ヨウ</t>
    </rPh>
    <phoneticPr fontId="4"/>
  </si>
  <si>
    <t>測定値</t>
    <rPh sb="0" eb="3">
      <t>ソクテイチ</t>
    </rPh>
    <phoneticPr fontId="4"/>
  </si>
  <si>
    <t>補間値</t>
    <rPh sb="0" eb="3">
      <t>ホカンチ</t>
    </rPh>
    <phoneticPr fontId="4"/>
  </si>
  <si>
    <t>列番号</t>
    <rPh sb="0" eb="3">
      <t>レツバンゴウ</t>
    </rPh>
    <phoneticPr fontId="4"/>
  </si>
  <si>
    <t>min</t>
    <phoneticPr fontId="4"/>
  </si>
  <si>
    <t>max</t>
    <phoneticPr fontId="4"/>
  </si>
  <si>
    <t>1日当たりの変動量</t>
    <rPh sb="1" eb="2">
      <t>ニチ</t>
    </rPh>
    <rPh sb="2" eb="3">
      <t>ア</t>
    </rPh>
    <rPh sb="6" eb="9">
      <t>ヘンドウリョウ</t>
    </rPh>
    <phoneticPr fontId="4"/>
  </si>
  <si>
    <t>end：データが無い場合</t>
    <rPh sb="8" eb="9">
      <t>ナ</t>
    </rPh>
    <rPh sb="10" eb="12">
      <t>バアイ</t>
    </rPh>
    <phoneticPr fontId="4"/>
  </si>
  <si>
    <t>水質汚濁性試験結果の入力
（注）</t>
    <rPh sb="10" eb="12">
      <t>ニュウリョク</t>
    </rPh>
    <phoneticPr fontId="4"/>
  </si>
  <si>
    <t>鳥類予測ばく露量算定シート（魚類シナリオ）</t>
    <rPh sb="0" eb="2">
      <t>チョウルイ</t>
    </rPh>
    <rPh sb="2" eb="4">
      <t>ヨソク</t>
    </rPh>
    <rPh sb="6" eb="7">
      <t>ロ</t>
    </rPh>
    <rPh sb="7" eb="8">
      <t>リョウ</t>
    </rPh>
    <rPh sb="8" eb="10">
      <t>サンテイ</t>
    </rPh>
    <rPh sb="14" eb="16">
      <t>ギョルイ</t>
    </rPh>
    <phoneticPr fontId="4"/>
  </si>
  <si>
    <t>田面水中の残留濃度</t>
    <rPh sb="0" eb="4">
      <t>デンメンスイチュウ</t>
    </rPh>
    <rPh sb="5" eb="9">
      <t>ザンリュウノウド</t>
    </rPh>
    <phoneticPr fontId="5"/>
  </si>
  <si>
    <t>長期水域PEC(Tier1)</t>
    <rPh sb="0" eb="4">
      <t>チョウキスイイキ</t>
    </rPh>
    <phoneticPr fontId="5"/>
  </si>
  <si>
    <t>(mg-a.i./L)</t>
    <phoneticPr fontId="5"/>
  </si>
  <si>
    <t>(μg-a.i./L)</t>
    <phoneticPr fontId="5"/>
  </si>
  <si>
    <t>（田面水由来）魚体中残留農薬濃度</t>
    <rPh sb="7" eb="10">
      <t>ギョタイチュウ</t>
    </rPh>
    <rPh sb="10" eb="16">
      <t>ザンリュウノウヤクノウド</t>
    </rPh>
    <phoneticPr fontId="5"/>
  </si>
  <si>
    <t>（河川水由来）魚体中残留農薬濃度</t>
    <rPh sb="7" eb="8">
      <t>ギョ</t>
    </rPh>
    <rPh sb="8" eb="9">
      <t>タイ</t>
    </rPh>
    <rPh sb="9" eb="10">
      <t>チュウ</t>
    </rPh>
    <rPh sb="10" eb="12">
      <t>ザンリュウ</t>
    </rPh>
    <rPh sb="12" eb="16">
      <t>ノウヤクノウド</t>
    </rPh>
    <phoneticPr fontId="3"/>
  </si>
  <si>
    <t>予測ばく露量（田面水由来）</t>
    <rPh sb="0" eb="2">
      <t>ヨソク</t>
    </rPh>
    <rPh sb="4" eb="6">
      <t>ロリョウ</t>
    </rPh>
    <phoneticPr fontId="5"/>
  </si>
  <si>
    <t>予測ばく露量（河川水由来）</t>
    <rPh sb="0" eb="2">
      <t>ヨソク</t>
    </rPh>
    <rPh sb="4" eb="6">
      <t>ロリョウ</t>
    </rPh>
    <phoneticPr fontId="5"/>
  </si>
  <si>
    <t>田面水中の推定残留濃度</t>
    <rPh sb="0" eb="4">
      <t>デンメンスイチュウ</t>
    </rPh>
    <rPh sb="5" eb="11">
      <t>スイテイザンリュウノウド</t>
    </rPh>
    <phoneticPr fontId="5"/>
  </si>
  <si>
    <t>長期水域PEC(Tier2又はTier3)</t>
    <rPh sb="0" eb="4">
      <t>チョウキスイイキ</t>
    </rPh>
    <rPh sb="13" eb="14">
      <t>マタ</t>
    </rPh>
    <phoneticPr fontId="5"/>
  </si>
  <si>
    <t>鳥類予測ばく露量算定シート（土壌無脊椎動物シナリオ）</t>
    <rPh sb="0" eb="2">
      <t>チョウルイ</t>
    </rPh>
    <rPh sb="2" eb="4">
      <t>ヨソク</t>
    </rPh>
    <rPh sb="6" eb="7">
      <t>ロ</t>
    </rPh>
    <rPh sb="7" eb="8">
      <t>リョウ</t>
    </rPh>
    <rPh sb="8" eb="10">
      <t>サンテイ</t>
    </rPh>
    <rPh sb="14" eb="21">
      <t>ドジョウムセキツイドウブツ</t>
    </rPh>
    <phoneticPr fontId="4"/>
  </si>
  <si>
    <t>KOC</t>
    <phoneticPr fontId="3"/>
  </si>
  <si>
    <t>【乾燥土アプローチ】</t>
    <rPh sb="1" eb="4">
      <t>カンソウド</t>
    </rPh>
    <phoneticPr fontId="3"/>
  </si>
  <si>
    <t>【間隙水アプローチ】</t>
    <rPh sb="1" eb="4">
      <t>カンゲキスイ</t>
    </rPh>
    <phoneticPr fontId="3"/>
  </si>
  <si>
    <t>乾燥土壌中の残留農薬濃度</t>
    <rPh sb="0" eb="4">
      <t>カンソウドジョウ</t>
    </rPh>
    <rPh sb="4" eb="5">
      <t>チュウ</t>
    </rPh>
    <rPh sb="6" eb="12">
      <t>ザンリュウノウヤクノウド</t>
    </rPh>
    <phoneticPr fontId="3"/>
  </si>
  <si>
    <t>(mg-a.i./kg-dry)</t>
    <phoneticPr fontId="5"/>
  </si>
  <si>
    <t>土壌中の残留農薬濃度</t>
    <rPh sb="0" eb="2">
      <t>ドジョウ</t>
    </rPh>
    <rPh sb="2" eb="3">
      <t>チュウ</t>
    </rPh>
    <rPh sb="4" eb="10">
      <t>ザンリュウノウヤクノウド</t>
    </rPh>
    <phoneticPr fontId="3"/>
  </si>
  <si>
    <t>(mg-a.i./kg-wet)</t>
    <phoneticPr fontId="5"/>
  </si>
  <si>
    <t>Koc</t>
    <phoneticPr fontId="3"/>
  </si>
  <si>
    <t>間隙水の残留農薬濃度</t>
    <rPh sb="0" eb="3">
      <t>カンゲキスイ</t>
    </rPh>
    <rPh sb="4" eb="10">
      <t>ザンリュウノウヤクノウド</t>
    </rPh>
    <phoneticPr fontId="3"/>
  </si>
  <si>
    <t>(kg‐dry/kg‐diet)</t>
    <phoneticPr fontId="3"/>
  </si>
  <si>
    <t>土壌無脊椎動物中残留農薬濃度</t>
    <rPh sb="0" eb="8">
      <t>ドジョウムセキツイドウブツチュウ</t>
    </rPh>
    <rPh sb="8" eb="14">
      <t>ザンリュウノウヤクノウド</t>
    </rPh>
    <phoneticPr fontId="5"/>
  </si>
  <si>
    <t>予測ばく露量が大きくなるアプローチの算定方法を反映</t>
    <rPh sb="0" eb="2">
      <t>ヨソク</t>
    </rPh>
    <rPh sb="4" eb="7">
      <t>ロ</t>
    </rPh>
    <rPh sb="7" eb="8">
      <t>オオ</t>
    </rPh>
    <rPh sb="18" eb="22">
      <t>サンテイホウホウ</t>
    </rPh>
    <rPh sb="23" eb="25">
      <t>ハンエイ</t>
    </rPh>
    <phoneticPr fontId="3"/>
  </si>
  <si>
    <t>土壌残留試験における半減期</t>
    <rPh sb="0" eb="6">
      <t>ドジョウザンリュウシケン</t>
    </rPh>
    <rPh sb="10" eb="13">
      <t>ハンゲンキ</t>
    </rPh>
    <phoneticPr fontId="5"/>
  </si>
  <si>
    <t>鳥類予測ばく露量算定シート（鳥類等シナリオ）</t>
    <rPh sb="0" eb="2">
      <t>チョウルイ</t>
    </rPh>
    <rPh sb="2" eb="4">
      <t>ヨソク</t>
    </rPh>
    <rPh sb="6" eb="7">
      <t>ロ</t>
    </rPh>
    <rPh sb="7" eb="8">
      <t>リョウ</t>
    </rPh>
    <rPh sb="8" eb="10">
      <t>サンテイ</t>
    </rPh>
    <rPh sb="14" eb="17">
      <t>チョウルイトウ</t>
    </rPh>
    <phoneticPr fontId="4"/>
  </si>
  <si>
    <t>投与後経過日数</t>
    <rPh sb="0" eb="3">
      <t>トウヨゴ</t>
    </rPh>
    <rPh sb="3" eb="5">
      <t>ケイカ</t>
    </rPh>
    <rPh sb="5" eb="7">
      <t>ニッスウ</t>
    </rPh>
    <phoneticPr fontId="3"/>
  </si>
  <si>
    <t>体内中残留農薬濃度</t>
  </si>
  <si>
    <t>day</t>
    <phoneticPr fontId="3"/>
  </si>
  <si>
    <t>C</t>
    <phoneticPr fontId="4"/>
  </si>
  <si>
    <t>ln(C)</t>
    <phoneticPr fontId="4"/>
  </si>
  <si>
    <t>のセルは固定値</t>
    <rPh sb="4" eb="7">
      <t>コテイチ</t>
    </rPh>
    <phoneticPr fontId="3"/>
  </si>
  <si>
    <t>２．初期評価におけるBMF</t>
    <rPh sb="2" eb="4">
      <t>ショキ</t>
    </rPh>
    <rPh sb="4" eb="6">
      <t>ヒョウカ</t>
    </rPh>
    <phoneticPr fontId="5"/>
  </si>
  <si>
    <t>摂餌量に対する吸収量の割合</t>
    <rPh sb="0" eb="3">
      <t>セツジリョウ</t>
    </rPh>
    <rPh sb="4" eb="5">
      <t>タイ</t>
    </rPh>
    <rPh sb="7" eb="10">
      <t>キュウシュウリョウ</t>
    </rPh>
    <rPh sb="11" eb="13">
      <t>ワリアイ</t>
    </rPh>
    <phoneticPr fontId="5"/>
  </si>
  <si>
    <t>代謝・排泄速度係数</t>
    <rPh sb="0" eb="2">
      <t>タイシャ</t>
    </rPh>
    <rPh sb="3" eb="9">
      <t>ハイセツソクドケイスウ</t>
    </rPh>
    <phoneticPr fontId="5"/>
  </si>
  <si>
    <t>＊右記の投与後経過日数と体内中残留農薬濃度の入力により自動計算</t>
    <rPh sb="1" eb="3">
      <t>ウキ</t>
    </rPh>
    <rPh sb="4" eb="11">
      <t>トウヨゴケイカニッスウ</t>
    </rPh>
    <rPh sb="12" eb="21">
      <t>タイナイチュウザンリュウノウヤクノウド</t>
    </rPh>
    <rPh sb="22" eb="24">
      <t>ニュウリョク</t>
    </rPh>
    <rPh sb="27" eb="31">
      <t>ジドウケイサン</t>
    </rPh>
    <phoneticPr fontId="3"/>
  </si>
  <si>
    <t>BMF（肉食）</t>
    <rPh sb="4" eb="6">
      <t>ニクショク</t>
    </rPh>
    <phoneticPr fontId="5"/>
  </si>
  <si>
    <t>BMF（水稲食）</t>
    <rPh sb="4" eb="6">
      <t>スイトウ</t>
    </rPh>
    <rPh sb="6" eb="7">
      <t>ショク</t>
    </rPh>
    <phoneticPr fontId="5"/>
  </si>
  <si>
    <t>BMF（果実食）</t>
    <rPh sb="4" eb="6">
      <t>カジツ</t>
    </rPh>
    <rPh sb="6" eb="7">
      <t>ショク</t>
    </rPh>
    <phoneticPr fontId="5"/>
  </si>
  <si>
    <t>BMF（種子食：直播水稲）</t>
    <rPh sb="4" eb="7">
      <t>シュシショク</t>
    </rPh>
    <phoneticPr fontId="5"/>
  </si>
  <si>
    <t>BMF（種子食：豆類等）</t>
    <rPh sb="4" eb="7">
      <t>シュシショク</t>
    </rPh>
    <phoneticPr fontId="5"/>
  </si>
  <si>
    <t>BMF（昆虫食：水田）</t>
    <rPh sb="4" eb="7">
      <t>コンチュウショク</t>
    </rPh>
    <rPh sb="8" eb="10">
      <t>スイデン</t>
    </rPh>
    <phoneticPr fontId="5"/>
  </si>
  <si>
    <t>BMF（昆虫食：非水田）</t>
    <rPh sb="4" eb="7">
      <t>コンチュウショク</t>
    </rPh>
    <rPh sb="8" eb="11">
      <t>ヒスイデン</t>
    </rPh>
    <phoneticPr fontId="5"/>
  </si>
  <si>
    <t>BMF（土壌無脊椎動物食：水田）</t>
    <rPh sb="4" eb="12">
      <t>ドジョウムセキツイドウブツショク</t>
    </rPh>
    <rPh sb="13" eb="15">
      <t>スイデン</t>
    </rPh>
    <phoneticPr fontId="5"/>
  </si>
  <si>
    <t>BMF（土壌無脊椎動物食：非水田）</t>
    <rPh sb="4" eb="12">
      <t>ドジョウムセキツイドウブツショク</t>
    </rPh>
    <rPh sb="13" eb="16">
      <t>ヒスイデン</t>
    </rPh>
    <phoneticPr fontId="5"/>
  </si>
  <si>
    <t>魚食性鳥類</t>
    <rPh sb="0" eb="5">
      <t>ギョショクセイチョウルイ</t>
    </rPh>
    <phoneticPr fontId="5"/>
  </si>
  <si>
    <t>BMF（魚食）</t>
    <rPh sb="4" eb="6">
      <t>ギョショク</t>
    </rPh>
    <phoneticPr fontId="5"/>
  </si>
  <si>
    <t>残留農薬濃度（水稲）</t>
    <rPh sb="0" eb="6">
      <t>ザンリュウノウヤクノウド</t>
    </rPh>
    <rPh sb="7" eb="9">
      <t>スイトウ</t>
    </rPh>
    <phoneticPr fontId="5"/>
  </si>
  <si>
    <t>残留農薬濃度（果実）</t>
    <rPh sb="0" eb="6">
      <t>ザンリュウノウヤクノウド</t>
    </rPh>
    <rPh sb="7" eb="9">
      <t>カジツ</t>
    </rPh>
    <phoneticPr fontId="5"/>
  </si>
  <si>
    <t>残留農薬濃度（種子：直播水稲）</t>
    <rPh sb="0" eb="6">
      <t>ザンリュウノウヤクノウド</t>
    </rPh>
    <rPh sb="7" eb="9">
      <t>シュシ</t>
    </rPh>
    <phoneticPr fontId="5"/>
  </si>
  <si>
    <t>残留農薬濃度（種子：豆類等）</t>
    <rPh sb="0" eb="6">
      <t>ザンリュウノウヤクノウド</t>
    </rPh>
    <rPh sb="7" eb="9">
      <t>シュシ</t>
    </rPh>
    <rPh sb="10" eb="13">
      <t>マメルイトウ</t>
    </rPh>
    <phoneticPr fontId="5"/>
  </si>
  <si>
    <t>残留農薬濃度（昆虫：水田）</t>
    <rPh sb="0" eb="6">
      <t>ザンリュウノウヤクノウド</t>
    </rPh>
    <rPh sb="7" eb="9">
      <t>コンチュウ</t>
    </rPh>
    <rPh sb="10" eb="12">
      <t>スイデン</t>
    </rPh>
    <phoneticPr fontId="5"/>
  </si>
  <si>
    <t>残留農薬濃度（昆虫：非水田）</t>
    <rPh sb="0" eb="6">
      <t>ザンリュウノウヤクノウド</t>
    </rPh>
    <rPh sb="7" eb="9">
      <t>コンチュウ</t>
    </rPh>
    <rPh sb="10" eb="13">
      <t>ヒスイデン</t>
    </rPh>
    <phoneticPr fontId="5"/>
  </si>
  <si>
    <t>残留農薬濃度（土壌無脊椎動物：水田）</t>
    <rPh sb="0" eb="6">
      <t>ザンリュウノウヤクノウド</t>
    </rPh>
    <rPh sb="7" eb="14">
      <t>ドジョウムセキツイドウブツ</t>
    </rPh>
    <rPh sb="15" eb="17">
      <t>スイデン</t>
    </rPh>
    <phoneticPr fontId="5"/>
  </si>
  <si>
    <t>残留農薬濃度（土壌無脊椎動物：非水田）</t>
    <rPh sb="0" eb="6">
      <t>ザンリュウノウヤクノウド</t>
    </rPh>
    <rPh sb="7" eb="14">
      <t>ドジョウムセキツイドウブツ</t>
    </rPh>
    <rPh sb="15" eb="16">
      <t>ヒ</t>
    </rPh>
    <rPh sb="16" eb="18">
      <t>スイデン</t>
    </rPh>
    <phoneticPr fontId="5"/>
  </si>
  <si>
    <t>残留農薬濃度（魚類：田面水）</t>
    <rPh sb="0" eb="6">
      <t>ザンリュウノウヤクノウド</t>
    </rPh>
    <rPh sb="7" eb="9">
      <t>ギョルイ</t>
    </rPh>
    <rPh sb="10" eb="13">
      <t>デンメンスイ</t>
    </rPh>
    <phoneticPr fontId="5"/>
  </si>
  <si>
    <t>残留農薬濃度（魚類：河川水）</t>
    <rPh sb="0" eb="6">
      <t>ザンリュウノウヤクノウド</t>
    </rPh>
    <rPh sb="7" eb="9">
      <t>ギョルイ</t>
    </rPh>
    <rPh sb="10" eb="13">
      <t>カセンスイ</t>
    </rPh>
    <phoneticPr fontId="5"/>
  </si>
  <si>
    <t>ばく露された餌の割合（水稲）</t>
    <rPh sb="11" eb="13">
      <t>スイトウ</t>
    </rPh>
    <phoneticPr fontId="5"/>
  </si>
  <si>
    <t>ばく露された餌の割合（果実）</t>
    <rPh sb="11" eb="13">
      <t>カジツ</t>
    </rPh>
    <phoneticPr fontId="5"/>
  </si>
  <si>
    <t>ばく露された餌の割合（種子：直播水稲）</t>
    <rPh sb="11" eb="13">
      <t>シュシ</t>
    </rPh>
    <phoneticPr fontId="5"/>
  </si>
  <si>
    <t>ばく露された餌の割合（種子：豆類等）</t>
    <rPh sb="11" eb="13">
      <t>シュシ</t>
    </rPh>
    <rPh sb="14" eb="17">
      <t>マメルイトウ</t>
    </rPh>
    <phoneticPr fontId="5"/>
  </si>
  <si>
    <t>ばく露された餌の割合（昆虫：水田）</t>
    <rPh sb="11" eb="13">
      <t>コンチュウ</t>
    </rPh>
    <rPh sb="14" eb="16">
      <t>スイデン</t>
    </rPh>
    <phoneticPr fontId="5"/>
  </si>
  <si>
    <t>PD（土壌無脊椎動物）</t>
    <rPh sb="3" eb="5">
      <t>ドジョウ</t>
    </rPh>
    <rPh sb="5" eb="6">
      <t>ム</t>
    </rPh>
    <rPh sb="6" eb="8">
      <t>セキツイ</t>
    </rPh>
    <rPh sb="8" eb="10">
      <t>ドウブツ</t>
    </rPh>
    <phoneticPr fontId="5"/>
  </si>
  <si>
    <t>ばく露された餌の割合（昆虫：非水田）</t>
    <rPh sb="11" eb="13">
      <t>コンチュウ</t>
    </rPh>
    <rPh sb="14" eb="15">
      <t>ヒ</t>
    </rPh>
    <rPh sb="15" eb="17">
      <t>スイデン</t>
    </rPh>
    <phoneticPr fontId="5"/>
  </si>
  <si>
    <t>ばく露された餌の割合（土壌無脊椎動物：水田）</t>
    <rPh sb="11" eb="13">
      <t>ドジョウ</t>
    </rPh>
    <rPh sb="13" eb="14">
      <t>ム</t>
    </rPh>
    <rPh sb="14" eb="16">
      <t>セキツイ</t>
    </rPh>
    <rPh sb="16" eb="18">
      <t>ドウブツ</t>
    </rPh>
    <rPh sb="19" eb="21">
      <t>スイデン</t>
    </rPh>
    <phoneticPr fontId="5"/>
  </si>
  <si>
    <t>ばく露された餌の割合（土壌無脊椎動物：非水田）</t>
    <rPh sb="11" eb="13">
      <t>ドジョウ</t>
    </rPh>
    <rPh sb="13" eb="14">
      <t>ム</t>
    </rPh>
    <rPh sb="14" eb="16">
      <t>セキツイ</t>
    </rPh>
    <rPh sb="16" eb="18">
      <t>ドウブツ</t>
    </rPh>
    <rPh sb="19" eb="20">
      <t>ヒ</t>
    </rPh>
    <rPh sb="20" eb="22">
      <t>スイデン</t>
    </rPh>
    <phoneticPr fontId="5"/>
  </si>
  <si>
    <t>PD（魚類：田面水）</t>
    <rPh sb="3" eb="5">
      <t>ギョルイ</t>
    </rPh>
    <rPh sb="6" eb="9">
      <t>デンメンスイ</t>
    </rPh>
    <phoneticPr fontId="5"/>
  </si>
  <si>
    <t>ばく露された餌の割合（魚類：田面水）</t>
    <rPh sb="11" eb="13">
      <t>ギョルイ</t>
    </rPh>
    <rPh sb="14" eb="17">
      <t>デンメンスイ</t>
    </rPh>
    <phoneticPr fontId="5"/>
  </si>
  <si>
    <t>PD（魚類：河川水）</t>
    <rPh sb="3" eb="5">
      <t>ギョルイ</t>
    </rPh>
    <rPh sb="6" eb="9">
      <t>カセンスイ</t>
    </rPh>
    <phoneticPr fontId="5"/>
  </si>
  <si>
    <t>ばく露された餌の割合（魚類：河川水）</t>
    <rPh sb="11" eb="13">
      <t>ギョルイ</t>
    </rPh>
    <rPh sb="14" eb="17">
      <t>カセンスイ</t>
    </rPh>
    <phoneticPr fontId="5"/>
  </si>
  <si>
    <t>100%田面水の魚類を摂餌又は100%河川水の魚類を摂餌を仮定して、予測ばく露量が大きくなるケースを反映する</t>
    <rPh sb="4" eb="7">
      <t>デンメンスイ</t>
    </rPh>
    <rPh sb="8" eb="10">
      <t>ギョルイ</t>
    </rPh>
    <rPh sb="11" eb="13">
      <t>セツジ</t>
    </rPh>
    <rPh sb="13" eb="14">
      <t>マタ</t>
    </rPh>
    <rPh sb="19" eb="22">
      <t>カセンスイ</t>
    </rPh>
    <rPh sb="23" eb="25">
      <t>ギョルイ</t>
    </rPh>
    <rPh sb="26" eb="28">
      <t>セツジ</t>
    </rPh>
    <rPh sb="29" eb="31">
      <t>カテイ</t>
    </rPh>
    <rPh sb="34" eb="36">
      <t>ヨソク</t>
    </rPh>
    <rPh sb="38" eb="40">
      <t>ロリョウ</t>
    </rPh>
    <rPh sb="41" eb="42">
      <t>オオ</t>
    </rPh>
    <rPh sb="50" eb="52">
      <t>ハンエイ</t>
    </rPh>
    <phoneticPr fontId="3"/>
  </si>
  <si>
    <t>小型鳥類体内農薬濃度</t>
    <rPh sb="0" eb="2">
      <t>コガタ</t>
    </rPh>
    <rPh sb="2" eb="4">
      <t>チョウルイ</t>
    </rPh>
    <rPh sb="4" eb="10">
      <t>タイナイノウヤクノウド</t>
    </rPh>
    <phoneticPr fontId="5"/>
  </si>
  <si>
    <t>魚食性鳥類体内農薬濃度</t>
    <rPh sb="0" eb="3">
      <t>ギョショクセイ</t>
    </rPh>
    <rPh sb="3" eb="5">
      <t>チョウルイ</t>
    </rPh>
    <rPh sb="5" eb="11">
      <t>タイナイノウヤクノウド</t>
    </rPh>
    <phoneticPr fontId="5"/>
  </si>
  <si>
    <t>予測ばく露量算定</t>
    <rPh sb="0" eb="2">
      <t>ヨソク</t>
    </rPh>
    <rPh sb="4" eb="8">
      <t>ロリョウサンテイ</t>
    </rPh>
    <phoneticPr fontId="5"/>
  </si>
  <si>
    <t>100%小型鳥類を摂餌又は100%魚食性鳥類を摂餌を仮定して、予測ばく露量が大きくなるケースを反映</t>
    <rPh sb="4" eb="8">
      <t>コガタチョウルイ</t>
    </rPh>
    <rPh sb="9" eb="11">
      <t>セツジ</t>
    </rPh>
    <rPh sb="11" eb="12">
      <t>マタ</t>
    </rPh>
    <rPh sb="17" eb="23">
      <t>ギョショク</t>
    </rPh>
    <rPh sb="23" eb="25">
      <t>セツジ</t>
    </rPh>
    <rPh sb="26" eb="28">
      <t>カテイ</t>
    </rPh>
    <rPh sb="31" eb="33">
      <t>ヨソク</t>
    </rPh>
    <rPh sb="35" eb="37">
      <t>ロリョウ</t>
    </rPh>
    <rPh sb="38" eb="39">
      <t>オオ</t>
    </rPh>
    <rPh sb="47" eb="49">
      <t>ハンエイ</t>
    </rPh>
    <phoneticPr fontId="3"/>
  </si>
  <si>
    <t>公表日</t>
    <rPh sb="0" eb="3">
      <t>コウヒョウビ</t>
    </rPh>
    <phoneticPr fontId="2"/>
  </si>
  <si>
    <t>改訂履歴</t>
    <rPh sb="0" eb="2">
      <t>カイテイ</t>
    </rPh>
    <rPh sb="2" eb="4">
      <t>リレキ</t>
    </rPh>
    <phoneticPr fontId="2"/>
  </si>
  <si>
    <t>Ver</t>
    <phoneticPr fontId="4"/>
  </si>
  <si>
    <t>1.0</t>
    <phoneticPr fontId="4"/>
  </si>
  <si>
    <t>公表版</t>
    <rPh sb="0" eb="2">
      <t>コウヒョウ</t>
    </rPh>
    <rPh sb="2" eb="3">
      <t>バン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</si>
</sst>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0"/>
    <numFmt numFmtId="177" formatCode="0.00000"/>
    <numFmt numFmtId="178" formatCode="0.0"/>
    <numFmt numFmtId="179" formatCode="0.0000_);[Red]\(0.0000\)"/>
    <numFmt numFmtId="180" formatCode="0.000_ "/>
    <numFmt numFmtId="181" formatCode="0.0_ "/>
    <numFmt numFmtId="182" formatCode="0.00_ "/>
    <numFmt numFmtId="183" formatCode="0.00000000"/>
    <numFmt numFmtId="184" formatCode="0.0%"/>
    <numFmt numFmtId="185" formatCode="0.0.E+00"/>
    <numFmt numFmtId="186" formatCode="0.00_);[Red]\(0.00\)"/>
    <numFmt numFmtId="187" formatCode="0.0000_ "/>
    <numFmt numFmtId="188" formatCode="0.0_);[Red]\(0.0\)"/>
    <numFmt numFmtId="189" formatCode="0.000000"/>
    <numFmt numFmtId="190" formatCode="0.0000"/>
    <numFmt numFmtId="191" formatCode="0_);[Red]\(0\)"/>
    <numFmt numFmtId="192" formatCode="[$]ggge&quot;年&quot;m&quot;月&quot;d&quot;日&quot;;@" x16r2:formatCode16="[$-ja-JP-x-gannen]ggge&quot;年&quot;m&quot;月&quot;d&quot;日&quot;;@"/>
  </numFmts>
  <fonts count="39">
    <font>
      <sz val="11"/>
      <color theme="1"/>
      <name val="ＭＳ Ｐゴシック"/>
      <family val="3"/>
      <charset val="128"/>
    </font>
    <font>
      <sz val="11"/>
      <color theme="1"/>
      <name val="游ゴシック"/>
      <family val="2"/>
      <charset val="128"/>
      <scheme val="minor"/>
    </font>
    <font>
      <b/>
      <sz val="11"/>
      <color theme="3"/>
      <name val="游ゴシック"/>
      <family val="2"/>
      <charset val="128"/>
      <scheme val="minor"/>
    </font>
    <font>
      <sz val="6"/>
      <name val="游ゴシック"/>
      <family val="2"/>
      <charset val="128"/>
      <scheme val="minor"/>
    </font>
    <font>
      <sz val="6"/>
      <name val="ＭＳ Ｐゴシック"/>
      <family val="3"/>
      <charset val="128"/>
    </font>
    <font>
      <sz val="6"/>
      <name val="游ゴシック"/>
      <family val="3"/>
      <charset val="128"/>
      <scheme val="minor"/>
    </font>
    <font>
      <vertAlign val="superscript"/>
      <sz val="10"/>
      <color rgb="FFFF0000"/>
      <name val="游ゴシック"/>
      <family val="3"/>
      <charset val="128"/>
      <scheme val="minor"/>
    </font>
    <font>
      <sz val="10"/>
      <color theme="1"/>
      <name val="游ゴシック"/>
      <family val="3"/>
      <charset val="128"/>
      <scheme val="minor"/>
    </font>
    <font>
      <sz val="10"/>
      <name val="游ゴシック"/>
      <family val="3"/>
      <charset val="128"/>
      <scheme val="minor"/>
    </font>
    <font>
      <sz val="11"/>
      <color theme="1"/>
      <name val="游ゴシック"/>
      <family val="3"/>
      <charset val="128"/>
      <scheme val="minor"/>
    </font>
    <font>
      <b/>
      <sz val="11"/>
      <name val="游ゴシック"/>
      <family val="3"/>
      <charset val="128"/>
      <scheme val="minor"/>
    </font>
    <font>
      <sz val="11"/>
      <name val="游ゴシック"/>
      <family val="3"/>
      <charset val="128"/>
      <scheme val="minor"/>
    </font>
    <font>
      <b/>
      <sz val="11"/>
      <color rgb="FFFF0000"/>
      <name val="游ゴシック"/>
      <family val="3"/>
      <charset val="128"/>
      <scheme val="minor"/>
    </font>
    <font>
      <u/>
      <sz val="14"/>
      <name val="游ゴシック"/>
      <family val="3"/>
      <charset val="128"/>
      <scheme val="minor"/>
    </font>
    <font>
      <b/>
      <sz val="10"/>
      <name val="游ゴシック"/>
      <family val="3"/>
      <charset val="128"/>
      <scheme val="minor"/>
    </font>
    <font>
      <vertAlign val="subscript"/>
      <sz val="10"/>
      <name val="游ゴシック"/>
      <family val="3"/>
      <charset val="128"/>
      <scheme val="minor"/>
    </font>
    <font>
      <i/>
      <vertAlign val="subscript"/>
      <sz val="10"/>
      <name val="游ゴシック"/>
      <family val="3"/>
      <charset val="128"/>
      <scheme val="minor"/>
    </font>
    <font>
      <b/>
      <sz val="10"/>
      <color rgb="FFFF0000"/>
      <name val="游ゴシック"/>
      <family val="3"/>
      <charset val="128"/>
      <scheme val="minor"/>
    </font>
    <font>
      <sz val="10"/>
      <color rgb="FFFF0000"/>
      <name val="游ゴシック"/>
      <family val="3"/>
      <charset val="128"/>
      <scheme val="minor"/>
    </font>
    <font>
      <b/>
      <sz val="9"/>
      <color rgb="FFFF0000"/>
      <name val="游ゴシック"/>
      <family val="3"/>
      <charset val="128"/>
      <scheme val="minor"/>
    </font>
    <font>
      <sz val="10"/>
      <color indexed="8"/>
      <name val="游ゴシック"/>
      <family val="3"/>
      <charset val="128"/>
      <scheme val="minor"/>
    </font>
    <font>
      <sz val="11"/>
      <color theme="0"/>
      <name val="游ゴシック"/>
      <family val="3"/>
      <charset val="128"/>
      <scheme val="minor"/>
    </font>
    <font>
      <b/>
      <sz val="14"/>
      <name val="游ゴシック"/>
      <family val="3"/>
      <charset val="128"/>
      <scheme val="minor"/>
    </font>
    <font>
      <sz val="11"/>
      <color theme="1"/>
      <name val="ＭＳ Ｐゴシック"/>
      <family val="3"/>
      <charset val="128"/>
    </font>
    <font>
      <vertAlign val="superscript"/>
      <sz val="11"/>
      <color rgb="FFFF0000"/>
      <name val="游ゴシック"/>
      <family val="3"/>
      <charset val="128"/>
      <scheme val="minor"/>
    </font>
    <font>
      <b/>
      <vertAlign val="superscript"/>
      <sz val="11"/>
      <color rgb="FFFF0000"/>
      <name val="游ゴシック"/>
      <family val="3"/>
      <charset val="128"/>
      <scheme val="minor"/>
    </font>
    <font>
      <sz val="8"/>
      <name val="ＭＳ Ｐゴシック"/>
      <family val="3"/>
      <charset val="128"/>
    </font>
    <font>
      <sz val="10"/>
      <name val="ＭＳ Ｐゴシック"/>
      <family val="3"/>
      <charset val="128"/>
    </font>
    <font>
      <sz val="11"/>
      <name val="ＭＳ Ｐゴシック"/>
      <family val="3"/>
      <charset val="128"/>
    </font>
    <font>
      <sz val="11"/>
      <color indexed="9"/>
      <name val="ＭＳ Ｐゴシック"/>
      <family val="3"/>
      <charset val="128"/>
    </font>
    <font>
      <b/>
      <sz val="11"/>
      <color rgb="FFFF0000"/>
      <name val="ＭＳ Ｐゴシック"/>
      <family val="3"/>
      <charset val="128"/>
    </font>
    <font>
      <u/>
      <sz val="11"/>
      <name val="ＭＳ Ｐゴシック"/>
      <family val="3"/>
      <charset val="128"/>
    </font>
    <font>
      <sz val="9"/>
      <name val="ＭＳ Ｐゴシック"/>
      <family val="3"/>
      <charset val="128"/>
    </font>
    <font>
      <sz val="10"/>
      <color indexed="8"/>
      <name val="ＭＳ Ｐゴシック"/>
      <family val="3"/>
      <charset val="128"/>
    </font>
    <font>
      <b/>
      <sz val="11"/>
      <color theme="1"/>
      <name val="游ゴシック"/>
      <family val="3"/>
      <charset val="128"/>
      <scheme val="minor"/>
    </font>
    <font>
      <b/>
      <sz val="11"/>
      <name val="ＭＳ Ｐゴシック"/>
      <family val="3"/>
      <charset val="128"/>
    </font>
    <font>
      <sz val="11"/>
      <color rgb="FFFF0000"/>
      <name val="ＭＳ Ｐゴシック"/>
      <family val="3"/>
      <charset val="128"/>
    </font>
    <font>
      <sz val="11"/>
      <color theme="0"/>
      <name val="ＭＳ Ｐゴシック"/>
      <family val="3"/>
      <charset val="128"/>
    </font>
    <font>
      <b/>
      <i/>
      <vertAlign val="subscript"/>
      <sz val="10"/>
      <color rgb="FFFF0000"/>
      <name val="游ゴシック"/>
      <family val="3"/>
      <charset val="128"/>
      <scheme val="minor"/>
    </font>
  </fonts>
  <fills count="16">
    <fill>
      <patternFill patternType="none"/>
    </fill>
    <fill>
      <patternFill patternType="gray125"/>
    </fill>
    <fill>
      <patternFill patternType="solid">
        <fgColor rgb="FFFFFF99"/>
        <bgColor indexed="64"/>
      </patternFill>
    </fill>
    <fill>
      <patternFill patternType="solid">
        <fgColor indexed="47"/>
        <bgColor indexed="64"/>
      </patternFill>
    </fill>
    <fill>
      <patternFill patternType="solid">
        <fgColor theme="0" tint="-4.9989318521683403E-2"/>
        <bgColor indexed="64"/>
      </patternFill>
    </fill>
    <fill>
      <patternFill patternType="solid">
        <fgColor indexed="41"/>
        <bgColor indexed="64"/>
      </patternFill>
    </fill>
    <fill>
      <patternFill patternType="solid">
        <fgColor rgb="FFFFCC99"/>
        <bgColor indexed="64"/>
      </patternFill>
    </fill>
    <fill>
      <patternFill patternType="solid">
        <fgColor indexed="43"/>
        <bgColor indexed="64"/>
      </patternFill>
    </fill>
    <fill>
      <patternFill patternType="solid">
        <fgColor theme="0"/>
        <bgColor indexed="64"/>
      </patternFill>
    </fill>
    <fill>
      <patternFill patternType="solid">
        <fgColor rgb="FFCCFFFF"/>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rgb="FFFFFF00"/>
        <bgColor indexed="64"/>
      </patternFill>
    </fill>
    <fill>
      <patternFill patternType="solid">
        <fgColor theme="8" tint="0.39997558519241921"/>
        <bgColor indexed="64"/>
      </patternFill>
    </fill>
  </fills>
  <borders count="68">
    <border>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diagonalUp="1">
      <left style="thin">
        <color indexed="64"/>
      </left>
      <right style="thin">
        <color indexed="64"/>
      </right>
      <top/>
      <bottom/>
      <diagonal style="thin">
        <color indexed="64"/>
      </diagonal>
    </border>
    <border>
      <left/>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double">
        <color indexed="64"/>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style="double">
        <color indexed="64"/>
      </right>
      <top/>
      <bottom/>
      <diagonal/>
    </border>
    <border>
      <left style="double">
        <color indexed="64"/>
      </left>
      <right style="thin">
        <color indexed="64"/>
      </right>
      <top/>
      <bottom/>
      <diagonal/>
    </border>
    <border>
      <left style="thin">
        <color indexed="64"/>
      </left>
      <right style="double">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style="thin">
        <color indexed="64"/>
      </left>
      <right/>
      <top style="double">
        <color indexed="64"/>
      </top>
      <bottom style="thin">
        <color indexed="64"/>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double">
        <color indexed="64"/>
      </left>
      <right style="thin">
        <color indexed="64"/>
      </right>
      <top style="thin">
        <color indexed="64"/>
      </top>
      <bottom style="double">
        <color indexed="64"/>
      </bottom>
      <diagonal/>
    </border>
    <border>
      <left style="double">
        <color indexed="64"/>
      </left>
      <right style="double">
        <color indexed="64"/>
      </right>
      <top/>
      <bottom style="medium">
        <color rgb="FFFF0000"/>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auto="1"/>
      </left>
      <right style="double">
        <color auto="1"/>
      </right>
      <top style="thin">
        <color auto="1"/>
      </top>
      <bottom style="double">
        <color auto="1"/>
      </bottom>
      <diagonal/>
    </border>
    <border>
      <left style="thin">
        <color indexed="64"/>
      </left>
      <right style="medium">
        <color rgb="FFFF0000"/>
      </right>
      <top style="thin">
        <color indexed="64"/>
      </top>
      <bottom style="double">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thin">
        <color indexed="64"/>
      </right>
      <top style="double">
        <color indexed="64"/>
      </top>
      <bottom style="thin">
        <color indexed="64"/>
      </bottom>
      <diagonal/>
    </border>
    <border>
      <left style="double">
        <color indexed="64"/>
      </left>
      <right style="thin">
        <color indexed="64"/>
      </right>
      <top style="double">
        <color indexed="64"/>
      </top>
      <bottom style="double">
        <color indexed="64"/>
      </bottom>
      <diagonal/>
    </border>
    <border>
      <left style="double">
        <color indexed="64"/>
      </left>
      <right/>
      <top/>
      <bottom style="thin">
        <color indexed="64"/>
      </bottom>
      <diagonal/>
    </border>
    <border>
      <left style="double">
        <color indexed="64"/>
      </left>
      <right style="double">
        <color indexed="64"/>
      </right>
      <top/>
      <bottom style="double">
        <color indexed="64"/>
      </bottom>
      <diagonal/>
    </border>
    <border>
      <left style="double">
        <color indexed="64"/>
      </left>
      <right/>
      <top style="thin">
        <color indexed="64"/>
      </top>
      <bottom style="double">
        <color indexed="64"/>
      </bottom>
      <diagonal/>
    </border>
  </borders>
  <cellStyleXfs count="4">
    <xf numFmtId="0" fontId="0" fillId="0" borderId="0">
      <alignment vertical="center"/>
    </xf>
    <xf numFmtId="9" fontId="1" fillId="0" borderId="0" applyFont="0" applyFill="0" applyBorder="0" applyAlignment="0" applyProtection="0">
      <alignment vertical="center"/>
    </xf>
    <xf numFmtId="38" fontId="23" fillId="0" borderId="0" applyFont="0" applyFill="0" applyBorder="0" applyAlignment="0" applyProtection="0">
      <alignment vertical="center"/>
    </xf>
    <xf numFmtId="0" fontId="28" fillId="0" borderId="0"/>
  </cellStyleXfs>
  <cellXfs count="340">
    <xf numFmtId="0" fontId="0" fillId="0" borderId="0" xfId="0">
      <alignment vertical="center"/>
    </xf>
    <xf numFmtId="0" fontId="9" fillId="0" borderId="12" xfId="0" applyFont="1" applyBorder="1" applyAlignment="1" applyProtection="1">
      <protection locked="0"/>
    </xf>
    <xf numFmtId="0" fontId="10" fillId="0" borderId="0" xfId="0" applyFont="1" applyProtection="1">
      <alignment vertical="center"/>
      <protection locked="0"/>
    </xf>
    <xf numFmtId="0" fontId="9" fillId="0" borderId="0" xfId="0" applyFont="1">
      <alignment vertical="center"/>
    </xf>
    <xf numFmtId="0" fontId="9" fillId="0" borderId="12" xfId="0" applyFont="1" applyBorder="1">
      <alignment vertical="center"/>
    </xf>
    <xf numFmtId="0" fontId="11" fillId="0" borderId="12" xfId="0" applyFont="1" applyBorder="1" applyProtection="1">
      <alignment vertical="center"/>
      <protection locked="0"/>
    </xf>
    <xf numFmtId="0" fontId="11" fillId="0" borderId="0" xfId="0" applyFont="1" applyProtection="1">
      <alignment vertical="center"/>
      <protection locked="0"/>
    </xf>
    <xf numFmtId="0" fontId="8" fillId="0" borderId="0" xfId="0" applyFont="1" applyProtection="1">
      <alignment vertical="center"/>
      <protection locked="0"/>
    </xf>
    <xf numFmtId="0" fontId="8" fillId="7" borderId="0" xfId="0" applyFont="1" applyFill="1" applyProtection="1">
      <alignment vertical="center"/>
      <protection locked="0"/>
    </xf>
    <xf numFmtId="0" fontId="8" fillId="3" borderId="0" xfId="0" applyFont="1" applyFill="1" applyProtection="1">
      <alignment vertical="center"/>
      <protection locked="0"/>
    </xf>
    <xf numFmtId="179" fontId="8" fillId="7" borderId="0" xfId="0" applyNumberFormat="1" applyFont="1" applyFill="1" applyProtection="1">
      <alignment vertical="center"/>
      <protection locked="0"/>
    </xf>
    <xf numFmtId="0" fontId="8" fillId="2" borderId="0" xfId="0" applyFont="1" applyFill="1" applyAlignment="1" applyProtection="1">
      <alignment horizontal="right" vertical="center"/>
      <protection locked="0"/>
    </xf>
    <xf numFmtId="0" fontId="8" fillId="6" borderId="0" xfId="0" applyFont="1" applyFill="1" applyAlignment="1" applyProtection="1">
      <alignment horizontal="center" vertical="center"/>
      <protection locked="0"/>
    </xf>
    <xf numFmtId="179" fontId="8" fillId="3" borderId="0" xfId="0" applyNumberFormat="1" applyFont="1" applyFill="1" applyProtection="1">
      <alignment vertical="center"/>
      <protection locked="0"/>
    </xf>
    <xf numFmtId="179" fontId="8" fillId="3" borderId="24" xfId="0" applyNumberFormat="1" applyFont="1" applyFill="1" applyBorder="1" applyProtection="1">
      <alignment vertical="center"/>
      <protection locked="0"/>
    </xf>
    <xf numFmtId="0" fontId="8" fillId="3" borderId="24" xfId="0" applyFont="1" applyFill="1" applyBorder="1" applyProtection="1">
      <alignment vertical="center"/>
      <protection locked="0"/>
    </xf>
    <xf numFmtId="0" fontId="8" fillId="6" borderId="14" xfId="0" applyFont="1" applyFill="1" applyBorder="1" applyProtection="1">
      <alignment vertical="center"/>
      <protection locked="0"/>
    </xf>
    <xf numFmtId="0" fontId="8" fillId="6" borderId="0" xfId="0" applyFont="1" applyFill="1" applyAlignment="1" applyProtection="1">
      <alignment horizontal="right" vertical="center"/>
      <protection locked="0"/>
    </xf>
    <xf numFmtId="179" fontId="8" fillId="6" borderId="0" xfId="0" applyNumberFormat="1" applyFont="1" applyFill="1" applyProtection="1">
      <alignment vertical="center"/>
      <protection locked="0"/>
    </xf>
    <xf numFmtId="0" fontId="8" fillId="6" borderId="16" xfId="0" applyFont="1" applyFill="1" applyBorder="1" applyProtection="1">
      <alignment vertical="center"/>
      <protection locked="0"/>
    </xf>
    <xf numFmtId="179" fontId="8" fillId="6" borderId="24" xfId="0" applyNumberFormat="1" applyFont="1" applyFill="1" applyBorder="1" applyProtection="1">
      <alignment vertical="center"/>
      <protection locked="0"/>
    </xf>
    <xf numFmtId="0" fontId="8" fillId="6" borderId="24" xfId="0" applyFont="1" applyFill="1" applyBorder="1" applyAlignment="1" applyProtection="1">
      <alignment horizontal="right" vertical="center"/>
      <protection locked="0"/>
    </xf>
    <xf numFmtId="0" fontId="8" fillId="6" borderId="4" xfId="0" applyFont="1" applyFill="1" applyBorder="1" applyProtection="1">
      <alignment vertical="center"/>
      <protection locked="0"/>
    </xf>
    <xf numFmtId="0" fontId="8" fillId="6" borderId="5" xfId="0" applyFont="1" applyFill="1" applyBorder="1" applyProtection="1">
      <alignment vertical="center"/>
      <protection locked="0"/>
    </xf>
    <xf numFmtId="0" fontId="8" fillId="7" borderId="5" xfId="0" applyFont="1" applyFill="1" applyBorder="1" applyProtection="1">
      <alignment vertical="center"/>
      <protection locked="0"/>
    </xf>
    <xf numFmtId="0" fontId="9" fillId="2" borderId="5" xfId="0" applyFont="1" applyFill="1" applyBorder="1" applyAlignment="1" applyProtection="1">
      <protection locked="0"/>
    </xf>
    <xf numFmtId="0" fontId="9" fillId="2" borderId="4" xfId="0" applyFont="1" applyFill="1" applyBorder="1" applyAlignment="1" applyProtection="1">
      <alignment horizontal="center"/>
      <protection locked="0"/>
    </xf>
    <xf numFmtId="9" fontId="9" fillId="9" borderId="4" xfId="1" applyFont="1" applyFill="1" applyBorder="1" applyAlignment="1" applyProtection="1"/>
    <xf numFmtId="176" fontId="9" fillId="0" borderId="12" xfId="0" applyNumberFormat="1" applyFont="1" applyBorder="1">
      <alignment vertical="center"/>
    </xf>
    <xf numFmtId="0" fontId="9" fillId="4" borderId="12" xfId="0" applyFont="1" applyFill="1" applyBorder="1" applyAlignment="1" applyProtection="1">
      <protection locked="0"/>
    </xf>
    <xf numFmtId="0" fontId="9" fillId="8" borderId="12" xfId="0" applyFont="1" applyFill="1" applyBorder="1" applyAlignment="1" applyProtection="1">
      <protection locked="0"/>
    </xf>
    <xf numFmtId="185" fontId="9" fillId="0" borderId="12" xfId="0" applyNumberFormat="1" applyFont="1" applyBorder="1">
      <alignment vertical="center"/>
    </xf>
    <xf numFmtId="0" fontId="12" fillId="0" borderId="0" xfId="0" applyFont="1">
      <alignment vertical="center"/>
    </xf>
    <xf numFmtId="0" fontId="9" fillId="2" borderId="4" xfId="0" applyFont="1" applyFill="1" applyBorder="1" applyAlignment="1" applyProtection="1">
      <protection locked="0"/>
    </xf>
    <xf numFmtId="178" fontId="9" fillId="2" borderId="4" xfId="0" applyNumberFormat="1" applyFont="1" applyFill="1" applyBorder="1" applyAlignment="1" applyProtection="1">
      <protection locked="0"/>
    </xf>
    <xf numFmtId="0" fontId="9" fillId="6" borderId="4" xfId="0" applyFont="1" applyFill="1" applyBorder="1" applyAlignment="1" applyProtection="1">
      <protection locked="0"/>
    </xf>
    <xf numFmtId="0" fontId="9" fillId="12" borderId="12" xfId="0" applyFont="1" applyFill="1" applyBorder="1" applyAlignment="1" applyProtection="1">
      <protection locked="0"/>
    </xf>
    <xf numFmtId="1" fontId="9" fillId="12" borderId="12" xfId="0" applyNumberFormat="1" applyFont="1" applyFill="1" applyBorder="1" applyAlignment="1"/>
    <xf numFmtId="0" fontId="9" fillId="0" borderId="16" xfId="0" applyFont="1" applyBorder="1">
      <alignment vertical="center"/>
    </xf>
    <xf numFmtId="185" fontId="9" fillId="0" borderId="16" xfId="0" applyNumberFormat="1" applyFont="1" applyBorder="1">
      <alignment vertical="center"/>
    </xf>
    <xf numFmtId="0" fontId="9" fillId="0" borderId="16" xfId="0" applyFont="1" applyBorder="1" applyAlignment="1" applyProtection="1">
      <protection locked="0"/>
    </xf>
    <xf numFmtId="176" fontId="9" fillId="0" borderId="16" xfId="0" applyNumberFormat="1" applyFont="1" applyBorder="1">
      <alignment vertical="center"/>
    </xf>
    <xf numFmtId="0" fontId="9" fillId="10" borderId="26" xfId="0" applyFont="1" applyFill="1" applyBorder="1">
      <alignment vertical="center"/>
    </xf>
    <xf numFmtId="0" fontId="22" fillId="0" borderId="0" xfId="0" applyFont="1" applyProtection="1">
      <alignment vertical="center"/>
      <protection locked="0"/>
    </xf>
    <xf numFmtId="0" fontId="9" fillId="0" borderId="12" xfId="0" applyFont="1" applyBorder="1" applyAlignment="1">
      <alignment horizontal="center" vertical="center"/>
    </xf>
    <xf numFmtId="0" fontId="8" fillId="2" borderId="5" xfId="0" applyFont="1" applyFill="1" applyBorder="1" applyProtection="1">
      <alignment vertical="center"/>
      <protection locked="0"/>
    </xf>
    <xf numFmtId="0" fontId="8" fillId="2" borderId="7" xfId="0" applyFont="1" applyFill="1" applyBorder="1" applyProtection="1">
      <alignment vertical="center"/>
      <protection locked="0"/>
    </xf>
    <xf numFmtId="0" fontId="35" fillId="2" borderId="41" xfId="0" applyFont="1" applyFill="1" applyBorder="1" applyProtection="1">
      <alignment vertical="center"/>
      <protection locked="0"/>
    </xf>
    <xf numFmtId="0" fontId="35" fillId="2" borderId="46" xfId="0" applyFont="1" applyFill="1" applyBorder="1" applyProtection="1">
      <alignment vertical="center"/>
      <protection locked="0"/>
    </xf>
    <xf numFmtId="0" fontId="35" fillId="2" borderId="47" xfId="0" applyFont="1" applyFill="1" applyBorder="1" applyProtection="1">
      <alignment vertical="center"/>
      <protection locked="0"/>
    </xf>
    <xf numFmtId="2" fontId="9" fillId="0" borderId="12" xfId="0" applyNumberFormat="1" applyFont="1" applyBorder="1">
      <alignment vertical="center"/>
    </xf>
    <xf numFmtId="0" fontId="9" fillId="0" borderId="29" xfId="0" applyFont="1" applyBorder="1">
      <alignment vertical="center"/>
    </xf>
    <xf numFmtId="185" fontId="9" fillId="0" borderId="29" xfId="0" applyNumberFormat="1" applyFont="1" applyBorder="1">
      <alignment vertical="center"/>
    </xf>
    <xf numFmtId="0" fontId="9" fillId="0" borderId="63" xfId="0" applyFont="1" applyBorder="1" applyAlignment="1" applyProtection="1">
      <protection locked="0"/>
    </xf>
    <xf numFmtId="0" fontId="9" fillId="0" borderId="13" xfId="0" applyFont="1" applyBorder="1" applyAlignment="1" applyProtection="1">
      <protection locked="0"/>
    </xf>
    <xf numFmtId="0" fontId="37" fillId="0" borderId="0" xfId="0" applyFont="1" applyAlignment="1" applyProtection="1">
      <protection hidden="1"/>
    </xf>
    <xf numFmtId="1" fontId="9" fillId="2" borderId="4" xfId="0" applyNumberFormat="1" applyFont="1" applyFill="1" applyBorder="1" applyAlignment="1" applyProtection="1">
      <protection locked="0"/>
    </xf>
    <xf numFmtId="0" fontId="9" fillId="14" borderId="12" xfId="0" applyFont="1" applyFill="1" applyBorder="1" applyAlignment="1" applyProtection="1">
      <protection locked="0"/>
    </xf>
    <xf numFmtId="191" fontId="9" fillId="2" borderId="15" xfId="1" applyNumberFormat="1" applyFont="1" applyFill="1" applyBorder="1" applyAlignment="1" applyProtection="1">
      <alignment vertical="center"/>
      <protection locked="0"/>
    </xf>
    <xf numFmtId="191" fontId="9" fillId="2" borderId="17" xfId="1" applyNumberFormat="1" applyFont="1" applyFill="1" applyBorder="1" applyAlignment="1" applyProtection="1">
      <alignment vertical="center"/>
      <protection locked="0"/>
    </xf>
    <xf numFmtId="0" fontId="9" fillId="6" borderId="12" xfId="0" applyFont="1" applyFill="1" applyBorder="1" applyAlignment="1" applyProtection="1">
      <protection locked="0"/>
    </xf>
    <xf numFmtId="2" fontId="9" fillId="2" borderId="12" xfId="0" applyNumberFormat="1" applyFont="1" applyFill="1" applyBorder="1" applyAlignment="1" applyProtection="1">
      <protection locked="0"/>
    </xf>
    <xf numFmtId="0" fontId="9" fillId="0" borderId="0" xfId="0" applyFont="1" applyProtection="1">
      <alignment vertical="center"/>
      <protection hidden="1"/>
    </xf>
    <xf numFmtId="0" fontId="8" fillId="0" borderId="0" xfId="0" applyFont="1">
      <alignment vertical="center"/>
    </xf>
    <xf numFmtId="0" fontId="13" fillId="0" borderId="0" xfId="0" applyFont="1">
      <alignment vertical="center"/>
    </xf>
    <xf numFmtId="0" fontId="9" fillId="0" borderId="0" xfId="0" applyFont="1" applyAlignment="1"/>
    <xf numFmtId="0" fontId="14" fillId="0" borderId="0" xfId="0" applyFont="1">
      <alignment vertical="center"/>
    </xf>
    <xf numFmtId="0" fontId="8" fillId="0" borderId="0" xfId="0" applyFont="1" applyAlignment="1">
      <alignment horizontal="left" vertical="center"/>
    </xf>
    <xf numFmtId="0" fontId="8" fillId="7" borderId="0" xfId="0" applyFont="1" applyFill="1">
      <alignment vertical="center"/>
    </xf>
    <xf numFmtId="0" fontId="8" fillId="3" borderId="0" xfId="0" applyFont="1" applyFill="1">
      <alignment vertical="center"/>
    </xf>
    <xf numFmtId="0" fontId="8" fillId="5" borderId="0" xfId="0" applyFont="1" applyFill="1">
      <alignment vertical="center"/>
    </xf>
    <xf numFmtId="0" fontId="8" fillId="4" borderId="12" xfId="0" applyFont="1" applyFill="1" applyBorder="1">
      <alignment vertical="center"/>
    </xf>
    <xf numFmtId="0" fontId="8" fillId="4" borderId="19" xfId="0" applyFont="1" applyFill="1" applyBorder="1">
      <alignment vertical="center"/>
    </xf>
    <xf numFmtId="0" fontId="8" fillId="4" borderId="13" xfId="0" applyFont="1" applyFill="1" applyBorder="1">
      <alignment vertical="center"/>
    </xf>
    <xf numFmtId="0" fontId="8" fillId="4" borderId="20" xfId="0" applyFont="1" applyFill="1" applyBorder="1">
      <alignment vertical="center"/>
    </xf>
    <xf numFmtId="0" fontId="8" fillId="0" borderId="14" xfId="0" applyFont="1" applyBorder="1">
      <alignment vertical="center"/>
    </xf>
    <xf numFmtId="0" fontId="8" fillId="0" borderId="15" xfId="0" applyFont="1" applyBorder="1">
      <alignment vertical="center"/>
    </xf>
    <xf numFmtId="178" fontId="8" fillId="5" borderId="21" xfId="0" applyNumberFormat="1" applyFont="1" applyFill="1" applyBorder="1">
      <alignment vertical="center"/>
    </xf>
    <xf numFmtId="0" fontId="17" fillId="0" borderId="0" xfId="0" applyFont="1">
      <alignment vertical="center"/>
    </xf>
    <xf numFmtId="0" fontId="18" fillId="0" borderId="0" xfId="0" applyFont="1">
      <alignment vertical="center"/>
    </xf>
    <xf numFmtId="178" fontId="8" fillId="5" borderId="14" xfId="0" applyNumberFormat="1" applyFont="1" applyFill="1" applyBorder="1">
      <alignment vertical="center"/>
    </xf>
    <xf numFmtId="0" fontId="19" fillId="0" borderId="22" xfId="0" applyFont="1" applyBorder="1">
      <alignment vertical="center"/>
    </xf>
    <xf numFmtId="0" fontId="19" fillId="0" borderId="0" xfId="0" applyFont="1">
      <alignment vertical="center"/>
    </xf>
    <xf numFmtId="0" fontId="8" fillId="0" borderId="23" xfId="0" applyFont="1" applyBorder="1" applyAlignment="1">
      <alignment horizontal="center" vertical="center"/>
    </xf>
    <xf numFmtId="0" fontId="19" fillId="0" borderId="0" xfId="0" applyFont="1" applyAlignment="1"/>
    <xf numFmtId="0" fontId="9" fillId="0" borderId="0" xfId="0" applyFont="1" applyAlignment="1">
      <alignment horizontal="center"/>
    </xf>
    <xf numFmtId="0" fontId="8" fillId="0" borderId="16" xfId="0" applyFont="1" applyBorder="1">
      <alignment vertical="center"/>
    </xf>
    <xf numFmtId="0" fontId="8" fillId="0" borderId="17" xfId="0" applyFont="1" applyBorder="1">
      <alignment vertical="center"/>
    </xf>
    <xf numFmtId="0" fontId="8" fillId="0" borderId="25" xfId="0" applyFont="1" applyBorder="1" applyAlignment="1">
      <alignment horizontal="center" vertical="center"/>
    </xf>
    <xf numFmtId="178" fontId="8" fillId="5" borderId="16" xfId="0" applyNumberFormat="1" applyFont="1" applyFill="1" applyBorder="1">
      <alignment vertical="center"/>
    </xf>
    <xf numFmtId="0" fontId="20" fillId="0" borderId="0" xfId="0" applyFont="1" applyAlignment="1">
      <alignment vertical="top" wrapText="1"/>
    </xf>
    <xf numFmtId="0" fontId="8" fillId="0" borderId="11" xfId="0" applyFont="1" applyBorder="1">
      <alignment vertical="center"/>
    </xf>
    <xf numFmtId="2" fontId="9" fillId="0" borderId="0" xfId="0" applyNumberFormat="1" applyFont="1" applyAlignment="1"/>
    <xf numFmtId="0" fontId="8" fillId="4" borderId="4" xfId="0" applyFont="1" applyFill="1" applyBorder="1">
      <alignment vertical="center"/>
    </xf>
    <xf numFmtId="180" fontId="14" fillId="5" borderId="6" xfId="0" applyNumberFormat="1" applyFont="1" applyFill="1" applyBorder="1">
      <alignment vertical="center"/>
    </xf>
    <xf numFmtId="0" fontId="8" fillId="0" borderId="4" xfId="0" applyFont="1" applyBorder="1">
      <alignment vertical="center"/>
    </xf>
    <xf numFmtId="180" fontId="14" fillId="5" borderId="7" xfId="0" applyNumberFormat="1" applyFont="1" applyFill="1" applyBorder="1">
      <alignment vertical="center"/>
    </xf>
    <xf numFmtId="181" fontId="9" fillId="0" borderId="0" xfId="0" applyNumberFormat="1" applyFont="1" applyAlignment="1"/>
    <xf numFmtId="182" fontId="14" fillId="5" borderId="7" xfId="0" applyNumberFormat="1" applyFont="1" applyFill="1" applyBorder="1">
      <alignment vertical="center"/>
    </xf>
    <xf numFmtId="0" fontId="14" fillId="5" borderId="6" xfId="0" applyFont="1" applyFill="1" applyBorder="1">
      <alignment vertical="center"/>
    </xf>
    <xf numFmtId="180" fontId="14" fillId="5" borderId="5" xfId="0" applyNumberFormat="1" applyFont="1" applyFill="1" applyBorder="1">
      <alignment vertical="center"/>
    </xf>
    <xf numFmtId="0" fontId="8" fillId="2" borderId="0" xfId="0" applyFont="1" applyFill="1">
      <alignment vertical="center"/>
    </xf>
    <xf numFmtId="0" fontId="9" fillId="4" borderId="1" xfId="0" applyFont="1" applyFill="1" applyBorder="1" applyAlignment="1">
      <alignment wrapText="1"/>
    </xf>
    <xf numFmtId="0" fontId="9" fillId="4" borderId="2" xfId="0" applyFont="1" applyFill="1" applyBorder="1" applyAlignment="1"/>
    <xf numFmtId="0" fontId="9" fillId="4" borderId="2" xfId="0" applyFont="1" applyFill="1" applyBorder="1" applyAlignment="1">
      <alignment wrapText="1"/>
    </xf>
    <xf numFmtId="0" fontId="9" fillId="4" borderId="3" xfId="0" applyFont="1" applyFill="1" applyBorder="1" applyAlignment="1">
      <alignment wrapText="1"/>
    </xf>
    <xf numFmtId="0" fontId="8" fillId="0" borderId="6" xfId="0" applyFont="1" applyBorder="1">
      <alignment vertical="center"/>
    </xf>
    <xf numFmtId="0" fontId="9" fillId="4" borderId="4" xfId="0" applyFont="1" applyFill="1" applyBorder="1" applyAlignment="1"/>
    <xf numFmtId="0" fontId="8" fillId="5" borderId="5" xfId="0" applyFont="1" applyFill="1" applyBorder="1">
      <alignment vertical="center"/>
    </xf>
    <xf numFmtId="0" fontId="9" fillId="8" borderId="5" xfId="0" applyFont="1" applyFill="1" applyBorder="1" applyAlignment="1"/>
    <xf numFmtId="0" fontId="9" fillId="8" borderId="7" xfId="0" applyFont="1" applyFill="1" applyBorder="1" applyAlignment="1"/>
    <xf numFmtId="0" fontId="9" fillId="8" borderId="6" xfId="0" applyFont="1" applyFill="1" applyBorder="1" applyAlignment="1"/>
    <xf numFmtId="178" fontId="8" fillId="5" borderId="5" xfId="0" applyNumberFormat="1" applyFont="1" applyFill="1" applyBorder="1">
      <alignment vertical="center"/>
    </xf>
    <xf numFmtId="0" fontId="9" fillId="8" borderId="7" xfId="0" applyFont="1" applyFill="1" applyBorder="1" applyAlignment="1">
      <alignment horizontal="left"/>
    </xf>
    <xf numFmtId="0" fontId="9" fillId="8" borderId="6" xfId="0" applyFont="1" applyFill="1" applyBorder="1" applyAlignment="1">
      <alignment horizontal="left"/>
    </xf>
    <xf numFmtId="0" fontId="17" fillId="0" borderId="0" xfId="0" applyFont="1" applyAlignment="1">
      <alignment vertical="center" wrapText="1"/>
    </xf>
    <xf numFmtId="0" fontId="12" fillId="0" borderId="0" xfId="0" applyFont="1" applyAlignment="1"/>
    <xf numFmtId="0" fontId="9" fillId="9" borderId="4" xfId="0" applyFont="1" applyFill="1" applyBorder="1" applyAlignment="1"/>
    <xf numFmtId="1" fontId="9" fillId="9" borderId="4" xfId="0" applyNumberFormat="1" applyFont="1" applyFill="1" applyBorder="1" applyAlignment="1"/>
    <xf numFmtId="2" fontId="9" fillId="9" borderId="4" xfId="0" applyNumberFormat="1" applyFont="1" applyFill="1" applyBorder="1" applyAlignment="1"/>
    <xf numFmtId="0" fontId="9" fillId="0" borderId="64" xfId="0" applyFont="1" applyBorder="1" applyAlignment="1"/>
    <xf numFmtId="0" fontId="9" fillId="0" borderId="7" xfId="0" applyFont="1" applyBorder="1" applyAlignment="1"/>
    <xf numFmtId="0" fontId="9" fillId="0" borderId="6" xfId="0" applyFont="1" applyBorder="1" applyAlignment="1"/>
    <xf numFmtId="0" fontId="7" fillId="4" borderId="4" xfId="0" applyFont="1" applyFill="1" applyBorder="1" applyAlignment="1">
      <alignment wrapText="1"/>
    </xf>
    <xf numFmtId="178" fontId="9" fillId="9" borderId="4" xfId="0" applyNumberFormat="1" applyFont="1" applyFill="1" applyBorder="1" applyAlignment="1"/>
    <xf numFmtId="0" fontId="8" fillId="9" borderId="4" xfId="0" applyFont="1" applyFill="1" applyBorder="1">
      <alignment vertical="center"/>
    </xf>
    <xf numFmtId="0" fontId="7" fillId="9" borderId="4" xfId="0" applyFont="1" applyFill="1" applyBorder="1" applyAlignment="1"/>
    <xf numFmtId="0" fontId="9" fillId="0" borderId="5" xfId="0" applyFont="1" applyBorder="1" applyAlignment="1"/>
    <xf numFmtId="0" fontId="9" fillId="9" borderId="5" xfId="0" applyFont="1" applyFill="1" applyBorder="1" applyAlignment="1"/>
    <xf numFmtId="0" fontId="9" fillId="4" borderId="2" xfId="0" applyFont="1" applyFill="1" applyBorder="1" applyAlignment="1">
      <alignment horizontal="left" vertical="center" wrapText="1"/>
    </xf>
    <xf numFmtId="190" fontId="9" fillId="9" borderId="4" xfId="0" applyNumberFormat="1" applyFont="1" applyFill="1" applyBorder="1" applyAlignment="1"/>
    <xf numFmtId="0" fontId="8" fillId="4" borderId="4" xfId="0" applyFont="1" applyFill="1" applyBorder="1" applyAlignment="1">
      <alignment wrapText="1"/>
    </xf>
    <xf numFmtId="0" fontId="9" fillId="0" borderId="4" xfId="0" applyFont="1" applyBorder="1" applyAlignment="1"/>
    <xf numFmtId="189" fontId="9" fillId="9" borderId="4" xfId="0" applyNumberFormat="1" applyFont="1" applyFill="1" applyBorder="1" applyAlignment="1"/>
    <xf numFmtId="176" fontId="9" fillId="9" borderId="4" xfId="0" applyNumberFormat="1" applyFont="1" applyFill="1" applyBorder="1" applyAlignment="1"/>
    <xf numFmtId="0" fontId="9" fillId="0" borderId="12" xfId="0" applyFont="1" applyBorder="1" applyAlignment="1">
      <alignment horizontal="right" vertical="center"/>
    </xf>
    <xf numFmtId="0" fontId="9" fillId="0" borderId="13" xfId="0" applyFont="1" applyBorder="1" applyAlignment="1">
      <alignment horizontal="right" vertical="center"/>
    </xf>
    <xf numFmtId="0" fontId="9" fillId="0" borderId="14" xfId="0" applyFont="1" applyBorder="1">
      <alignment vertical="center"/>
    </xf>
    <xf numFmtId="0" fontId="9" fillId="0" borderId="15" xfId="0" applyFont="1" applyBorder="1">
      <alignment vertical="center"/>
    </xf>
    <xf numFmtId="2" fontId="9" fillId="0" borderId="15" xfId="0" applyNumberFormat="1" applyFont="1" applyBorder="1">
      <alignment vertical="center"/>
    </xf>
    <xf numFmtId="2" fontId="9" fillId="0" borderId="17" xfId="0" applyNumberFormat="1" applyFont="1" applyBorder="1">
      <alignment vertical="center"/>
    </xf>
    <xf numFmtId="0" fontId="9" fillId="11" borderId="0" xfId="0" applyFont="1" applyFill="1" applyAlignment="1"/>
    <xf numFmtId="0" fontId="8" fillId="0" borderId="0" xfId="0" applyFont="1" applyAlignment="1"/>
    <xf numFmtId="2" fontId="9" fillId="9" borderId="4" xfId="0" applyNumberFormat="1" applyFont="1" applyFill="1" applyBorder="1" applyAlignment="1">
      <alignment horizontal="right"/>
    </xf>
    <xf numFmtId="0" fontId="9" fillId="11" borderId="0" xfId="0" applyFont="1" applyFill="1">
      <alignment vertical="center"/>
    </xf>
    <xf numFmtId="190" fontId="9" fillId="9" borderId="4" xfId="0" applyNumberFormat="1" applyFont="1" applyFill="1" applyBorder="1" applyAlignment="1">
      <alignment horizontal="right"/>
    </xf>
    <xf numFmtId="9" fontId="9" fillId="2" borderId="4" xfId="1" applyFont="1" applyFill="1" applyBorder="1" applyAlignment="1" applyProtection="1">
      <protection locked="0"/>
    </xf>
    <xf numFmtId="0" fontId="9" fillId="0" borderId="22" xfId="0" applyFont="1" applyBorder="1" applyAlignment="1"/>
    <xf numFmtId="0" fontId="8" fillId="0" borderId="7" xfId="0" applyFont="1" applyBorder="1">
      <alignment vertical="center"/>
    </xf>
    <xf numFmtId="0" fontId="9" fillId="0" borderId="27" xfId="0" applyFont="1" applyBorder="1" applyAlignment="1"/>
    <xf numFmtId="177" fontId="9" fillId="9" borderId="4" xfId="0" applyNumberFormat="1" applyFont="1" applyFill="1" applyBorder="1" applyAlignment="1"/>
    <xf numFmtId="0" fontId="11" fillId="0" borderId="0" xfId="0" applyFont="1" applyAlignment="1"/>
    <xf numFmtId="0" fontId="9" fillId="0" borderId="28" xfId="0" applyFont="1" applyBorder="1">
      <alignment vertical="center"/>
    </xf>
    <xf numFmtId="0" fontId="9" fillId="0" borderId="30" xfId="0" applyFont="1" applyBorder="1">
      <alignment vertical="center"/>
    </xf>
    <xf numFmtId="0" fontId="9" fillId="0" borderId="42" xfId="0" applyFont="1" applyBorder="1" applyAlignment="1">
      <alignment horizontal="right" vertical="center"/>
    </xf>
    <xf numFmtId="0" fontId="9" fillId="0" borderId="43" xfId="0" applyFont="1" applyBorder="1">
      <alignment vertical="center"/>
    </xf>
    <xf numFmtId="0" fontId="9" fillId="0" borderId="53" xfId="0" applyFont="1" applyBorder="1" applyAlignment="1">
      <alignment horizontal="right" vertical="center"/>
    </xf>
    <xf numFmtId="0" fontId="9" fillId="0" borderId="58" xfId="0" applyFont="1" applyBorder="1">
      <alignment vertical="center"/>
    </xf>
    <xf numFmtId="189" fontId="9" fillId="0" borderId="0" xfId="0" applyNumberFormat="1" applyFont="1" applyAlignment="1"/>
    <xf numFmtId="0" fontId="0" fillId="0" borderId="40" xfId="0" applyBorder="1" applyAlignment="1"/>
    <xf numFmtId="186" fontId="27" fillId="0" borderId="28" xfId="0" quotePrefix="1" applyNumberFormat="1" applyFont="1" applyBorder="1" applyAlignment="1">
      <alignment horizontal="right" vertical="center"/>
    </xf>
    <xf numFmtId="186" fontId="27" fillId="0" borderId="29" xfId="0" quotePrefix="1" applyNumberFormat="1" applyFont="1" applyBorder="1" applyAlignment="1">
      <alignment horizontal="right" vertical="center"/>
    </xf>
    <xf numFmtId="186" fontId="27" fillId="0" borderId="49" xfId="0" quotePrefix="1" applyNumberFormat="1" applyFont="1" applyBorder="1" applyAlignment="1">
      <alignment horizontal="right" vertical="center"/>
    </xf>
    <xf numFmtId="186" fontId="27" fillId="0" borderId="50" xfId="0" quotePrefix="1" applyNumberFormat="1" applyFont="1" applyBorder="1" applyAlignment="1">
      <alignment horizontal="right" vertical="center"/>
    </xf>
    <xf numFmtId="0" fontId="0" fillId="0" borderId="42" xfId="0" applyBorder="1" applyAlignment="1"/>
    <xf numFmtId="186" fontId="27" fillId="0" borderId="42" xfId="0" quotePrefix="1" applyNumberFormat="1" applyFont="1" applyBorder="1" applyAlignment="1">
      <alignment horizontal="right" vertical="center"/>
    </xf>
    <xf numFmtId="186" fontId="27" fillId="0" borderId="12" xfId="0" quotePrefix="1" applyNumberFormat="1" applyFont="1" applyBorder="1" applyAlignment="1">
      <alignment horizontal="right" vertical="center"/>
    </xf>
    <xf numFmtId="186" fontId="27" fillId="0" borderId="18" xfId="0" quotePrefix="1" applyNumberFormat="1" applyFont="1" applyBorder="1" applyAlignment="1">
      <alignment horizontal="right" vertical="center"/>
    </xf>
    <xf numFmtId="186" fontId="27" fillId="0" borderId="51" xfId="0" quotePrefix="1" applyNumberFormat="1" applyFont="1" applyBorder="1" applyAlignment="1">
      <alignment horizontal="right" vertical="center"/>
    </xf>
    <xf numFmtId="0" fontId="23" fillId="0" borderId="42" xfId="0" applyFont="1" applyBorder="1" applyAlignment="1"/>
    <xf numFmtId="0" fontId="0" fillId="0" borderId="53" xfId="0" applyBorder="1" applyAlignment="1"/>
    <xf numFmtId="186" fontId="27" fillId="0" borderId="53" xfId="0" quotePrefix="1" applyNumberFormat="1" applyFont="1" applyBorder="1" applyAlignment="1">
      <alignment horizontal="right" vertical="center"/>
    </xf>
    <xf numFmtId="186" fontId="27" fillId="0" borderId="26" xfId="0" quotePrefix="1" applyNumberFormat="1" applyFont="1" applyBorder="1" applyAlignment="1">
      <alignment horizontal="right" vertical="center"/>
    </xf>
    <xf numFmtId="186" fontId="27" fillId="0" borderId="59" xfId="0" quotePrefix="1" applyNumberFormat="1" applyFont="1" applyBorder="1" applyAlignment="1">
      <alignment horizontal="right" vertical="center"/>
    </xf>
    <xf numFmtId="186" fontId="27" fillId="0" borderId="52" xfId="0" quotePrefix="1" applyNumberFormat="1" applyFont="1" applyBorder="1" applyAlignment="1">
      <alignment horizontal="right" vertical="center"/>
    </xf>
    <xf numFmtId="188" fontId="9" fillId="2" borderId="4" xfId="0" quotePrefix="1" applyNumberFormat="1" applyFont="1" applyFill="1" applyBorder="1" applyAlignment="1" applyProtection="1">
      <protection locked="0"/>
    </xf>
    <xf numFmtId="0" fontId="29" fillId="0" borderId="0" xfId="0" applyFont="1" applyAlignment="1"/>
    <xf numFmtId="0" fontId="0" fillId="0" borderId="0" xfId="0" applyAlignment="1"/>
    <xf numFmtId="0" fontId="0" fillId="0" borderId="0" xfId="0" applyAlignment="1">
      <alignment horizontal="right" vertical="center"/>
    </xf>
    <xf numFmtId="0" fontId="0" fillId="0" borderId="0" xfId="0" applyAlignment="1">
      <alignment horizontal="center" vertical="center"/>
    </xf>
    <xf numFmtId="0" fontId="28" fillId="0" borderId="0" xfId="0" applyFont="1" applyAlignment="1"/>
    <xf numFmtId="0" fontId="28" fillId="0" borderId="0" xfId="0" applyFont="1" applyAlignment="1">
      <alignment horizontal="left" vertical="center" wrapText="1"/>
    </xf>
    <xf numFmtId="0" fontId="28" fillId="0" borderId="0" xfId="0" applyFont="1">
      <alignment vertical="center"/>
    </xf>
    <xf numFmtId="0" fontId="28" fillId="0" borderId="42" xfId="0" applyFont="1" applyBorder="1">
      <alignment vertical="center"/>
    </xf>
    <xf numFmtId="0" fontId="28" fillId="0" borderId="12" xfId="0" applyFont="1" applyBorder="1" applyAlignment="1"/>
    <xf numFmtId="0" fontId="0" fillId="0" borderId="12" xfId="0" applyBorder="1" applyAlignment="1"/>
    <xf numFmtId="0" fontId="28" fillId="4" borderId="12" xfId="0" applyFont="1" applyFill="1" applyBorder="1" applyAlignment="1"/>
    <xf numFmtId="0" fontId="0" fillId="9" borderId="12" xfId="0" applyFill="1" applyBorder="1" applyAlignment="1">
      <alignment horizontal="right" vertical="center"/>
    </xf>
    <xf numFmtId="0" fontId="0" fillId="0" borderId="12" xfId="0" applyBorder="1" applyAlignment="1">
      <alignment horizontal="left" vertical="center"/>
    </xf>
    <xf numFmtId="0" fontId="28" fillId="4" borderId="0" xfId="0" applyFont="1" applyFill="1" applyAlignment="1"/>
    <xf numFmtId="0" fontId="30" fillId="0" borderId="0" xfId="0" applyFont="1" applyAlignment="1">
      <alignment horizontal="right" vertical="center"/>
    </xf>
    <xf numFmtId="0" fontId="0" fillId="9" borderId="12" xfId="0" applyFill="1" applyBorder="1">
      <alignment vertical="center"/>
    </xf>
    <xf numFmtId="0" fontId="0" fillId="0" borderId="12" xfId="0" applyBorder="1">
      <alignment vertical="center"/>
    </xf>
    <xf numFmtId="0" fontId="35" fillId="0" borderId="0" xfId="0" applyFont="1" applyAlignment="1"/>
    <xf numFmtId="0" fontId="37" fillId="0" borderId="0" xfId="0" applyFont="1" applyAlignment="1"/>
    <xf numFmtId="0" fontId="37" fillId="0" borderId="0" xfId="0" applyFont="1">
      <alignment vertical="center"/>
    </xf>
    <xf numFmtId="0" fontId="36" fillId="0" borderId="0" xfId="0" applyFont="1" applyAlignment="1"/>
    <xf numFmtId="176" fontId="35" fillId="9" borderId="4" xfId="0" applyNumberFormat="1" applyFont="1" applyFill="1" applyBorder="1" applyAlignment="1">
      <alignment horizontal="right" vertical="center"/>
    </xf>
    <xf numFmtId="0" fontId="28" fillId="0" borderId="13" xfId="0" applyFont="1" applyBorder="1" applyAlignment="1"/>
    <xf numFmtId="0" fontId="28" fillId="0" borderId="0" xfId="0" applyFont="1" applyAlignment="1">
      <alignment horizontal="left" wrapText="1"/>
    </xf>
    <xf numFmtId="0" fontId="30" fillId="0" borderId="0" xfId="0" applyFont="1" applyAlignment="1"/>
    <xf numFmtId="38" fontId="28" fillId="0" borderId="0" xfId="2" applyFont="1" applyFill="1" applyBorder="1" applyAlignment="1" applyProtection="1">
      <alignment vertical="center"/>
    </xf>
    <xf numFmtId="0" fontId="0" fillId="0" borderId="21" xfId="0" applyBorder="1" applyAlignment="1">
      <alignment horizontal="center" vertical="center" wrapText="1"/>
    </xf>
    <xf numFmtId="0" fontId="0" fillId="0" borderId="32" xfId="0" applyBorder="1" applyAlignment="1">
      <alignment horizontal="center" vertical="center"/>
    </xf>
    <xf numFmtId="0" fontId="0" fillId="0" borderId="21" xfId="0" applyBorder="1" applyAlignment="1">
      <alignment horizontal="center" vertical="center"/>
    </xf>
    <xf numFmtId="0" fontId="32" fillId="0" borderId="33" xfId="0" applyFont="1" applyBorder="1" applyAlignment="1">
      <alignment horizontal="center" vertical="center" wrapText="1"/>
    </xf>
    <xf numFmtId="0" fontId="0" fillId="0" borderId="14" xfId="0" applyBorder="1" applyAlignment="1"/>
    <xf numFmtId="0" fontId="0" fillId="0" borderId="36" xfId="0" applyBorder="1" applyAlignment="1"/>
    <xf numFmtId="0" fontId="0" fillId="0" borderId="35" xfId="0" applyBorder="1" applyAlignment="1">
      <alignment horizontal="center" vertical="center"/>
    </xf>
    <xf numFmtId="0" fontId="0" fillId="0" borderId="14" xfId="0" applyBorder="1" applyAlignment="1">
      <alignment horizontal="center" vertical="center"/>
    </xf>
    <xf numFmtId="0" fontId="0" fillId="0" borderId="38" xfId="0" applyBorder="1" applyAlignment="1"/>
    <xf numFmtId="0" fontId="0" fillId="0" borderId="39" xfId="0" applyBorder="1" applyAlignment="1"/>
    <xf numFmtId="0" fontId="0" fillId="0" borderId="37" xfId="0" applyBorder="1" applyAlignment="1">
      <alignment horizontal="center" vertical="center"/>
    </xf>
    <xf numFmtId="0" fontId="0" fillId="0" borderId="38" xfId="0" applyBorder="1" applyAlignment="1">
      <alignment horizontal="center" vertical="center"/>
    </xf>
    <xf numFmtId="186" fontId="27" fillId="0" borderId="41" xfId="0" applyNumberFormat="1" applyFont="1" applyBorder="1" applyAlignment="1">
      <alignment horizontal="right" vertical="center"/>
    </xf>
    <xf numFmtId="186" fontId="27" fillId="0" borderId="41" xfId="0" quotePrefix="1" applyNumberFormat="1" applyFont="1" applyBorder="1" applyAlignment="1">
      <alignment horizontal="right" vertical="center"/>
    </xf>
    <xf numFmtId="186" fontId="27" fillId="0" borderId="65" xfId="0" quotePrefix="1" applyNumberFormat="1" applyFont="1" applyBorder="1" applyAlignment="1">
      <alignment horizontal="right" vertical="center"/>
    </xf>
    <xf numFmtId="38" fontId="33" fillId="0" borderId="16" xfId="2" applyFont="1" applyBorder="1" applyAlignment="1" applyProtection="1">
      <alignment horizontal="center" vertical="center"/>
    </xf>
    <xf numFmtId="0" fontId="0" fillId="0" borderId="16" xfId="0" applyBorder="1" applyAlignment="1"/>
    <xf numFmtId="0" fontId="0" fillId="0" borderId="48" xfId="0" applyBorder="1" applyAlignment="1"/>
    <xf numFmtId="38" fontId="33" fillId="0" borderId="12" xfId="2" applyFont="1" applyBorder="1" applyAlignment="1" applyProtection="1">
      <alignment horizontal="center" vertical="center"/>
    </xf>
    <xf numFmtId="182" fontId="0" fillId="0" borderId="12" xfId="0" applyNumberFormat="1" applyBorder="1" applyAlignment="1"/>
    <xf numFmtId="0" fontId="0" fillId="0" borderId="43" xfId="0" applyBorder="1" applyAlignment="1"/>
    <xf numFmtId="186" fontId="27" fillId="0" borderId="47" xfId="0" quotePrefix="1" applyNumberFormat="1" applyFont="1" applyBorder="1" applyAlignment="1">
      <alignment horizontal="right" vertical="center"/>
    </xf>
    <xf numFmtId="186" fontId="27" fillId="0" borderId="67" xfId="0" quotePrefix="1" applyNumberFormat="1" applyFont="1" applyBorder="1" applyAlignment="1">
      <alignment horizontal="right" vertical="center"/>
    </xf>
    <xf numFmtId="0" fontId="0" fillId="0" borderId="42" xfId="0" applyBorder="1">
      <alignment vertical="center"/>
    </xf>
    <xf numFmtId="182" fontId="0" fillId="0" borderId="12" xfId="0" applyNumberFormat="1" applyBorder="1">
      <alignment vertical="center"/>
    </xf>
    <xf numFmtId="0" fontId="0" fillId="0" borderId="43" xfId="0" applyBorder="1">
      <alignment vertical="center"/>
    </xf>
    <xf numFmtId="182" fontId="0" fillId="0" borderId="45" xfId="0" applyNumberFormat="1" applyBorder="1" applyAlignment="1"/>
    <xf numFmtId="188" fontId="0" fillId="0" borderId="45" xfId="0" applyNumberFormat="1" applyBorder="1" applyAlignment="1">
      <alignment horizontal="center" vertical="center"/>
    </xf>
    <xf numFmtId="182" fontId="0" fillId="0" borderId="0" xfId="0" applyNumberFormat="1" applyAlignment="1"/>
    <xf numFmtId="182" fontId="0" fillId="0" borderId="0" xfId="0" applyNumberFormat="1" applyAlignment="1">
      <alignment horizontal="center" vertical="center"/>
    </xf>
    <xf numFmtId="179" fontId="0" fillId="0" borderId="0" xfId="0" applyNumberFormat="1" applyAlignment="1"/>
    <xf numFmtId="187" fontId="0" fillId="0" borderId="0" xfId="0" applyNumberFormat="1" applyAlignment="1"/>
    <xf numFmtId="0" fontId="31" fillId="0" borderId="0" xfId="0" applyFont="1" applyAlignment="1"/>
    <xf numFmtId="0" fontId="0" fillId="2" borderId="12" xfId="0" applyFill="1" applyBorder="1" applyAlignment="1" applyProtection="1">
      <protection locked="0"/>
    </xf>
    <xf numFmtId="176" fontId="8" fillId="11" borderId="5" xfId="0" applyNumberFormat="1" applyFont="1" applyFill="1" applyBorder="1">
      <alignment vertical="center"/>
    </xf>
    <xf numFmtId="0" fontId="9" fillId="11" borderId="4" xfId="0" applyFont="1" applyFill="1" applyBorder="1" applyAlignment="1"/>
    <xf numFmtId="2" fontId="9" fillId="11" borderId="4" xfId="0" applyNumberFormat="1" applyFont="1" applyFill="1" applyBorder="1" applyAlignment="1">
      <alignment horizontal="right"/>
    </xf>
    <xf numFmtId="1" fontId="9" fillId="14" borderId="4" xfId="0" applyNumberFormat="1" applyFont="1" applyFill="1" applyBorder="1" applyAlignment="1"/>
    <xf numFmtId="0" fontId="9" fillId="4" borderId="12" xfId="0" applyFont="1" applyFill="1" applyBorder="1" applyAlignment="1"/>
    <xf numFmtId="1" fontId="8" fillId="5" borderId="5" xfId="0" applyNumberFormat="1" applyFont="1" applyFill="1" applyBorder="1">
      <alignment vertical="center"/>
    </xf>
    <xf numFmtId="0" fontId="8" fillId="11" borderId="5" xfId="0" applyFont="1" applyFill="1" applyBorder="1">
      <alignment vertical="center"/>
    </xf>
    <xf numFmtId="2" fontId="8" fillId="5" borderId="5" xfId="0" applyNumberFormat="1" applyFont="1" applyFill="1" applyBorder="1">
      <alignment vertical="center"/>
    </xf>
    <xf numFmtId="1" fontId="8" fillId="11" borderId="5" xfId="0" applyNumberFormat="1" applyFont="1" applyFill="1" applyBorder="1">
      <alignment vertical="center"/>
    </xf>
    <xf numFmtId="176" fontId="8" fillId="5" borderId="5" xfId="0" applyNumberFormat="1" applyFont="1" applyFill="1" applyBorder="1">
      <alignment vertical="center"/>
    </xf>
    <xf numFmtId="0" fontId="8" fillId="9" borderId="5" xfId="0" applyFont="1" applyFill="1" applyBorder="1">
      <alignment vertical="center"/>
    </xf>
    <xf numFmtId="1" fontId="8" fillId="9" borderId="5" xfId="0" applyNumberFormat="1" applyFont="1" applyFill="1" applyBorder="1">
      <alignment vertical="center"/>
    </xf>
    <xf numFmtId="176" fontId="21" fillId="0" borderId="0" xfId="0" applyNumberFormat="1" applyFont="1" applyAlignment="1"/>
    <xf numFmtId="0" fontId="9" fillId="4" borderId="4" xfId="0" applyFont="1" applyFill="1" applyBorder="1" applyAlignment="1">
      <alignment wrapText="1"/>
    </xf>
    <xf numFmtId="177" fontId="8" fillId="5" borderId="5" xfId="0" applyNumberFormat="1" applyFont="1" applyFill="1" applyBorder="1">
      <alignment vertical="center"/>
    </xf>
    <xf numFmtId="0" fontId="9" fillId="2" borderId="12" xfId="0" applyFont="1" applyFill="1" applyBorder="1" applyAlignment="1" applyProtection="1">
      <protection locked="0"/>
    </xf>
    <xf numFmtId="2" fontId="8" fillId="2" borderId="5" xfId="0" applyNumberFormat="1" applyFont="1" applyFill="1" applyBorder="1" applyProtection="1">
      <alignment vertical="center"/>
      <protection locked="0"/>
    </xf>
    <xf numFmtId="176" fontId="8" fillId="2" borderId="5" xfId="0" applyNumberFormat="1" applyFont="1" applyFill="1" applyBorder="1" applyProtection="1">
      <alignment vertical="center"/>
      <protection locked="0"/>
    </xf>
    <xf numFmtId="178" fontId="9" fillId="9" borderId="15" xfId="1" applyNumberFormat="1" applyFont="1" applyFill="1" applyBorder="1" applyAlignment="1" applyProtection="1">
      <alignment vertical="center"/>
    </xf>
    <xf numFmtId="0" fontId="9" fillId="13" borderId="0" xfId="0" applyFont="1" applyFill="1" applyAlignment="1"/>
    <xf numFmtId="2" fontId="8" fillId="9" borderId="5" xfId="0" applyNumberFormat="1" applyFont="1" applyFill="1" applyBorder="1">
      <alignment vertical="center"/>
    </xf>
    <xf numFmtId="183" fontId="9" fillId="0" borderId="0" xfId="0" applyNumberFormat="1" applyFont="1" applyAlignment="1"/>
    <xf numFmtId="178" fontId="9" fillId="9" borderId="17" xfId="1" applyNumberFormat="1" applyFont="1" applyFill="1" applyBorder="1" applyAlignment="1" applyProtection="1">
      <alignment vertical="center"/>
    </xf>
    <xf numFmtId="178" fontId="9" fillId="9" borderId="4" xfId="0" applyNumberFormat="1" applyFont="1" applyFill="1" applyBorder="1" applyAlignment="1">
      <alignment horizontal="right"/>
    </xf>
    <xf numFmtId="1" fontId="9" fillId="9" borderId="4" xfId="0" applyNumberFormat="1" applyFont="1" applyFill="1" applyBorder="1" applyAlignment="1">
      <alignment horizontal="right"/>
    </xf>
    <xf numFmtId="9" fontId="9" fillId="13" borderId="4" xfId="1" applyFont="1" applyFill="1" applyBorder="1" applyAlignment="1" applyProtection="1"/>
    <xf numFmtId="184" fontId="9" fillId="13" borderId="4" xfId="1" applyNumberFormat="1" applyFont="1" applyFill="1" applyBorder="1" applyAlignment="1" applyProtection="1"/>
    <xf numFmtId="9" fontId="9" fillId="0" borderId="0" xfId="0" applyNumberFormat="1" applyFont="1" applyAlignment="1"/>
    <xf numFmtId="9" fontId="12" fillId="0" borderId="0" xfId="0" applyNumberFormat="1" applyFont="1" applyAlignment="1"/>
    <xf numFmtId="9" fontId="8" fillId="2" borderId="5" xfId="0" applyNumberFormat="1" applyFont="1" applyFill="1" applyBorder="1" applyProtection="1">
      <alignment vertical="center"/>
      <protection locked="0"/>
    </xf>
    <xf numFmtId="0" fontId="9" fillId="0" borderId="60" xfId="0" applyFont="1" applyBorder="1" applyAlignment="1">
      <alignment horizontal="center" vertical="center"/>
    </xf>
    <xf numFmtId="0" fontId="9" fillId="0" borderId="61" xfId="0" applyFont="1" applyBorder="1" applyAlignment="1">
      <alignment horizontal="center" vertical="center"/>
    </xf>
    <xf numFmtId="0" fontId="9" fillId="0" borderId="62" xfId="0" applyFont="1" applyBorder="1" applyAlignment="1">
      <alignment horizontal="center" vertical="center"/>
    </xf>
    <xf numFmtId="0" fontId="9" fillId="10" borderId="12" xfId="0" applyFont="1" applyFill="1" applyBorder="1" applyAlignment="1">
      <alignment horizontal="center" vertical="center"/>
    </xf>
    <xf numFmtId="0" fontId="9" fillId="10" borderId="26" xfId="0" applyFont="1" applyFill="1" applyBorder="1" applyAlignment="1">
      <alignment horizontal="center" vertical="center"/>
    </xf>
    <xf numFmtId="0" fontId="8" fillId="7" borderId="18" xfId="0" applyFont="1" applyFill="1" applyBorder="1" applyAlignment="1" applyProtection="1">
      <alignment horizontal="left" vertical="center"/>
      <protection locked="0"/>
    </xf>
    <xf numFmtId="0" fontId="8" fillId="7" borderId="19" xfId="0" applyFont="1" applyFill="1" applyBorder="1" applyAlignment="1" applyProtection="1">
      <alignment horizontal="left" vertical="center"/>
      <protection locked="0"/>
    </xf>
    <xf numFmtId="0" fontId="8" fillId="7" borderId="13" xfId="0" applyFont="1" applyFill="1" applyBorder="1" applyAlignment="1" applyProtection="1">
      <alignment horizontal="left" vertical="center"/>
      <protection locked="0"/>
    </xf>
    <xf numFmtId="0" fontId="9" fillId="4" borderId="2" xfId="0" applyFont="1" applyFill="1" applyBorder="1" applyAlignment="1">
      <alignment horizontal="center" wrapText="1"/>
    </xf>
    <xf numFmtId="0" fontId="9" fillId="8" borderId="5" xfId="0" applyFont="1" applyFill="1" applyBorder="1" applyAlignment="1">
      <alignment horizontal="left"/>
    </xf>
    <xf numFmtId="0" fontId="9" fillId="8" borderId="7" xfId="0" applyFont="1" applyFill="1" applyBorder="1" applyAlignment="1">
      <alignment horizontal="left"/>
    </xf>
    <xf numFmtId="0" fontId="9" fillId="8" borderId="6" xfId="0" applyFont="1" applyFill="1" applyBorder="1" applyAlignment="1">
      <alignment horizontal="left"/>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7" fillId="4" borderId="5" xfId="0" applyFont="1" applyFill="1" applyBorder="1" applyAlignment="1">
      <alignment horizontal="center" wrapText="1"/>
    </xf>
    <xf numFmtId="0" fontId="7" fillId="4" borderId="6" xfId="0" applyFont="1" applyFill="1" applyBorder="1" applyAlignment="1">
      <alignment horizontal="center" wrapText="1"/>
    </xf>
    <xf numFmtId="178" fontId="9" fillId="2" borderId="5" xfId="0" applyNumberFormat="1" applyFont="1" applyFill="1" applyBorder="1" applyAlignment="1" applyProtection="1">
      <alignment horizontal="center"/>
      <protection locked="0"/>
    </xf>
    <xf numFmtId="178" fontId="9" fillId="2" borderId="7" xfId="0" applyNumberFormat="1" applyFont="1" applyFill="1" applyBorder="1" applyAlignment="1" applyProtection="1">
      <alignment horizontal="center"/>
      <protection locked="0"/>
    </xf>
    <xf numFmtId="0" fontId="8" fillId="4" borderId="5" xfId="0" applyFont="1" applyFill="1" applyBorder="1" applyAlignment="1">
      <alignment horizontal="center" wrapText="1"/>
    </xf>
    <xf numFmtId="0" fontId="8" fillId="4" borderId="6" xfId="0" applyFont="1" applyFill="1" applyBorder="1" applyAlignment="1">
      <alignment horizontal="center" wrapText="1"/>
    </xf>
    <xf numFmtId="0" fontId="8" fillId="4" borderId="7" xfId="0" applyFont="1" applyFill="1" applyBorder="1" applyAlignment="1">
      <alignment horizontal="center" wrapText="1"/>
    </xf>
    <xf numFmtId="0" fontId="6" fillId="4" borderId="7" xfId="0" applyFont="1" applyFill="1" applyBorder="1" applyAlignment="1">
      <alignment horizontal="center" wrapText="1"/>
    </xf>
    <xf numFmtId="0" fontId="6" fillId="4" borderId="6" xfId="0" applyFont="1" applyFill="1" applyBorder="1" applyAlignment="1">
      <alignment horizontal="center" wrapText="1"/>
    </xf>
    <xf numFmtId="178" fontId="9" fillId="2" borderId="6" xfId="0" applyNumberFormat="1" applyFont="1" applyFill="1" applyBorder="1" applyAlignment="1" applyProtection="1">
      <alignment horizontal="center"/>
      <protection locked="0"/>
    </xf>
    <xf numFmtId="0" fontId="0" fillId="0" borderId="31" xfId="0" applyBorder="1" applyAlignment="1">
      <alignment horizontal="center" vertical="center" wrapText="1"/>
    </xf>
    <xf numFmtId="0" fontId="0" fillId="0" borderId="34" xfId="0" applyBorder="1" applyAlignment="1">
      <alignment horizontal="center" vertical="center" wrapText="1"/>
    </xf>
    <xf numFmtId="0" fontId="0" fillId="0" borderId="54" xfId="0" applyBorder="1" applyAlignment="1">
      <alignment horizontal="center" vertical="center" wrapText="1"/>
    </xf>
    <xf numFmtId="0" fontId="9" fillId="4" borderId="2" xfId="0" applyFont="1" applyFill="1" applyBorder="1" applyAlignment="1">
      <alignment horizontal="left" wrapText="1"/>
    </xf>
    <xf numFmtId="0" fontId="0" fillId="0" borderId="55" xfId="0" applyBorder="1" applyAlignment="1">
      <alignment horizontal="center" vertical="center" wrapText="1"/>
    </xf>
    <xf numFmtId="0" fontId="0" fillId="0" borderId="35" xfId="0" applyBorder="1" applyAlignment="1"/>
    <xf numFmtId="0" fontId="0" fillId="0" borderId="37" xfId="0" applyBorder="1" applyAlignment="1"/>
    <xf numFmtId="0" fontId="26" fillId="0" borderId="55" xfId="0" applyFont="1" applyBorder="1" applyAlignment="1">
      <alignment horizontal="center" vertical="center" wrapText="1"/>
    </xf>
    <xf numFmtId="0" fontId="26" fillId="0" borderId="35" xfId="0" applyFont="1" applyBorder="1" applyAlignment="1">
      <alignment horizontal="center" vertical="center" wrapText="1"/>
    </xf>
    <xf numFmtId="0" fontId="26" fillId="0" borderId="37" xfId="0" applyFont="1" applyBorder="1" applyAlignment="1">
      <alignment horizontal="center" vertical="center" wrapText="1"/>
    </xf>
    <xf numFmtId="0" fontId="26" fillId="0" borderId="56"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57"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39"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2"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xf numFmtId="0" fontId="0" fillId="0" borderId="38" xfId="0" applyBorder="1" applyAlignment="1"/>
    <xf numFmtId="0" fontId="0" fillId="0" borderId="33" xfId="0" applyBorder="1" applyAlignment="1">
      <alignment horizontal="center" vertical="center" wrapText="1"/>
    </xf>
    <xf numFmtId="0" fontId="0" fillId="0" borderId="36" xfId="0" applyBorder="1" applyAlignment="1"/>
    <xf numFmtId="0" fontId="0" fillId="0" borderId="39" xfId="0" applyBorder="1" applyAlignment="1"/>
    <xf numFmtId="0" fontId="26" fillId="0" borderId="32" xfId="0" applyFont="1" applyBorder="1" applyAlignment="1">
      <alignment horizontal="center" vertical="center" wrapText="1"/>
    </xf>
    <xf numFmtId="0" fontId="26" fillId="0" borderId="21" xfId="0" applyFont="1" applyBorder="1" applyAlignment="1">
      <alignment horizontal="center" vertical="center" wrapText="1"/>
    </xf>
    <xf numFmtId="0" fontId="0" fillId="0" borderId="66" xfId="0" applyBorder="1" applyAlignment="1">
      <alignment horizontal="center" vertical="center" wrapText="1"/>
    </xf>
    <xf numFmtId="0" fontId="0" fillId="0" borderId="0" xfId="0" applyAlignment="1">
      <alignment horizontal="left" vertical="top" wrapText="1"/>
    </xf>
    <xf numFmtId="0" fontId="28" fillId="0" borderId="18" xfId="0" applyFont="1" applyBorder="1" applyAlignment="1">
      <alignment horizontal="left"/>
    </xf>
    <xf numFmtId="0" fontId="28" fillId="0" borderId="44" xfId="0" applyFont="1" applyBorder="1" applyAlignment="1">
      <alignment horizontal="left"/>
    </xf>
    <xf numFmtId="0" fontId="0" fillId="0" borderId="0" xfId="0" applyAlignment="1">
      <alignment horizontal="center" wrapText="1"/>
    </xf>
    <xf numFmtId="0" fontId="28" fillId="0" borderId="0" xfId="0" applyFont="1" applyAlignment="1">
      <alignment vertical="top" wrapText="1"/>
    </xf>
    <xf numFmtId="0" fontId="28" fillId="0" borderId="0" xfId="0" applyFont="1" applyAlignment="1"/>
    <xf numFmtId="0" fontId="35" fillId="0" borderId="11" xfId="0" applyFont="1" applyBorder="1" applyAlignment="1">
      <alignment horizontal="left" wrapText="1"/>
    </xf>
    <xf numFmtId="0" fontId="28" fillId="0" borderId="31" xfId="0" applyFont="1" applyBorder="1" applyAlignment="1">
      <alignment horizontal="left" vertical="center" wrapText="1"/>
    </xf>
    <xf numFmtId="0" fontId="28" fillId="0" borderId="46" xfId="0" applyFont="1" applyBorder="1" applyAlignment="1">
      <alignment horizontal="left" vertical="center" wrapText="1"/>
    </xf>
    <xf numFmtId="0" fontId="28" fillId="0" borderId="42" xfId="0" applyFont="1" applyBorder="1" applyAlignment="1">
      <alignment horizontal="left" vertical="center" wrapText="1"/>
    </xf>
    <xf numFmtId="0" fontId="9" fillId="4" borderId="3" xfId="0" applyFont="1" applyFill="1" applyBorder="1" applyAlignment="1">
      <alignment horizontal="center" wrapText="1"/>
    </xf>
    <xf numFmtId="192" fontId="0" fillId="0" borderId="0" xfId="0" applyNumberFormat="1">
      <alignment vertical="center"/>
    </xf>
    <xf numFmtId="192" fontId="0" fillId="15" borderId="0" xfId="0" applyNumberFormat="1" applyFill="1">
      <alignment vertical="center"/>
    </xf>
    <xf numFmtId="0" fontId="0" fillId="15" borderId="0" xfId="0" applyFill="1">
      <alignment vertical="center"/>
    </xf>
    <xf numFmtId="181" fontId="0" fillId="15" borderId="0" xfId="0" applyNumberFormat="1" applyFill="1" applyAlignment="1">
      <alignment horizontal="center" vertical="center"/>
    </xf>
    <xf numFmtId="181" fontId="0" fillId="0" borderId="0" xfId="0" quotePrefix="1" applyNumberFormat="1" applyAlignment="1">
      <alignment horizontal="center" vertical="center"/>
    </xf>
    <xf numFmtId="181" fontId="0" fillId="0" borderId="0" xfId="0" applyNumberFormat="1" applyAlignment="1">
      <alignment horizontal="center" vertical="center"/>
    </xf>
  </cellXfs>
  <cellStyles count="4">
    <cellStyle name="パーセント" xfId="1" builtinId="5"/>
    <cellStyle name="桁区切り" xfId="2" builtinId="6"/>
    <cellStyle name="標準" xfId="0" builtinId="0" customBuiltin="1"/>
    <cellStyle name="標準 2" xfId="3" xr:uid="{1611F904-A68D-4A9D-93D4-700AB428C288}"/>
  </cellStyles>
  <dxfs count="13">
    <dxf>
      <font>
        <color theme="0"/>
      </font>
      <border>
        <left/>
        <right/>
        <bottom/>
      </border>
    </dxf>
    <dxf>
      <font>
        <color theme="0"/>
      </font>
      <fill>
        <patternFill patternType="none">
          <bgColor indexed="65"/>
        </patternFill>
      </fill>
    </dxf>
    <dxf>
      <font>
        <color theme="0"/>
      </font>
      <border>
        <left/>
        <right/>
        <bottom/>
      </border>
    </dxf>
    <dxf>
      <font>
        <color theme="0"/>
      </font>
      <border>
        <left/>
        <right/>
        <bottom/>
      </border>
    </dxf>
    <dxf>
      <font>
        <color theme="0"/>
      </font>
      <fill>
        <patternFill patternType="none">
          <bgColor indexed="65"/>
        </patternFill>
      </fill>
    </dxf>
    <dxf>
      <font>
        <color theme="0"/>
      </font>
      <border>
        <left/>
        <right/>
        <bottom/>
      </border>
    </dxf>
    <dxf>
      <font>
        <color theme="0"/>
      </font>
      <fill>
        <patternFill patternType="none">
          <bgColor indexed="65"/>
        </patternFill>
      </fill>
    </dxf>
    <dxf>
      <font>
        <color theme="0"/>
      </font>
      <border>
        <left/>
        <right/>
        <bottom/>
      </border>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66FF"/>
      <color rgb="FFFFFF99"/>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externalLinks/externalLink1.xml" Type="http://schemas.openxmlformats.org/officeDocument/2006/relationships/externalLink"/><Relationship Id="rId17" Target="theme/theme1.xml" Type="http://schemas.openxmlformats.org/officeDocument/2006/relationships/theme"/><Relationship Id="rId18" Target="styles.xml" Type="http://schemas.openxmlformats.org/officeDocument/2006/relationships/styles"/><Relationship Id="rId19" Target="sharedStrings.xml" Type="http://schemas.openxmlformats.org/officeDocument/2006/relationships/sharedStrings"/><Relationship Id="rId2" Target="worksheets/sheet2.xml" Type="http://schemas.openxmlformats.org/officeDocument/2006/relationships/worksheet"/><Relationship Id="rId20" Target="metadata.xml" Type="http://schemas.openxmlformats.org/officeDocument/2006/relationships/sheetMetadata"/><Relationship Id="rId21" Target="calcChain.xml" Type="http://schemas.openxmlformats.org/officeDocument/2006/relationships/calcChain"/><Relationship Id="rId22" Target="../customXml/item1.xml" Type="http://schemas.openxmlformats.org/officeDocument/2006/relationships/customXml"/><Relationship Id="rId23" Target="../customXml/item2.xml" Type="http://schemas.openxmlformats.org/officeDocument/2006/relationships/customXml"/><Relationship Id="rId24"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externalLinks/_rels/externalLink1.xml.rels><?xml version="1.0" encoding="UTF-8" standalone="yes"?><Relationships xmlns="http://schemas.openxmlformats.org/package/2006/relationships"><Relationship Id="rId1" Target="file:///C:/Users/&#20234;&#34276;&#21644;&#30007;(ITOKazuo)/Downloads/000390314%20(1).xlsx" TargetMode="External" Type="http://schemas.openxmlformats.org/officeDocument/2006/relationships/externalLinkPath"/><Relationship Id="rId2" Target="file:///C:/Users/&#20234;&#34276;&#21644;&#30007;(ITOKazuo)/Downloads/000390314%20(1).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改訂履歴"/>
      <sheetName val="第１段階(水田）"/>
      <sheetName val="第１段階(非水田）"/>
      <sheetName val="第２段階（水田、地上防除）"/>
      <sheetName val="第２段階（水田、航空防除）"/>
      <sheetName val="第2段階(非水田）"/>
    </sheetNames>
    <sheetDataSet>
      <sheetData sheetId="0" refreshError="1"/>
      <sheetData sheetId="1"/>
      <sheetData sheetId="2"/>
      <sheetData sheetId="3" refreshError="1"/>
      <sheetData sheetId="4" refreshError="1"/>
      <sheetData sheetId="5">
        <row r="21">
          <cell r="H21">
            <v>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584B1-8392-4559-9CD6-450645F9651D}">
  <dimension ref="A1:C2"/>
  <sheetViews>
    <sheetView tabSelected="1" workbookViewId="0">
      <selection sqref="A1:XFD1048576"/>
    </sheetView>
  </sheetViews>
  <sheetFormatPr defaultRowHeight="13"/>
  <cols>
    <col min="1" max="1" width="15.453125" style="334" customWidth="1"/>
    <col min="2" max="2" width="43.90625" customWidth="1"/>
    <col min="3" max="3" width="8.7265625" style="339"/>
  </cols>
  <sheetData>
    <row r="1" spans="1:3">
      <c r="A1" s="335" t="s">
        <v>278</v>
      </c>
      <c r="B1" s="336" t="s">
        <v>279</v>
      </c>
      <c r="C1" s="337" t="s">
        <v>280</v>
      </c>
    </row>
    <row r="2" spans="1:3" ht="39.5" customHeight="1">
      <c r="A2" s="334">
        <v>46204</v>
      </c>
      <c r="B2" t="s">
        <v>282</v>
      </c>
      <c r="C2" s="338" t="s">
        <v>281</v>
      </c>
    </row>
  </sheetData>
  <sheetProtection algorithmName="SHA-512" hashValue="PUbWn99W2XNY6rGV/HsYsZ3wbD2KESp9b7WsydZo+YuySqphY2/QGMS4qoJWZChEyyxWwi1vgwnWSi7Yg2YvTw==" saltValue="3XgM01rLoMppPALjIwIzcA==" spinCount="100000" sheet="1" objects="1" scenarios="1"/>
  <phoneticPr fontId="4"/>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93E94-C13E-42AC-BD72-203B63F93559}">
  <sheetPr codeName="Sheet2"/>
  <dimension ref="A1:U42"/>
  <sheetViews>
    <sheetView zoomScaleNormal="100" workbookViewId="0">
      <selection activeCell="I17" sqref="I17"/>
    </sheetView>
  </sheetViews>
  <sheetFormatPr defaultColWidth="9" defaultRowHeight="18"/>
  <cols>
    <col min="1" max="1" width="9" style="65"/>
    <col min="2" max="2" width="17.81640625" style="65" customWidth="1"/>
    <col min="3" max="3" width="12.453125" style="65" customWidth="1"/>
    <col min="4" max="4" width="2.81640625" style="65" customWidth="1"/>
    <col min="5" max="5" width="13" style="65" customWidth="1"/>
    <col min="6" max="6" width="9.453125" style="65" customWidth="1"/>
    <col min="7" max="7" width="11.453125" style="65" customWidth="1"/>
    <col min="8" max="8" width="3.7265625" style="65" customWidth="1"/>
    <col min="9" max="9" width="12.1796875" style="65" customWidth="1"/>
    <col min="10" max="10" width="4.1796875" style="65" customWidth="1"/>
    <col min="11" max="11" width="13.26953125" style="65" customWidth="1"/>
    <col min="12" max="12" width="5.453125" style="65" customWidth="1"/>
    <col min="13" max="19" width="9" style="65"/>
    <col min="20" max="20" width="21.453125" style="65" bestFit="1" customWidth="1"/>
    <col min="21" max="21" width="14.1796875" style="65" customWidth="1"/>
    <col min="22" max="16384" width="9" style="65"/>
  </cols>
  <sheetData>
    <row r="1" spans="1:21" ht="19.5" customHeight="1">
      <c r="A1" s="64" t="s">
        <v>155</v>
      </c>
    </row>
    <row r="2" spans="1:21">
      <c r="M2" s="101"/>
      <c r="N2" s="63" t="s">
        <v>3</v>
      </c>
    </row>
    <row r="3" spans="1:21">
      <c r="A3" s="65" t="s">
        <v>75</v>
      </c>
      <c r="M3" s="69"/>
      <c r="N3" s="63" t="s">
        <v>76</v>
      </c>
    </row>
    <row r="4" spans="1:21" ht="19.5" customHeight="1" thickBot="1">
      <c r="B4" s="102" t="s">
        <v>77</v>
      </c>
      <c r="C4" s="103" t="s">
        <v>78</v>
      </c>
      <c r="D4" s="104"/>
      <c r="E4" s="294" t="s">
        <v>79</v>
      </c>
      <c r="F4" s="294"/>
      <c r="G4" s="103" t="s">
        <v>125</v>
      </c>
      <c r="H4" s="105"/>
      <c r="I4" s="104" t="s">
        <v>156</v>
      </c>
      <c r="J4" s="104"/>
      <c r="K4" s="102" t="s">
        <v>157</v>
      </c>
      <c r="L4" s="147"/>
      <c r="M4" s="70"/>
      <c r="N4" s="63" t="s">
        <v>38</v>
      </c>
    </row>
    <row r="5" spans="1:21" ht="19" thickTop="1" thickBot="1">
      <c r="B5" s="22"/>
      <c r="C5" s="23"/>
      <c r="D5" s="106" t="s">
        <v>82</v>
      </c>
      <c r="E5" s="24"/>
      <c r="F5" s="106" t="s">
        <v>83</v>
      </c>
      <c r="G5" s="24"/>
      <c r="H5" s="106" t="s">
        <v>84</v>
      </c>
      <c r="I5" s="46"/>
      <c r="J5" s="148" t="s">
        <v>158</v>
      </c>
      <c r="K5" s="24"/>
      <c r="L5" s="149"/>
    </row>
    <row r="6" spans="1:21" ht="18.5" thickTop="1"/>
    <row r="7" spans="1:21" ht="18.5" thickBot="1">
      <c r="A7" s="65" t="s">
        <v>159</v>
      </c>
    </row>
    <row r="8" spans="1:21" ht="21" thickTop="1" thickBot="1">
      <c r="B8" s="107" t="s">
        <v>93</v>
      </c>
      <c r="C8" s="119" t="str">
        <f>IFERROR(IF(ISBLANK($E$5),"",SUM(Q21:Q41)*$K$5/0.5/21),"")</f>
        <v/>
      </c>
      <c r="D8" s="127" t="s">
        <v>160</v>
      </c>
      <c r="E8" s="121"/>
      <c r="F8" s="122"/>
      <c r="K8" s="116" t="s">
        <v>161</v>
      </c>
    </row>
    <row r="9" spans="1:21" ht="19" thickTop="1" thickBot="1">
      <c r="K9" s="116" t="s">
        <v>162</v>
      </c>
    </row>
    <row r="10" spans="1:21" ht="19" thickTop="1" thickBot="1">
      <c r="B10" s="107" t="s">
        <v>95</v>
      </c>
      <c r="C10" s="150" t="str">
        <f>IFERROR(IF(ISBLANK($E$5),"",3*0.1*C8*0.001*0.71/0.022),"")</f>
        <v/>
      </c>
      <c r="D10" s="120" t="s">
        <v>17</v>
      </c>
      <c r="E10" s="121"/>
      <c r="F10" s="122"/>
      <c r="K10" s="116" t="s">
        <v>163</v>
      </c>
    </row>
    <row r="11" spans="1:21" ht="18.5" thickTop="1"/>
    <row r="12" spans="1:21" ht="18.5" thickBot="1">
      <c r="A12" s="65" t="s">
        <v>96</v>
      </c>
    </row>
    <row r="13" spans="1:21" ht="21" thickTop="1" thickBot="1">
      <c r="B13" s="102" t="s">
        <v>157</v>
      </c>
      <c r="C13" s="175" t="s">
        <v>164</v>
      </c>
      <c r="D13" s="121" t="s">
        <v>165</v>
      </c>
      <c r="E13" s="121"/>
      <c r="F13" s="122"/>
      <c r="G13" s="116" t="s">
        <v>166</v>
      </c>
    </row>
    <row r="14" spans="1:21" ht="19" thickTop="1" thickBot="1">
      <c r="B14" s="107" t="s">
        <v>167</v>
      </c>
      <c r="C14" s="119" t="str" cm="1">
        <f t="array" ref="C14">IF(ISBLANK(E5),"",MAX(IF(ISNUMBER(U17:U18),U17:U18,"")))</f>
        <v/>
      </c>
      <c r="D14" s="121" t="s">
        <v>160</v>
      </c>
      <c r="E14" s="121"/>
      <c r="F14" s="122"/>
      <c r="M14" s="151"/>
    </row>
    <row r="15" spans="1:21" ht="20.25" customHeight="1" thickTop="1" thickBot="1">
      <c r="M15" s="151" t="s">
        <v>168</v>
      </c>
    </row>
    <row r="16" spans="1:21" ht="42" customHeight="1" thickTop="1" thickBot="1">
      <c r="B16" s="107" t="s">
        <v>95</v>
      </c>
      <c r="C16" s="134" t="str">
        <f>IF(ISBLANK($E$5),"",3*0.1*C14*0.001*0.71/0.022)</f>
        <v/>
      </c>
      <c r="D16" s="120" t="s">
        <v>17</v>
      </c>
      <c r="E16" s="121"/>
      <c r="F16" s="122"/>
      <c r="M16" s="295" t="s">
        <v>169</v>
      </c>
      <c r="N16" s="298" t="s">
        <v>170</v>
      </c>
      <c r="O16" s="301" t="s">
        <v>171</v>
      </c>
      <c r="P16" s="304" t="s">
        <v>172</v>
      </c>
      <c r="Q16" s="291" t="s">
        <v>173</v>
      </c>
      <c r="T16" s="152"/>
      <c r="U16" s="153" t="s">
        <v>174</v>
      </c>
    </row>
    <row r="17" spans="9:21" ht="18.5" thickTop="1">
      <c r="M17" s="296"/>
      <c r="N17" s="299"/>
      <c r="O17" s="302"/>
      <c r="P17" s="305"/>
      <c r="Q17" s="292"/>
      <c r="T17" s="154" t="s">
        <v>175</v>
      </c>
      <c r="U17" s="155" t="e">
        <f>IF($C$13="-",SUM(水質汚濁性試験結果入力①!I44:I64)/21,SUM(水質汚濁性試験結果入力①!I44:I64)*$C$13/21)</f>
        <v>#VALUE!</v>
      </c>
    </row>
    <row r="18" spans="9:21" ht="18.5" thickBot="1">
      <c r="M18" s="296"/>
      <c r="N18" s="299"/>
      <c r="O18" s="302"/>
      <c r="P18" s="305"/>
      <c r="Q18" s="292"/>
      <c r="T18" s="156" t="s">
        <v>176</v>
      </c>
      <c r="U18" s="157" t="e">
        <f>IF($C$13="-",SUM(水質汚濁性試験結果入力②!I44:I64)/21,SUM(水質汚濁性試験結果入力②!I44:I64)*$C$13/21)</f>
        <v>#VALUE!</v>
      </c>
    </row>
    <row r="19" spans="9:21" ht="18.5" thickTop="1">
      <c r="M19" s="296"/>
      <c r="N19" s="299"/>
      <c r="O19" s="302"/>
      <c r="P19" s="305"/>
      <c r="Q19" s="292"/>
    </row>
    <row r="20" spans="9:21" ht="18.5" thickBot="1">
      <c r="M20" s="297"/>
      <c r="N20" s="300"/>
      <c r="O20" s="303"/>
      <c r="P20" s="306"/>
      <c r="Q20" s="293"/>
    </row>
    <row r="21" spans="9:21" ht="18.5" thickTop="1">
      <c r="I21" s="158"/>
      <c r="M21" s="159">
        <v>0</v>
      </c>
      <c r="N21" s="160">
        <f>$E$5</f>
        <v>0</v>
      </c>
      <c r="O21" s="161" t="str">
        <f>IF('田面水シナリオ '!$G$5&gt;1,IF('田面水シナリオ '!$I$5&gt;M21," ",VLOOKUP((M21-'田面水シナリオ '!$I$5),$M$21:$N$41,2,FALSE)),"")</f>
        <v/>
      </c>
      <c r="P21" s="162" t="str">
        <f>IF('田面水シナリオ '!$G$5&gt;2,IF('田面水シナリオ '!$I$5*2&gt;M21," ",VLOOKUP((M21-'田面水シナリオ '!$I$5*2),$M$21:$N$41,2,FALSE)),"")</f>
        <v/>
      </c>
      <c r="Q21" s="163">
        <f>SUM(N21:P21)</f>
        <v>0</v>
      </c>
    </row>
    <row r="22" spans="9:21">
      <c r="I22" s="158"/>
      <c r="M22" s="164">
        <v>1</v>
      </c>
      <c r="N22" s="165">
        <f t="shared" ref="N22:N41" si="0">$E$5</f>
        <v>0</v>
      </c>
      <c r="O22" s="166" t="str">
        <f>IF('田面水シナリオ '!$G$5&gt;1,IF('田面水シナリオ '!$I$5&gt;M22," ",VLOOKUP((M22-'田面水シナリオ '!$I$5),$M$21:$N$41,2,FALSE)),"")</f>
        <v/>
      </c>
      <c r="P22" s="167" t="str">
        <f>IF('田面水シナリオ '!$G$5&gt;2,IF('田面水シナリオ '!$I$5*2&gt;M22," ",VLOOKUP((M22-'田面水シナリオ '!$I$5*2),$M$21:$N$41,2,FALSE)),"")</f>
        <v/>
      </c>
      <c r="Q22" s="168">
        <f t="shared" ref="Q22:Q41" si="1">SUM(N22:P22)</f>
        <v>0</v>
      </c>
    </row>
    <row r="23" spans="9:21">
      <c r="I23" s="158"/>
      <c r="M23" s="164">
        <v>2</v>
      </c>
      <c r="N23" s="165">
        <f t="shared" si="0"/>
        <v>0</v>
      </c>
      <c r="O23" s="166" t="str">
        <f>IF('田面水シナリオ '!$G$5&gt;1,IF('田面水シナリオ '!$I$5&gt;M23," ",VLOOKUP((M23-'田面水シナリオ '!$I$5),$M$21:$N$41,2,FALSE)),"")</f>
        <v/>
      </c>
      <c r="P23" s="167" t="str">
        <f>IF('田面水シナリオ '!$G$5&gt;2,IF('田面水シナリオ '!$I$5*2&gt;M23," ",VLOOKUP((M23-'田面水シナリオ '!$I$5*2),$M$21:$N$41,2,FALSE)),"")</f>
        <v/>
      </c>
      <c r="Q23" s="168">
        <f t="shared" si="1"/>
        <v>0</v>
      </c>
    </row>
    <row r="24" spans="9:21">
      <c r="I24" s="158"/>
      <c r="M24" s="164">
        <v>3</v>
      </c>
      <c r="N24" s="165">
        <f t="shared" si="0"/>
        <v>0</v>
      </c>
      <c r="O24" s="166" t="str">
        <f>IF('田面水シナリオ '!$G$5&gt;1,IF('田面水シナリオ '!$I$5&gt;M24," ",VLOOKUP((M24-'田面水シナリオ '!$I$5),$M$21:$N$41,2,FALSE)),"")</f>
        <v/>
      </c>
      <c r="P24" s="167" t="str">
        <f>IF('田面水シナリオ '!$G$5&gt;2,IF('田面水シナリオ '!$I$5*2&gt;M24," ",VLOOKUP((M24-'田面水シナリオ '!$I$5*2),$M$21:$N$41,2,FALSE)),"")</f>
        <v/>
      </c>
      <c r="Q24" s="168">
        <f t="shared" si="1"/>
        <v>0</v>
      </c>
    </row>
    <row r="25" spans="9:21">
      <c r="I25" s="158"/>
      <c r="M25" s="164">
        <v>4</v>
      </c>
      <c r="N25" s="165">
        <f t="shared" si="0"/>
        <v>0</v>
      </c>
      <c r="O25" s="166" t="str">
        <f>IF('田面水シナリオ '!$G$5&gt;1,IF('田面水シナリオ '!$I$5&gt;M25," ",VLOOKUP((M25-'田面水シナリオ '!$I$5),$M$21:$N$41,2,FALSE)),"")</f>
        <v/>
      </c>
      <c r="P25" s="167" t="str">
        <f>IF('田面水シナリオ '!$G$5&gt;2,IF('田面水シナリオ '!$I$5*2&gt;M25," ",VLOOKUP((M25-'田面水シナリオ '!$I$5*2),$M$21:$N$41,2,FALSE)),"")</f>
        <v/>
      </c>
      <c r="Q25" s="168">
        <f t="shared" si="1"/>
        <v>0</v>
      </c>
    </row>
    <row r="26" spans="9:21">
      <c r="M26" s="164">
        <v>5</v>
      </c>
      <c r="N26" s="165">
        <f t="shared" si="0"/>
        <v>0</v>
      </c>
      <c r="O26" s="166" t="str">
        <f>IF('田面水シナリオ '!$G$5&gt;1,IF('田面水シナリオ '!$I$5&gt;M26," ",VLOOKUP((M26-'田面水シナリオ '!$I$5),$M$21:$N$41,2,FALSE)),"")</f>
        <v/>
      </c>
      <c r="P26" s="167" t="str">
        <f>IF('田面水シナリオ '!$G$5&gt;2,IF('田面水シナリオ '!$I$5*2&gt;M26," ",VLOOKUP((M26-'田面水シナリオ '!$I$5*2),$M$21:$N$41,2,FALSE)),"")</f>
        <v/>
      </c>
      <c r="Q26" s="168">
        <f t="shared" si="1"/>
        <v>0</v>
      </c>
    </row>
    <row r="27" spans="9:21">
      <c r="M27" s="164">
        <v>6</v>
      </c>
      <c r="N27" s="165">
        <f t="shared" si="0"/>
        <v>0</v>
      </c>
      <c r="O27" s="166" t="str">
        <f>IF('田面水シナリオ '!$G$5&gt;1,IF('田面水シナリオ '!$I$5&gt;M27," ",VLOOKUP((M27-'田面水シナリオ '!$I$5),$M$21:$N$41,2,FALSE)),"")</f>
        <v/>
      </c>
      <c r="P27" s="167" t="str">
        <f>IF('田面水シナリオ '!$G$5&gt;2,IF('田面水シナリオ '!$I$5*2&gt;M27," ",VLOOKUP((M27-'田面水シナリオ '!$I$5*2),$M$21:$N$41,2,FALSE)),"")</f>
        <v/>
      </c>
      <c r="Q27" s="168">
        <f t="shared" si="1"/>
        <v>0</v>
      </c>
    </row>
    <row r="28" spans="9:21">
      <c r="M28" s="164">
        <v>7</v>
      </c>
      <c r="N28" s="165">
        <f t="shared" si="0"/>
        <v>0</v>
      </c>
      <c r="O28" s="166" t="str">
        <f>IF('田面水シナリオ '!$G$5&gt;1,IF('田面水シナリオ '!$I$5&gt;M28," ",VLOOKUP((M28-'田面水シナリオ '!$I$5),$M$21:$N$41,2,FALSE)),"")</f>
        <v/>
      </c>
      <c r="P28" s="167" t="str">
        <f>IF('田面水シナリオ '!$G$5&gt;2,IF('田面水シナリオ '!$I$5*2&gt;M28," ",VLOOKUP((M28-'田面水シナリオ '!$I$5*2),$M$21:$N$41,2,FALSE)),"")</f>
        <v/>
      </c>
      <c r="Q28" s="168">
        <f t="shared" si="1"/>
        <v>0</v>
      </c>
    </row>
    <row r="29" spans="9:21">
      <c r="M29" s="164">
        <v>8</v>
      </c>
      <c r="N29" s="165">
        <f t="shared" si="0"/>
        <v>0</v>
      </c>
      <c r="O29" s="166" t="str">
        <f>IF('田面水シナリオ '!$G$5&gt;1,IF('田面水シナリオ '!$I$5&gt;M29," ",VLOOKUP((M29-'田面水シナリオ '!$I$5),$M$21:$N$41,2,FALSE)),"")</f>
        <v/>
      </c>
      <c r="P29" s="167" t="str">
        <f>IF('田面水シナリオ '!$G$5&gt;2,IF('田面水シナリオ '!$I$5*2&gt;M29," ",VLOOKUP((M29-'田面水シナリオ '!$I$5*2),$M$21:$N$41,2,FALSE)),"")</f>
        <v/>
      </c>
      <c r="Q29" s="168">
        <f t="shared" si="1"/>
        <v>0</v>
      </c>
    </row>
    <row r="30" spans="9:21">
      <c r="M30" s="164">
        <v>9</v>
      </c>
      <c r="N30" s="165">
        <f t="shared" si="0"/>
        <v>0</v>
      </c>
      <c r="O30" s="166" t="str">
        <f>IF('田面水シナリオ '!$G$5&gt;1,IF('田面水シナリオ '!$I$5&gt;M30," ",VLOOKUP((M30-'田面水シナリオ '!$I$5),$M$21:$N$41,2,FALSE)),"")</f>
        <v/>
      </c>
      <c r="P30" s="167" t="str">
        <f>IF('田面水シナリオ '!$G$5&gt;2,IF('田面水シナリオ '!$I$5*2&gt;M30," ",VLOOKUP((M30-'田面水シナリオ '!$I$5*2),$M$21:$N$41,2,FALSE)),"")</f>
        <v/>
      </c>
      <c r="Q30" s="168">
        <f t="shared" si="1"/>
        <v>0</v>
      </c>
    </row>
    <row r="31" spans="9:21">
      <c r="M31" s="164">
        <v>10</v>
      </c>
      <c r="N31" s="165">
        <f t="shared" si="0"/>
        <v>0</v>
      </c>
      <c r="O31" s="166" t="str">
        <f>IF('田面水シナリオ '!$G$5&gt;1,IF('田面水シナリオ '!$I$5&gt;M31," ",VLOOKUP((M31-'田面水シナリオ '!$I$5),$M$21:$N$41,2,FALSE)),"")</f>
        <v/>
      </c>
      <c r="P31" s="167" t="str">
        <f>IF('田面水シナリオ '!$G$5&gt;2,IF('田面水シナリオ '!$I$5*2&gt;M31," ",VLOOKUP((M31-'田面水シナリオ '!$I$5*2),$M$21:$N$41,2,FALSE)),"")</f>
        <v/>
      </c>
      <c r="Q31" s="168">
        <f t="shared" si="1"/>
        <v>0</v>
      </c>
    </row>
    <row r="32" spans="9:21">
      <c r="M32" s="164">
        <v>11</v>
      </c>
      <c r="N32" s="165">
        <f t="shared" si="0"/>
        <v>0</v>
      </c>
      <c r="O32" s="166" t="str">
        <f>IF('田面水シナリオ '!$G$5&gt;1,IF('田面水シナリオ '!$I$5&gt;M32," ",VLOOKUP((M32-'田面水シナリオ '!$I$5),$M$21:$N$41,2,FALSE)),"")</f>
        <v/>
      </c>
      <c r="P32" s="167" t="str">
        <f>IF('田面水シナリオ '!$G$5&gt;2,IF('田面水シナリオ '!$I$5*2&gt;M32," ",VLOOKUP((M32-'田面水シナリオ '!$I$5*2),$M$21:$N$41,2,FALSE)),"")</f>
        <v/>
      </c>
      <c r="Q32" s="168">
        <f t="shared" si="1"/>
        <v>0</v>
      </c>
    </row>
    <row r="33" spans="13:17">
      <c r="M33" s="164">
        <v>12</v>
      </c>
      <c r="N33" s="165">
        <f t="shared" si="0"/>
        <v>0</v>
      </c>
      <c r="O33" s="166" t="str">
        <f>IF('田面水シナリオ '!$G$5&gt;1,IF('田面水シナリオ '!$I$5&gt;M33," ",VLOOKUP((M33-'田面水シナリオ '!$I$5),$M$21:$N$41,2,FALSE)),"")</f>
        <v/>
      </c>
      <c r="P33" s="167" t="str">
        <f>IF('田面水シナリオ '!$G$5&gt;2,IF('田面水シナリオ '!$I$5*2&gt;M33," ",VLOOKUP((M33-'田面水シナリオ '!$I$5*2),$M$21:$N$41,2,FALSE)),"")</f>
        <v/>
      </c>
      <c r="Q33" s="168">
        <f t="shared" si="1"/>
        <v>0</v>
      </c>
    </row>
    <row r="34" spans="13:17">
      <c r="M34" s="164">
        <v>13</v>
      </c>
      <c r="N34" s="165">
        <f t="shared" si="0"/>
        <v>0</v>
      </c>
      <c r="O34" s="166" t="str">
        <f>IF('田面水シナリオ '!$G$5&gt;1,IF('田面水シナリオ '!$I$5&gt;M34," ",VLOOKUP((M34-'田面水シナリオ '!$I$5),$M$21:$N$41,2,FALSE)),"")</f>
        <v/>
      </c>
      <c r="P34" s="167" t="str">
        <f>IF('田面水シナリオ '!$G$5&gt;2,IF('田面水シナリオ '!$I$5*2&gt;M34," ",VLOOKUP((M34-'田面水シナリオ '!$I$5*2),$M$21:$N$41,2,FALSE)),"")</f>
        <v/>
      </c>
      <c r="Q34" s="168">
        <f t="shared" si="1"/>
        <v>0</v>
      </c>
    </row>
    <row r="35" spans="13:17">
      <c r="M35" s="164">
        <v>14</v>
      </c>
      <c r="N35" s="165">
        <f t="shared" si="0"/>
        <v>0</v>
      </c>
      <c r="O35" s="166" t="str">
        <f>IF('田面水シナリオ '!$G$5&gt;1,IF('田面水シナリオ '!$I$5&gt;M35," ",VLOOKUP((M35-'田面水シナリオ '!$I$5),$M$21:$N$41,2,FALSE)),"")</f>
        <v/>
      </c>
      <c r="P35" s="167" t="str">
        <f>IF('田面水シナリオ '!$G$5&gt;2,IF('田面水シナリオ '!$I$5*2&gt;M35," ",VLOOKUP((M35-'田面水シナリオ '!$I$5*2),$M$21:$N$41,2,FALSE)),"")</f>
        <v/>
      </c>
      <c r="Q35" s="168">
        <f t="shared" si="1"/>
        <v>0</v>
      </c>
    </row>
    <row r="36" spans="13:17">
      <c r="M36" s="169">
        <v>15</v>
      </c>
      <c r="N36" s="165">
        <f t="shared" si="0"/>
        <v>0</v>
      </c>
      <c r="O36" s="166" t="str">
        <f>IF('田面水シナリオ '!$G$5&gt;1,IF('田面水シナリオ '!$I$5&gt;M36," ",VLOOKUP((M36-'田面水シナリオ '!$I$5),$M$21:$N$41,2,FALSE)),"")</f>
        <v/>
      </c>
      <c r="P36" s="167" t="str">
        <f>IF('田面水シナリオ '!$G$5&gt;2,IF('田面水シナリオ '!$I$5*2&gt;M36," ",VLOOKUP((M36-'田面水シナリオ '!$I$5*2),$M$21:$N$41,2,FALSE)),"")</f>
        <v/>
      </c>
      <c r="Q36" s="168">
        <f t="shared" si="1"/>
        <v>0</v>
      </c>
    </row>
    <row r="37" spans="13:17">
      <c r="M37" s="164">
        <v>16</v>
      </c>
      <c r="N37" s="165">
        <f t="shared" si="0"/>
        <v>0</v>
      </c>
      <c r="O37" s="166" t="str">
        <f>IF('田面水シナリオ '!$G$5&gt;1,IF('田面水シナリオ '!$I$5&gt;M37," ",VLOOKUP((M37-'田面水シナリオ '!$I$5),$M$21:$N$41,2,FALSE)),"")</f>
        <v/>
      </c>
      <c r="P37" s="167" t="str">
        <f>IF('田面水シナリオ '!$G$5&gt;2,IF('田面水シナリオ '!$I$5*2&gt;M37," ",VLOOKUP((M37-'田面水シナリオ '!$I$5*2),$M$21:$N$41,2,FALSE)),"")</f>
        <v/>
      </c>
      <c r="Q37" s="168">
        <f t="shared" si="1"/>
        <v>0</v>
      </c>
    </row>
    <row r="38" spans="13:17">
      <c r="M38" s="164">
        <v>17</v>
      </c>
      <c r="N38" s="165">
        <f t="shared" si="0"/>
        <v>0</v>
      </c>
      <c r="O38" s="166" t="str">
        <f>IF('田面水シナリオ '!$G$5&gt;1,IF('田面水シナリオ '!$I$5&gt;M38," ",VLOOKUP((M38-'田面水シナリオ '!$I$5),$M$21:$N$41,2,FALSE)),"")</f>
        <v/>
      </c>
      <c r="P38" s="167" t="str">
        <f>IF('田面水シナリオ '!$G$5&gt;2,IF('田面水シナリオ '!$I$5*2&gt;M38," ",VLOOKUP((M38-'田面水シナリオ '!$I$5*2),$M$21:$N$41,2,FALSE)),"")</f>
        <v/>
      </c>
      <c r="Q38" s="168">
        <f t="shared" si="1"/>
        <v>0</v>
      </c>
    </row>
    <row r="39" spans="13:17">
      <c r="M39" s="164">
        <v>18</v>
      </c>
      <c r="N39" s="165">
        <f t="shared" si="0"/>
        <v>0</v>
      </c>
      <c r="O39" s="166" t="str">
        <f>IF('田面水シナリオ '!$G$5&gt;1,IF('田面水シナリオ '!$I$5&gt;M39," ",VLOOKUP((M39-'田面水シナリオ '!$I$5),$M$21:$N$41,2,FALSE)),"")</f>
        <v/>
      </c>
      <c r="P39" s="167" t="str">
        <f>IF('田面水シナリオ '!$G$5&gt;2,IF('田面水シナリオ '!$I$5*2&gt;M39," ",VLOOKUP((M39-'田面水シナリオ '!$I$5*2),$M$21:$N$41,2,FALSE)),"")</f>
        <v/>
      </c>
      <c r="Q39" s="168">
        <f t="shared" si="1"/>
        <v>0</v>
      </c>
    </row>
    <row r="40" spans="13:17">
      <c r="M40" s="164">
        <v>19</v>
      </c>
      <c r="N40" s="165">
        <f t="shared" si="0"/>
        <v>0</v>
      </c>
      <c r="O40" s="166" t="str">
        <f>IF('田面水シナリオ '!$G$5&gt;1,IF('田面水シナリオ '!$I$5&gt;M40," ",VLOOKUP((M40-'田面水シナリオ '!$I$5),$M$21:$N$41,2,FALSE)),"")</f>
        <v/>
      </c>
      <c r="P40" s="167" t="str">
        <f>IF('田面水シナリオ '!$G$5&gt;2,IF('田面水シナリオ '!$I$5*2&gt;M40," ",VLOOKUP((M40-'田面水シナリオ '!$I$5*2),$M$21:$N$41,2,FALSE)),"")</f>
        <v/>
      </c>
      <c r="Q40" s="168">
        <f t="shared" si="1"/>
        <v>0</v>
      </c>
    </row>
    <row r="41" spans="13:17" ht="18.5" thickBot="1">
      <c r="M41" s="170">
        <v>20</v>
      </c>
      <c r="N41" s="171">
        <f t="shared" si="0"/>
        <v>0</v>
      </c>
      <c r="O41" s="172" t="str">
        <f>IF('田面水シナリオ '!$G$5&gt;1,IF('田面水シナリオ '!$I$5&gt;M41," ",VLOOKUP((M41-'田面水シナリオ '!$I$5),$M$21:$N$41,2,FALSE)),"")</f>
        <v/>
      </c>
      <c r="P41" s="173" t="str">
        <f>IF('田面水シナリオ '!$G$5&gt;2,IF('田面水シナリオ '!$I$5*2&gt;M41," ",VLOOKUP((M41-'田面水シナリオ '!$I$5*2),$M$21:$N$41,2,FALSE)),"")</f>
        <v/>
      </c>
      <c r="Q41" s="174">
        <f t="shared" si="1"/>
        <v>0</v>
      </c>
    </row>
    <row r="42" spans="13:17" ht="18.5" thickTop="1"/>
  </sheetData>
  <sheetProtection algorithmName="SHA-512" hashValue="wAfioP8Ie9+vgG2nSJxm5xVz9dcY44v6ST108uihou7Hou3rwyQrLegvyBxXd7tlMbwpUJ8dVGv4rx6rDh7Mcg==" saltValue="izBYtZsJ99q+dSiY6P0Uug==" spinCount="100000" sheet="1" objects="1" scenarios="1"/>
  <mergeCells count="6">
    <mergeCell ref="Q16:Q20"/>
    <mergeCell ref="E4:F4"/>
    <mergeCell ref="M16:M20"/>
    <mergeCell ref="N16:N20"/>
    <mergeCell ref="O16:O20"/>
    <mergeCell ref="P16:P20"/>
  </mergeCells>
  <phoneticPr fontId="4"/>
  <conditionalFormatting sqref="M21:M35 Q21:Q35">
    <cfRule type="expression" dxfId="7" priority="41" stopIfTrue="1">
      <formula>MAX($J$56:$J$77)+14&lt;$B21</formula>
    </cfRule>
  </conditionalFormatting>
  <conditionalFormatting sqref="Q21:Q35">
    <cfRule type="expression" dxfId="6" priority="43">
      <formula>MAX($J$58:$J$77)+4&lt;$B21</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82AD-1859-4751-A68B-1D5DE2608AF3}">
  <sheetPr codeName="Sheet8"/>
  <dimension ref="B2:AL594"/>
  <sheetViews>
    <sheetView zoomScaleNormal="100" workbookViewId="0">
      <selection activeCell="F11" sqref="F11"/>
    </sheetView>
  </sheetViews>
  <sheetFormatPr defaultRowHeight="13"/>
  <cols>
    <col min="2" max="2" width="11.26953125" customWidth="1"/>
    <col min="3" max="3" width="23.81640625" customWidth="1"/>
    <col min="4" max="38" width="11.26953125" customWidth="1"/>
  </cols>
  <sheetData>
    <row r="2" spans="2:38">
      <c r="B2" s="176"/>
      <c r="C2" s="177"/>
      <c r="D2" s="177"/>
      <c r="E2" s="177"/>
      <c r="F2" s="177"/>
      <c r="G2" s="177"/>
      <c r="H2" s="323"/>
      <c r="I2" s="323"/>
      <c r="J2" s="323"/>
      <c r="K2" s="323"/>
      <c r="L2" s="177"/>
      <c r="M2" s="177"/>
      <c r="N2" s="177"/>
      <c r="O2" s="177"/>
      <c r="P2" s="177"/>
      <c r="Q2" s="177"/>
      <c r="R2" s="177"/>
      <c r="S2" s="177"/>
      <c r="T2" s="177"/>
      <c r="U2" s="177"/>
      <c r="V2" s="177"/>
      <c r="W2" s="177"/>
      <c r="X2" s="177"/>
      <c r="Y2" s="177"/>
      <c r="Z2" s="177"/>
      <c r="AA2" s="178"/>
      <c r="AB2" s="178"/>
      <c r="AC2" s="178"/>
      <c r="AD2" s="178"/>
      <c r="AE2" s="179"/>
      <c r="AF2" s="179"/>
      <c r="AG2" s="179"/>
      <c r="AH2" s="179"/>
      <c r="AI2" s="179"/>
      <c r="AJ2" s="179"/>
      <c r="AK2" s="179"/>
      <c r="AL2" s="179"/>
    </row>
    <row r="3" spans="2:38" ht="35.15" customHeight="1" thickBot="1">
      <c r="B3" s="329" t="s">
        <v>177</v>
      </c>
      <c r="C3" s="329"/>
      <c r="D3" s="180"/>
      <c r="E3" s="180"/>
      <c r="F3" s="180"/>
      <c r="G3" s="180"/>
      <c r="H3" s="101"/>
      <c r="I3" s="63" t="s">
        <v>3</v>
      </c>
      <c r="J3" s="178"/>
      <c r="K3" s="179"/>
      <c r="L3" s="179"/>
      <c r="M3" s="179"/>
      <c r="N3" s="179"/>
      <c r="O3" s="179"/>
      <c r="P3" s="179"/>
      <c r="Q3" s="179"/>
      <c r="R3" s="179"/>
    </row>
    <row r="4" spans="2:38" ht="17" thickTop="1">
      <c r="B4" s="330" t="s">
        <v>178</v>
      </c>
      <c r="C4" s="330" t="s">
        <v>179</v>
      </c>
      <c r="D4" s="332" t="s">
        <v>180</v>
      </c>
      <c r="E4" s="181"/>
      <c r="F4" s="180"/>
      <c r="G4" s="182"/>
      <c r="H4" s="69"/>
      <c r="I4" s="63" t="s">
        <v>76</v>
      </c>
      <c r="J4" s="178"/>
      <c r="K4" s="179"/>
      <c r="L4" s="179"/>
      <c r="M4" s="179"/>
      <c r="N4" s="179"/>
      <c r="O4" s="179"/>
      <c r="P4" s="179"/>
      <c r="Q4" s="179"/>
      <c r="R4" s="179"/>
    </row>
    <row r="5" spans="2:38" ht="16.5">
      <c r="B5" s="331"/>
      <c r="C5" s="331"/>
      <c r="D5" s="332"/>
      <c r="E5" s="181"/>
      <c r="F5" s="180"/>
      <c r="G5" s="182"/>
      <c r="H5" s="70"/>
      <c r="I5" s="63" t="s">
        <v>38</v>
      </c>
      <c r="J5" s="178"/>
      <c r="K5" s="179"/>
      <c r="L5" s="179"/>
      <c r="M5" s="179"/>
      <c r="N5" s="179"/>
      <c r="O5" s="179"/>
      <c r="P5" s="179"/>
      <c r="Q5" s="179"/>
      <c r="R5" s="179"/>
    </row>
    <row r="6" spans="2:38">
      <c r="B6" s="47">
        <v>0</v>
      </c>
      <c r="C6" s="47"/>
      <c r="D6" s="183" t="str">
        <f t="shared" ref="D6:D11" si="0">IF(ISNUMBER(C6),LN(C6/C$6),"")</f>
        <v/>
      </c>
      <c r="E6" s="182"/>
      <c r="F6" s="180"/>
      <c r="G6" s="182"/>
      <c r="H6" s="179"/>
      <c r="I6" s="179"/>
      <c r="J6" s="179"/>
      <c r="K6" s="179"/>
      <c r="L6" s="179"/>
      <c r="M6" s="179"/>
      <c r="N6" s="179"/>
      <c r="O6" s="179"/>
      <c r="P6" s="179"/>
      <c r="Q6" s="179"/>
      <c r="R6" s="179"/>
    </row>
    <row r="7" spans="2:38">
      <c r="B7" s="47">
        <v>1</v>
      </c>
      <c r="C7" s="47"/>
      <c r="D7" s="183" t="str">
        <f>IF(ISNUMBER(C7),LN(C7/C$6),"")</f>
        <v/>
      </c>
      <c r="E7" s="182"/>
      <c r="F7" s="180"/>
      <c r="G7" s="182"/>
      <c r="H7" s="178"/>
      <c r="I7" s="178"/>
      <c r="J7" s="178"/>
      <c r="K7" s="179"/>
      <c r="L7" s="179"/>
      <c r="M7" s="179"/>
      <c r="N7" s="179"/>
      <c r="O7" s="179"/>
      <c r="P7" s="179"/>
      <c r="Q7" s="179"/>
      <c r="R7" s="179"/>
    </row>
    <row r="8" spans="2:38">
      <c r="B8" s="47">
        <v>3</v>
      </c>
      <c r="C8" s="47"/>
      <c r="D8" s="183" t="str">
        <f t="shared" si="0"/>
        <v/>
      </c>
      <c r="E8" s="182"/>
      <c r="F8" s="180"/>
      <c r="G8" s="180"/>
      <c r="H8" s="178"/>
      <c r="I8" s="178"/>
      <c r="J8" s="178"/>
      <c r="K8" s="179"/>
      <c r="L8" s="179"/>
      <c r="M8" s="179"/>
      <c r="N8" s="179"/>
      <c r="O8" s="179"/>
      <c r="P8" s="179"/>
      <c r="Q8" s="179"/>
      <c r="R8" s="179"/>
    </row>
    <row r="9" spans="2:38">
      <c r="B9" s="47">
        <v>7</v>
      </c>
      <c r="C9" s="47"/>
      <c r="D9" s="183" t="str">
        <f t="shared" si="0"/>
        <v/>
      </c>
      <c r="E9" s="182"/>
      <c r="F9" s="180"/>
      <c r="G9" s="180"/>
      <c r="H9" s="178"/>
      <c r="I9" s="178"/>
      <c r="J9" s="178"/>
      <c r="K9" s="179"/>
      <c r="L9" s="179"/>
      <c r="M9" s="179"/>
      <c r="N9" s="179"/>
      <c r="O9" s="179"/>
      <c r="P9" s="179"/>
      <c r="Q9" s="179"/>
      <c r="R9" s="179"/>
    </row>
    <row r="10" spans="2:38">
      <c r="B10" s="47">
        <v>14</v>
      </c>
      <c r="C10" s="47"/>
      <c r="D10" s="183" t="str">
        <f t="shared" si="0"/>
        <v/>
      </c>
      <c r="E10" s="182"/>
      <c r="F10" s="180"/>
      <c r="G10" s="180"/>
      <c r="H10" s="178"/>
      <c r="I10" s="178"/>
      <c r="J10" s="178"/>
      <c r="K10" s="179"/>
      <c r="L10" s="179"/>
      <c r="M10" s="179"/>
      <c r="N10" s="179"/>
      <c r="O10" s="179"/>
      <c r="P10" s="179"/>
      <c r="Q10" s="179"/>
      <c r="R10" s="179"/>
    </row>
    <row r="11" spans="2:38">
      <c r="B11" s="47"/>
      <c r="C11" s="47"/>
      <c r="D11" s="183" t="str">
        <f t="shared" si="0"/>
        <v/>
      </c>
      <c r="E11" s="182"/>
      <c r="F11" s="180"/>
      <c r="G11" s="180"/>
      <c r="H11" s="178"/>
      <c r="I11" s="178"/>
      <c r="J11" s="178"/>
      <c r="K11" s="179"/>
      <c r="L11" s="179"/>
      <c r="M11" s="179"/>
      <c r="N11" s="179"/>
      <c r="O11" s="179"/>
      <c r="P11" s="179"/>
      <c r="Q11" s="179"/>
      <c r="R11" s="179"/>
    </row>
    <row r="12" spans="2:38">
      <c r="B12" s="47"/>
      <c r="C12" s="47"/>
      <c r="D12" s="183" t="str">
        <f t="shared" ref="D12:D26" si="1">IF(ISNUMBER(C12),LN(C12/C$6),"")</f>
        <v/>
      </c>
      <c r="E12" s="182"/>
      <c r="F12" s="180"/>
      <c r="G12" s="180"/>
      <c r="H12" s="178"/>
      <c r="I12" s="178"/>
      <c r="J12" s="178"/>
      <c r="K12" s="179"/>
      <c r="L12" s="179"/>
      <c r="M12" s="179"/>
      <c r="N12" s="179"/>
      <c r="O12" s="179"/>
      <c r="P12" s="179"/>
      <c r="Q12" s="179"/>
      <c r="R12" s="179"/>
    </row>
    <row r="13" spans="2:38">
      <c r="B13" s="47"/>
      <c r="C13" s="47"/>
      <c r="D13" s="183" t="str">
        <f t="shared" si="1"/>
        <v/>
      </c>
      <c r="E13" s="182"/>
      <c r="F13" s="180"/>
      <c r="G13" s="180"/>
      <c r="H13" s="178"/>
      <c r="I13" s="178"/>
      <c r="J13" s="178"/>
      <c r="K13" s="179"/>
      <c r="L13" s="179"/>
      <c r="M13" s="179"/>
      <c r="N13" s="179"/>
      <c r="O13" s="179"/>
      <c r="P13" s="179"/>
      <c r="Q13" s="179"/>
      <c r="R13" s="179"/>
    </row>
    <row r="14" spans="2:38">
      <c r="B14" s="47"/>
      <c r="C14" s="47"/>
      <c r="D14" s="183" t="str">
        <f t="shared" si="1"/>
        <v/>
      </c>
      <c r="E14" s="182"/>
      <c r="F14" s="180"/>
      <c r="G14" s="180"/>
      <c r="H14" s="178"/>
      <c r="I14" s="178"/>
      <c r="J14" s="178"/>
      <c r="K14" s="179"/>
      <c r="L14" s="179"/>
      <c r="M14" s="179"/>
      <c r="N14" s="179"/>
      <c r="O14" s="179"/>
      <c r="P14" s="179"/>
      <c r="Q14" s="179"/>
      <c r="R14" s="179"/>
    </row>
    <row r="15" spans="2:38">
      <c r="B15" s="47"/>
      <c r="C15" s="47"/>
      <c r="D15" s="183" t="str">
        <f t="shared" si="1"/>
        <v/>
      </c>
      <c r="E15" s="182"/>
      <c r="F15" s="180"/>
      <c r="G15" s="180"/>
      <c r="H15" s="178"/>
      <c r="I15" s="178"/>
      <c r="J15" s="178"/>
      <c r="K15" s="179"/>
      <c r="L15" s="179"/>
      <c r="M15" s="179"/>
      <c r="N15" s="179"/>
      <c r="O15" s="179"/>
      <c r="P15" s="179"/>
      <c r="Q15" s="179"/>
      <c r="R15" s="179"/>
    </row>
    <row r="16" spans="2:38">
      <c r="B16" s="47"/>
      <c r="C16" s="47"/>
      <c r="D16" s="183" t="str">
        <f t="shared" si="1"/>
        <v/>
      </c>
      <c r="E16" s="182"/>
      <c r="F16" s="180"/>
      <c r="G16" s="180"/>
      <c r="H16" s="178"/>
      <c r="I16" s="178"/>
      <c r="J16" s="178"/>
      <c r="K16" s="179"/>
      <c r="L16" s="179"/>
      <c r="M16" s="179"/>
      <c r="N16" s="179"/>
      <c r="O16" s="179"/>
      <c r="P16" s="179"/>
      <c r="Q16" s="179"/>
      <c r="R16" s="179"/>
    </row>
    <row r="17" spans="2:24">
      <c r="B17" s="47"/>
      <c r="C17" s="47"/>
      <c r="D17" s="183" t="str">
        <f t="shared" si="1"/>
        <v/>
      </c>
      <c r="E17" s="182"/>
      <c r="F17" s="180"/>
      <c r="G17" s="180"/>
      <c r="H17" s="178"/>
      <c r="I17" s="178"/>
      <c r="J17" s="178"/>
      <c r="K17" s="179"/>
      <c r="L17" s="179"/>
      <c r="M17" s="179"/>
      <c r="N17" s="179"/>
      <c r="O17" s="179"/>
      <c r="P17" s="179"/>
      <c r="Q17" s="179"/>
      <c r="R17" s="179"/>
    </row>
    <row r="18" spans="2:24">
      <c r="B18" s="47"/>
      <c r="C18" s="47"/>
      <c r="D18" s="183" t="str">
        <f t="shared" si="1"/>
        <v/>
      </c>
      <c r="E18" s="182"/>
      <c r="F18" s="180"/>
      <c r="G18" s="180"/>
      <c r="H18" s="178"/>
      <c r="I18" s="178"/>
      <c r="J18" s="178"/>
      <c r="K18" s="179"/>
      <c r="L18" s="179"/>
      <c r="M18" s="179"/>
      <c r="N18" s="179"/>
      <c r="O18" s="179"/>
      <c r="P18" s="179"/>
      <c r="Q18" s="179"/>
      <c r="R18" s="179"/>
    </row>
    <row r="19" spans="2:24">
      <c r="B19" s="47"/>
      <c r="C19" s="47"/>
      <c r="D19" s="183" t="str">
        <f t="shared" si="1"/>
        <v/>
      </c>
      <c r="E19" s="182"/>
      <c r="F19" s="180"/>
      <c r="G19" s="180"/>
      <c r="H19" s="178"/>
      <c r="I19" s="178"/>
      <c r="J19" s="178"/>
      <c r="K19" s="179"/>
      <c r="L19" s="179"/>
      <c r="M19" s="179"/>
      <c r="N19" s="179"/>
      <c r="O19" s="179"/>
      <c r="P19" s="179"/>
      <c r="Q19" s="179"/>
      <c r="R19" s="179"/>
    </row>
    <row r="20" spans="2:24">
      <c r="B20" s="47"/>
      <c r="C20" s="47"/>
      <c r="D20" s="183" t="str">
        <f t="shared" si="1"/>
        <v/>
      </c>
      <c r="E20" s="182"/>
      <c r="F20" s="180"/>
      <c r="G20" s="184" t="s">
        <v>181</v>
      </c>
      <c r="H20" s="235">
        <v>0</v>
      </c>
      <c r="I20" s="185" t="s">
        <v>182</v>
      </c>
      <c r="J20" s="177" t="s">
        <v>183</v>
      </c>
      <c r="K20" s="177"/>
      <c r="L20" s="177"/>
      <c r="M20" s="178"/>
      <c r="N20" s="179"/>
      <c r="O20" s="179"/>
      <c r="P20" s="179"/>
      <c r="Q20" s="179"/>
      <c r="R20" s="179"/>
    </row>
    <row r="21" spans="2:24">
      <c r="B21" s="47"/>
      <c r="C21" s="48"/>
      <c r="D21" s="183" t="str">
        <f t="shared" si="1"/>
        <v/>
      </c>
      <c r="E21" s="182"/>
      <c r="F21" s="180"/>
      <c r="G21" s="180"/>
      <c r="H21" s="178"/>
      <c r="I21" s="178"/>
      <c r="J21" s="178"/>
      <c r="K21" s="179"/>
      <c r="L21" s="179"/>
      <c r="M21" s="179"/>
      <c r="N21" s="179"/>
      <c r="O21" s="179"/>
      <c r="P21" s="179"/>
      <c r="Q21" s="179"/>
      <c r="R21" s="179"/>
    </row>
    <row r="22" spans="2:24">
      <c r="B22" s="47"/>
      <c r="C22" s="47"/>
      <c r="D22" s="183" t="str">
        <f t="shared" si="1"/>
        <v/>
      </c>
      <c r="E22" s="182"/>
      <c r="F22" s="180"/>
      <c r="G22" s="186" t="s">
        <v>184</v>
      </c>
      <c r="H22" s="187">
        <f>'田面水シナリオ '!G5</f>
        <v>0</v>
      </c>
      <c r="I22" s="188" t="s">
        <v>185</v>
      </c>
      <c r="J22" s="178"/>
      <c r="K22" s="179"/>
      <c r="L22" s="179"/>
      <c r="M22" s="179"/>
      <c r="N22" s="179"/>
      <c r="O22" s="179"/>
      <c r="P22" s="179"/>
      <c r="Q22" s="179"/>
      <c r="R22" s="179"/>
    </row>
    <row r="23" spans="2:24">
      <c r="B23" s="47"/>
      <c r="C23" s="47"/>
      <c r="D23" s="183" t="str">
        <f t="shared" si="1"/>
        <v/>
      </c>
      <c r="E23" s="182"/>
      <c r="F23" s="180"/>
      <c r="G23" s="189"/>
      <c r="H23" s="190"/>
      <c r="I23" s="178"/>
      <c r="J23" s="178"/>
      <c r="K23" s="179"/>
      <c r="L23" s="179"/>
      <c r="M23" s="179"/>
      <c r="N23" s="179"/>
      <c r="O23" s="179"/>
      <c r="P23" s="179"/>
      <c r="Q23" s="179"/>
      <c r="R23" s="179"/>
    </row>
    <row r="24" spans="2:24">
      <c r="B24" s="47"/>
      <c r="C24" s="47"/>
      <c r="D24" s="183" t="str">
        <f t="shared" si="1"/>
        <v/>
      </c>
      <c r="E24" s="182"/>
      <c r="F24" s="180"/>
      <c r="G24" s="186" t="s">
        <v>156</v>
      </c>
      <c r="H24" s="191">
        <f>'田面水シナリオ '!I5</f>
        <v>0</v>
      </c>
      <c r="I24" s="192" t="s">
        <v>158</v>
      </c>
      <c r="N24" s="178"/>
      <c r="O24" s="178"/>
      <c r="P24" s="178"/>
      <c r="Q24" s="179"/>
      <c r="R24" s="179"/>
      <c r="S24" s="179"/>
      <c r="T24" s="179"/>
      <c r="U24" s="179"/>
      <c r="V24" s="179"/>
      <c r="W24" s="179"/>
      <c r="X24" s="179"/>
    </row>
    <row r="25" spans="2:24">
      <c r="B25" s="47"/>
      <c r="C25" s="47"/>
      <c r="D25" s="183" t="str">
        <f t="shared" si="1"/>
        <v/>
      </c>
      <c r="E25" s="182"/>
      <c r="F25" s="180"/>
      <c r="G25" s="193"/>
      <c r="H25" s="177"/>
      <c r="I25" s="177"/>
      <c r="J25" s="177"/>
      <c r="K25" s="177"/>
      <c r="L25" s="177"/>
      <c r="M25" s="178"/>
      <c r="N25" s="178"/>
      <c r="O25" s="178"/>
      <c r="P25" s="178"/>
      <c r="Q25" s="179"/>
      <c r="R25" s="179"/>
      <c r="S25" s="179"/>
      <c r="T25" s="179"/>
      <c r="U25" s="179"/>
      <c r="V25" s="179"/>
      <c r="W25" s="179"/>
      <c r="X25" s="179"/>
    </row>
    <row r="26" spans="2:24" ht="13.5" thickBot="1">
      <c r="B26" s="49"/>
      <c r="C26" s="49"/>
      <c r="D26" s="183" t="str">
        <f t="shared" si="1"/>
        <v/>
      </c>
      <c r="E26" s="182"/>
      <c r="F26" s="180"/>
      <c r="H26" s="194">
        <f>H20+'田面水シナリオ '!I5</f>
        <v>0</v>
      </c>
      <c r="I26" s="194" t="s">
        <v>186</v>
      </c>
      <c r="J26" s="194"/>
      <c r="K26" s="177"/>
      <c r="L26" s="177"/>
      <c r="M26" s="178"/>
      <c r="N26" s="178"/>
      <c r="O26" s="178"/>
      <c r="P26" s="178"/>
      <c r="Q26" s="179"/>
      <c r="R26" s="179"/>
      <c r="S26" s="179"/>
      <c r="T26" s="179"/>
      <c r="U26" s="179"/>
      <c r="V26" s="179"/>
      <c r="W26" s="179"/>
      <c r="X26" s="179"/>
    </row>
    <row r="27" spans="2:24" ht="13.5" thickTop="1">
      <c r="B27" s="180"/>
      <c r="C27" s="180"/>
      <c r="D27" s="180"/>
      <c r="E27" s="180"/>
      <c r="F27" s="180"/>
      <c r="H27" s="194">
        <f>'田面水シナリオ '!I5*2</f>
        <v>0</v>
      </c>
      <c r="I27" s="194" t="s">
        <v>187</v>
      </c>
      <c r="J27" s="194"/>
      <c r="K27" s="177"/>
      <c r="L27" s="177"/>
      <c r="M27" s="178"/>
      <c r="N27" s="178"/>
      <c r="O27" s="178"/>
      <c r="P27" s="178"/>
      <c r="Q27" s="179"/>
      <c r="R27" s="179"/>
      <c r="S27" s="179"/>
      <c r="T27" s="179"/>
      <c r="U27" s="179"/>
      <c r="V27" s="179"/>
      <c r="W27" s="179"/>
      <c r="X27" s="179"/>
    </row>
    <row r="28" spans="2:24" ht="13" customHeight="1">
      <c r="B28" s="327" t="s">
        <v>188</v>
      </c>
      <c r="C28" s="328"/>
      <c r="D28" s="328"/>
      <c r="E28" s="328"/>
      <c r="F28" s="328"/>
      <c r="H28" s="194">
        <f>H20+'田面水シナリオ '!I5*2</f>
        <v>0</v>
      </c>
      <c r="I28" s="194" t="s">
        <v>189</v>
      </c>
      <c r="J28" s="195"/>
      <c r="K28" s="179"/>
      <c r="L28" s="179"/>
      <c r="O28" s="179"/>
      <c r="P28" s="179"/>
      <c r="S28" s="179"/>
      <c r="T28" s="179"/>
      <c r="U28" s="177"/>
      <c r="V28" s="177"/>
      <c r="W28" s="177"/>
      <c r="X28" s="177"/>
    </row>
    <row r="29" spans="2:24">
      <c r="B29" s="328"/>
      <c r="C29" s="328"/>
      <c r="D29" s="328"/>
      <c r="E29" s="328"/>
      <c r="F29" s="328"/>
      <c r="G29" s="180"/>
      <c r="H29" s="196"/>
      <c r="K29" s="179"/>
      <c r="L29" s="179"/>
      <c r="O29" s="179"/>
      <c r="P29" s="179"/>
      <c r="S29" s="179"/>
      <c r="T29" s="179"/>
      <c r="U29" s="177"/>
      <c r="V29" s="177"/>
      <c r="W29" s="177"/>
      <c r="X29" s="177"/>
    </row>
    <row r="30" spans="2:24">
      <c r="B30" s="328"/>
      <c r="C30" s="328"/>
      <c r="D30" s="328"/>
      <c r="E30" s="328"/>
      <c r="F30" s="328"/>
      <c r="G30" s="180"/>
      <c r="H30" s="177"/>
      <c r="K30" s="179"/>
      <c r="L30" s="179"/>
      <c r="O30" s="179"/>
      <c r="P30" s="179"/>
      <c r="S30" s="179"/>
      <c r="T30" s="179"/>
      <c r="U30" s="177"/>
      <c r="V30" s="177"/>
      <c r="W30" s="177"/>
      <c r="X30" s="177"/>
    </row>
    <row r="31" spans="2:24" ht="13.5" thickBot="1">
      <c r="B31" s="328"/>
      <c r="C31" s="328"/>
      <c r="D31" s="328"/>
      <c r="E31" s="328"/>
      <c r="F31" s="328"/>
      <c r="G31" s="180"/>
      <c r="H31" s="177"/>
      <c r="K31" s="179"/>
      <c r="L31" s="179"/>
      <c r="O31" s="179"/>
      <c r="P31" s="179"/>
      <c r="S31" s="179"/>
      <c r="T31" s="179"/>
      <c r="U31" s="177"/>
      <c r="V31" s="177"/>
      <c r="W31" s="177"/>
      <c r="X31" s="177"/>
    </row>
    <row r="32" spans="2:24" ht="14" thickTop="1" thickBot="1">
      <c r="B32" s="324" t="s">
        <v>190</v>
      </c>
      <c r="C32" s="325"/>
      <c r="D32" s="197" t="str">
        <f>IF(ISERR(LN(2)/(-SLOPE(D6:D26,B6:B26))),"",(LN(2)/(-SLOPE(D6:D26,B6:B26))))</f>
        <v/>
      </c>
      <c r="E32" s="198" t="s">
        <v>182</v>
      </c>
      <c r="G32" s="180"/>
      <c r="K32" s="178"/>
      <c r="L32" s="178"/>
      <c r="M32" s="178"/>
      <c r="N32" s="178"/>
      <c r="O32" s="178"/>
      <c r="P32" s="178"/>
      <c r="Q32" s="179"/>
      <c r="R32" s="179"/>
      <c r="S32" s="179"/>
      <c r="T32" s="179"/>
      <c r="U32" s="179"/>
      <c r="V32" s="179"/>
      <c r="W32" s="179"/>
      <c r="X32" s="179"/>
    </row>
    <row r="33" spans="2:38" ht="13.5" thickTop="1">
      <c r="B33" s="180"/>
      <c r="C33" s="199"/>
      <c r="D33" s="180"/>
      <c r="E33" s="180"/>
      <c r="F33" s="180"/>
      <c r="G33" s="180"/>
      <c r="K33" s="177"/>
      <c r="L33" s="177"/>
      <c r="M33" s="177"/>
      <c r="N33" s="177"/>
      <c r="O33" s="177"/>
      <c r="P33" s="177"/>
      <c r="Q33" s="177"/>
      <c r="R33" s="177"/>
      <c r="S33" s="177"/>
      <c r="T33" s="177"/>
      <c r="U33" s="177"/>
      <c r="V33" s="177"/>
      <c r="W33" s="177"/>
      <c r="X33" s="177"/>
      <c r="Y33" s="177"/>
      <c r="Z33" s="177"/>
      <c r="AA33" s="178"/>
      <c r="AB33" s="178"/>
      <c r="AC33" s="178"/>
      <c r="AD33" s="178"/>
      <c r="AE33" s="179"/>
      <c r="AF33" s="179"/>
      <c r="AG33" s="179"/>
      <c r="AH33" s="179"/>
      <c r="AI33" s="179"/>
      <c r="AJ33" s="179"/>
      <c r="AK33" s="179"/>
      <c r="AL33" s="179"/>
    </row>
    <row r="34" spans="2:38" ht="14.15" customHeight="1">
      <c r="B34" s="176"/>
      <c r="C34" s="200"/>
      <c r="D34" s="177"/>
      <c r="E34" s="177"/>
      <c r="F34" s="177"/>
      <c r="G34" s="177"/>
      <c r="K34" s="177"/>
      <c r="L34" s="177"/>
      <c r="M34" s="177"/>
      <c r="N34" s="177"/>
      <c r="O34" s="177"/>
      <c r="P34" s="177"/>
      <c r="Q34" s="177"/>
      <c r="R34" s="177"/>
      <c r="S34" s="177"/>
      <c r="T34" s="177"/>
      <c r="U34" s="177"/>
      <c r="V34" s="177"/>
      <c r="W34" s="177"/>
      <c r="X34" s="177"/>
      <c r="Y34" s="177"/>
      <c r="Z34" s="177"/>
      <c r="AA34" s="178"/>
      <c r="AB34" s="178"/>
      <c r="AC34" s="178"/>
      <c r="AD34" s="178"/>
      <c r="AE34" s="179"/>
      <c r="AF34" s="179"/>
      <c r="AG34" s="179"/>
      <c r="AH34" s="179"/>
      <c r="AI34" s="179"/>
      <c r="AJ34" s="179"/>
      <c r="AK34" s="179"/>
      <c r="AL34" s="179"/>
    </row>
    <row r="35" spans="2:38">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8"/>
      <c r="AB35" s="178"/>
      <c r="AC35" s="178"/>
      <c r="AD35" s="178"/>
      <c r="AE35" s="179"/>
      <c r="AF35" s="179"/>
      <c r="AG35" s="179"/>
      <c r="AH35" s="179"/>
      <c r="AI35" s="179"/>
      <c r="AJ35" s="179"/>
      <c r="AK35" s="179"/>
      <c r="AL35" s="179"/>
    </row>
    <row r="36" spans="2:38">
      <c r="B36" s="177"/>
      <c r="C36" s="177"/>
      <c r="D36" s="177"/>
      <c r="E36" s="177"/>
      <c r="F36" s="177"/>
      <c r="G36" s="177"/>
      <c r="H36" s="177"/>
      <c r="I36" s="177"/>
      <c r="J36" s="177"/>
      <c r="K36" s="177"/>
      <c r="L36" s="177"/>
      <c r="M36" s="177"/>
      <c r="N36" s="177"/>
      <c r="O36" s="177"/>
      <c r="P36" s="177"/>
      <c r="Q36" s="177"/>
      <c r="R36" s="177"/>
      <c r="S36" s="177"/>
      <c r="T36" s="177"/>
      <c r="U36" s="177"/>
      <c r="V36" s="177"/>
      <c r="W36" s="177"/>
      <c r="X36" s="177"/>
      <c r="Y36" s="177"/>
      <c r="Z36" s="177"/>
      <c r="AA36" s="177"/>
      <c r="AB36" s="178"/>
      <c r="AC36" s="178"/>
      <c r="AD36" s="178"/>
      <c r="AE36" s="178"/>
      <c r="AF36" s="179"/>
      <c r="AG36" s="179"/>
      <c r="AH36" s="179"/>
      <c r="AI36" s="179"/>
      <c r="AJ36" s="179"/>
      <c r="AK36" s="179"/>
      <c r="AL36" s="179"/>
    </row>
    <row r="37" spans="2:38" ht="13.5" thickBot="1">
      <c r="B37" s="326"/>
      <c r="C37" s="326"/>
      <c r="D37" s="201"/>
      <c r="E37" s="201"/>
      <c r="F37" s="178"/>
      <c r="G37" s="178"/>
      <c r="H37" s="178"/>
      <c r="I37" s="178"/>
      <c r="J37" s="178"/>
      <c r="K37" s="178"/>
      <c r="L37" s="178"/>
      <c r="M37" s="178"/>
      <c r="N37" s="178"/>
      <c r="O37" s="178"/>
      <c r="P37" s="178"/>
      <c r="Q37" s="178"/>
      <c r="R37" s="178"/>
      <c r="S37" s="178"/>
      <c r="T37" s="178"/>
      <c r="U37" s="178"/>
      <c r="V37" s="177"/>
      <c r="W37" s="177"/>
      <c r="X37" s="177"/>
      <c r="Y37" s="177"/>
      <c r="Z37" s="177"/>
      <c r="AA37" s="177"/>
      <c r="AB37" s="177"/>
      <c r="AC37" s="177"/>
      <c r="AD37" s="177"/>
      <c r="AE37" s="177"/>
      <c r="AF37" s="179"/>
      <c r="AG37" s="179"/>
      <c r="AH37" s="179"/>
      <c r="AI37" s="179"/>
      <c r="AJ37" s="179"/>
      <c r="AK37" s="179"/>
      <c r="AL37" s="179"/>
    </row>
    <row r="38" spans="2:38" ht="40.5" customHeight="1" thickTop="1">
      <c r="B38" s="307"/>
      <c r="C38" s="308"/>
      <c r="D38" s="309"/>
      <c r="E38" s="291" t="s">
        <v>191</v>
      </c>
      <c r="F38" s="307" t="s">
        <v>192</v>
      </c>
      <c r="G38" s="308"/>
      <c r="H38" s="309"/>
      <c r="I38" s="291" t="s">
        <v>193</v>
      </c>
      <c r="J38" s="177"/>
      <c r="K38" s="310" t="s">
        <v>194</v>
      </c>
      <c r="L38" s="311"/>
      <c r="M38" s="311"/>
      <c r="N38" s="311"/>
      <c r="O38" s="312"/>
      <c r="P38" s="177"/>
    </row>
    <row r="39" spans="2:38" ht="22">
      <c r="B39" s="313" t="s">
        <v>169</v>
      </c>
      <c r="C39" s="314" t="s">
        <v>195</v>
      </c>
      <c r="D39" s="317" t="s">
        <v>196</v>
      </c>
      <c r="E39" s="292"/>
      <c r="F39" s="320" t="s">
        <v>170</v>
      </c>
      <c r="G39" s="321" t="s">
        <v>171</v>
      </c>
      <c r="H39" s="321" t="s">
        <v>172</v>
      </c>
      <c r="I39" s="292"/>
      <c r="J39" s="177"/>
      <c r="K39" s="203" t="s">
        <v>158</v>
      </c>
      <c r="L39" s="202" t="s">
        <v>197</v>
      </c>
      <c r="M39" s="204" t="s">
        <v>198</v>
      </c>
      <c r="N39" s="204" t="s">
        <v>199</v>
      </c>
      <c r="O39" s="205" t="s">
        <v>200</v>
      </c>
      <c r="P39" s="177"/>
    </row>
    <row r="40" spans="2:38">
      <c r="B40" s="296"/>
      <c r="C40" s="315"/>
      <c r="D40" s="318"/>
      <c r="E40" s="292"/>
      <c r="F40" s="299"/>
      <c r="G40" s="302"/>
      <c r="H40" s="302"/>
      <c r="I40" s="292"/>
      <c r="J40" s="177"/>
      <c r="K40" s="208"/>
      <c r="L40" s="206"/>
      <c r="M40" s="209"/>
      <c r="N40" s="209"/>
      <c r="O40" s="207"/>
      <c r="P40" s="177"/>
    </row>
    <row r="41" spans="2:38">
      <c r="B41" s="296"/>
      <c r="C41" s="315"/>
      <c r="D41" s="318"/>
      <c r="E41" s="292"/>
      <c r="F41" s="299"/>
      <c r="G41" s="302"/>
      <c r="H41" s="302"/>
      <c r="I41" s="292"/>
      <c r="J41" s="177"/>
      <c r="K41" s="208"/>
      <c r="L41" s="206"/>
      <c r="M41" s="209"/>
      <c r="N41" s="209"/>
      <c r="O41" s="207"/>
      <c r="P41" s="177"/>
    </row>
    <row r="42" spans="2:38">
      <c r="B42" s="296"/>
      <c r="C42" s="315"/>
      <c r="D42" s="318"/>
      <c r="E42" s="292"/>
      <c r="F42" s="299"/>
      <c r="G42" s="302"/>
      <c r="H42" s="302"/>
      <c r="I42" s="292"/>
      <c r="J42" s="177"/>
      <c r="K42" s="208"/>
      <c r="L42" s="206"/>
      <c r="M42" s="209"/>
      <c r="N42" s="209"/>
      <c r="O42" s="207"/>
      <c r="P42" s="177"/>
    </row>
    <row r="43" spans="2:38" ht="13.5" thickBot="1">
      <c r="B43" s="297"/>
      <c r="C43" s="316"/>
      <c r="D43" s="319"/>
      <c r="E43" s="322"/>
      <c r="F43" s="300"/>
      <c r="G43" s="303"/>
      <c r="H43" s="303"/>
      <c r="I43" s="292"/>
      <c r="J43" s="177"/>
      <c r="K43" s="212"/>
      <c r="L43" s="210"/>
      <c r="M43" s="213"/>
      <c r="N43" s="213"/>
      <c r="O43" s="211"/>
      <c r="P43" s="177"/>
    </row>
    <row r="44" spans="2:38" ht="13.5" thickTop="1">
      <c r="B44" s="159">
        <v>0</v>
      </c>
      <c r="C44" s="214">
        <f t="shared" ref="C44:C64" si="2">IF(ISERROR(VLOOKUP(B44,$B$5:$C$34,2,0)),"",VLOOKUP(B44,$B$5:$C$34,2,0))</f>
        <v>0</v>
      </c>
      <c r="D44" s="215">
        <f>C44</f>
        <v>0</v>
      </c>
      <c r="E44" s="216" t="str">
        <f>IF($H$20=0,"無",IF($H$22=1,IF(B44&lt;$H$20,"有","無"),IF($H$22=2,IF($H$20&gt;=$H$24,IF($H$26&gt;=21,"有",IF(B44&lt;$H$26,"有","無")),IF(B44&lt;$H$20,"有",IF($H$20&lt;=B44&lt;$H$24,"無",IF(AND($H$24&lt;=B44,B44&lt;$H$26),"有","無")))),IF($H$22&gt;=3,IF($H$20&gt;=$H$24,"有",IF($H$20&lt;$H$24,IF(B44&lt;$H$20,"有",IF(AND($H$20&lt;=B44,B44&lt;$H$24),"無",IF(AND($H$24&lt;=B44,B44&lt;$H$26),"有",IF(AND($H$26&lt;=B44,B44&lt;$H$27),"無",IF(AND($H$27&lt;=B44,B44&lt;$H$28),"有","無")))))))))))</f>
        <v>無</v>
      </c>
      <c r="F44" s="160">
        <f>IF(B44&lt;21,IF(B44&lt;=14,D44*EXP(-(IF(E44="有",0.04,0.1)*B44)),$D$44*EXP(-((LN(2)/$D$32)+IF(E44="有",0.04,0.1))*B44)),"")</f>
        <v>0</v>
      </c>
      <c r="G44" s="161" t="str">
        <f>IF('田面水シナリオ '!$G$5&gt;1,IF('田面水シナリオ '!$I$5&gt;B44," ",VLOOKUP((B44-'田面水シナリオ '!$I$5),$B$44:$F$64,5,FALSE)),"")</f>
        <v/>
      </c>
      <c r="H44" s="162" t="str">
        <f>IF('田面水シナリオ '!$G$5&gt;2,IF('田面水シナリオ '!$I$5*2&gt;B44," ",VLOOKUP((B44-'田面水シナリオ '!$I$5*2),$B$44:$F$64,5,FALSE)),"")</f>
        <v/>
      </c>
      <c r="I44" s="163">
        <f t="shared" ref="I44:I64" si="3">SUM(F44:H44)</f>
        <v>0</v>
      </c>
      <c r="J44" s="177"/>
      <c r="K44" s="159">
        <f>IF(B6&lt;&gt;"",B6,"")</f>
        <v>0</v>
      </c>
      <c r="L44" s="217">
        <v>0</v>
      </c>
      <c r="M44" s="218"/>
      <c r="N44" s="218"/>
      <c r="O44" s="219"/>
      <c r="P44" s="177"/>
    </row>
    <row r="45" spans="2:38">
      <c r="B45" s="164">
        <v>1</v>
      </c>
      <c r="C45" s="215">
        <f t="shared" si="2"/>
        <v>0</v>
      </c>
      <c r="D45" s="215">
        <f t="shared" ref="D45:D64" si="4">IF(MAX($K$44:$K$63)&lt;B45, "", IF(B45=VLOOKUP(B45, $K$44:$K$63,1,1), C45,D44-INDEX($O$44:$O$63, MATCH(VLOOKUP(B45, $K$44:$K$63,1,1), $K$44:$K$63)+1, 1)))</f>
        <v>0</v>
      </c>
      <c r="E45" s="216" t="str">
        <f t="shared" ref="E45:E63" si="5">IF($H$20=0,"無",IF($H$22=1,IF(B45&lt;$H$20,"有","無"),IF($H$22=2,IF($H$20&gt;=$H$24,IF($H$26&gt;=21,"有",IF(B45&lt;$H$26,"有","無")),IF(B45&lt;$H$20,"有",IF($H$20&lt;=B45&lt;$H$24,"無",IF(AND($H$24&lt;=B45,B45&lt;$H$26),"有","無")))),IF($H$22&gt;=3,IF($H$20&gt;=$H$24,"有",IF($H$20&lt;$H$24,IF(B45&lt;$H$20,"有",IF(AND($H$20&lt;=B45,B45&lt;$H$24),"無",IF(AND($H$24&lt;=B45,B45&lt;$H$26),"有",IF(AND($H$26&lt;=B45,B45&lt;$H$27),"無",IF(AND($H$27&lt;=B45,B45&lt;$H$28),"有","無")))))))))))</f>
        <v>無</v>
      </c>
      <c r="F45" s="165">
        <f t="shared" ref="F45:F64" si="6">IF(B45&lt;21,IF(B45&lt;=14,D45*EXP(-(IF(E45="有",0.04,0.1)*B45)),$D$44*EXP(-((LN(2)/$D$32)+IF(E45="有",0.04,0.1))*B45)),"")</f>
        <v>0</v>
      </c>
      <c r="G45" s="166" t="str">
        <f>IF('田面水シナリオ '!$G$5&gt;1,IF('田面水シナリオ '!$I$5&gt;B45," ",VLOOKUP((B45-'田面水シナリオ '!$I$5),$B$44:$F$64,5,FALSE)),"")</f>
        <v/>
      </c>
      <c r="H45" s="167" t="str">
        <f>IF('田面水シナリオ '!$G$5&gt;2,IF('田面水シナリオ '!$I$5*2&gt;B45," ",VLOOKUP((B45-'田面水シナリオ '!$I$5*2),$B$44:$F$64,5,FALSE)),"")</f>
        <v/>
      </c>
      <c r="I45" s="168">
        <f t="shared" si="3"/>
        <v>0</v>
      </c>
      <c r="J45" s="177"/>
      <c r="K45" s="164">
        <f t="shared" ref="K45:K64" si="7">IF(B7&lt;&gt;"",B7,"end")</f>
        <v>1</v>
      </c>
      <c r="L45" s="220">
        <v>1</v>
      </c>
      <c r="M45" s="221">
        <f>IF(K45&lt;&gt;"",MIN(K44:K45),"")</f>
        <v>0</v>
      </c>
      <c r="N45" s="221">
        <f>IF(K45&lt;&gt;"",MAX(K44:K45),"")</f>
        <v>1</v>
      </c>
      <c r="O45" s="222">
        <f t="shared" ref="O45:O64" si="8">IF(B7&lt;&gt;"",(C6-C7)/(B7-B6),"")</f>
        <v>0</v>
      </c>
      <c r="P45" s="177"/>
    </row>
    <row r="46" spans="2:38">
      <c r="B46" s="164">
        <v>2</v>
      </c>
      <c r="C46" s="215" t="str">
        <f t="shared" si="2"/>
        <v/>
      </c>
      <c r="D46" s="215">
        <f t="shared" si="4"/>
        <v>0</v>
      </c>
      <c r="E46" s="216" t="str">
        <f t="shared" si="5"/>
        <v>無</v>
      </c>
      <c r="F46" s="165">
        <f t="shared" si="6"/>
        <v>0</v>
      </c>
      <c r="G46" s="166" t="str">
        <f>IF('田面水シナリオ '!$G$5&gt;1,IF('田面水シナリオ '!$I$5&gt;B46," ",VLOOKUP((B46-'田面水シナリオ '!$I$5),$B$44:$F$64,5,FALSE)),"")</f>
        <v/>
      </c>
      <c r="H46" s="167" t="str">
        <f>IF('田面水シナリオ '!$G$5&gt;2,IF('田面水シナリオ '!$I$5*2&gt;B46," ",VLOOKUP((B46-'田面水シナリオ '!$I$5*2),$B$44:$F$64,5,FALSE)),"")</f>
        <v/>
      </c>
      <c r="I46" s="168">
        <f t="shared" si="3"/>
        <v>0</v>
      </c>
      <c r="J46" s="177"/>
      <c r="K46" s="164">
        <f t="shared" si="7"/>
        <v>3</v>
      </c>
      <c r="L46" s="220">
        <v>2</v>
      </c>
      <c r="M46" s="221">
        <f>IF(K46&lt;&gt;"",MIN(K45:K46),"")</f>
        <v>1</v>
      </c>
      <c r="N46" s="221">
        <f>IF(K46&lt;&gt;"",MAX(K45:K46),"")</f>
        <v>3</v>
      </c>
      <c r="O46" s="222">
        <f t="shared" si="8"/>
        <v>0</v>
      </c>
      <c r="P46" s="177"/>
    </row>
    <row r="47" spans="2:38">
      <c r="B47" s="164">
        <v>3</v>
      </c>
      <c r="C47" s="215">
        <f t="shared" si="2"/>
        <v>0</v>
      </c>
      <c r="D47" s="215">
        <f t="shared" si="4"/>
        <v>0</v>
      </c>
      <c r="E47" s="216" t="str">
        <f t="shared" si="5"/>
        <v>無</v>
      </c>
      <c r="F47" s="165">
        <f t="shared" si="6"/>
        <v>0</v>
      </c>
      <c r="G47" s="166" t="str">
        <f>IF('田面水シナリオ '!$G$5&gt;1,IF('田面水シナリオ '!$I$5&gt;B47," ",VLOOKUP((B47-'田面水シナリオ '!$I$5),$B$44:$F$64,5,FALSE)),"")</f>
        <v/>
      </c>
      <c r="H47" s="167" t="str">
        <f>IF('田面水シナリオ '!$G$5&gt;2,IF('田面水シナリオ '!$I$5*2&gt;B47," ",VLOOKUP((B47-'田面水シナリオ '!$I$5*2),$B$44:$F$64,5,FALSE)),"")</f>
        <v/>
      </c>
      <c r="I47" s="168">
        <f t="shared" si="3"/>
        <v>0</v>
      </c>
      <c r="J47" s="177"/>
      <c r="K47" s="164">
        <f t="shared" si="7"/>
        <v>7</v>
      </c>
      <c r="L47" s="220">
        <v>3</v>
      </c>
      <c r="M47" s="221">
        <f>IF(K47&lt;&gt;"",MIN(K46:K47),"")</f>
        <v>3</v>
      </c>
      <c r="N47" s="221">
        <f>IF(K47&lt;&gt;"",MAX(K46:K47),"")</f>
        <v>7</v>
      </c>
      <c r="O47" s="222">
        <f t="shared" si="8"/>
        <v>0</v>
      </c>
      <c r="P47" s="177"/>
    </row>
    <row r="48" spans="2:38">
      <c r="B48" s="164">
        <v>4</v>
      </c>
      <c r="C48" s="215" t="str">
        <f t="shared" si="2"/>
        <v/>
      </c>
      <c r="D48" s="215">
        <f t="shared" si="4"/>
        <v>0</v>
      </c>
      <c r="E48" s="216" t="str">
        <f t="shared" si="5"/>
        <v>無</v>
      </c>
      <c r="F48" s="165">
        <f t="shared" si="6"/>
        <v>0</v>
      </c>
      <c r="G48" s="166" t="str">
        <f>IF('田面水シナリオ '!$G$5&gt;1,IF('田面水シナリオ '!$I$5&gt;B48," ",VLOOKUP((B48-'田面水シナリオ '!$I$5),$B$44:$F$64,5,FALSE)),"")</f>
        <v/>
      </c>
      <c r="H48" s="167" t="str">
        <f>IF('田面水シナリオ '!$G$5&gt;2,IF('田面水シナリオ '!$I$5*2&gt;B48," ",VLOOKUP((B48-'田面水シナリオ '!$I$5*2),$B$44:$F$64,5,FALSE)),"")</f>
        <v/>
      </c>
      <c r="I48" s="168">
        <f t="shared" si="3"/>
        <v>0</v>
      </c>
      <c r="J48" s="177"/>
      <c r="K48" s="164">
        <f t="shared" si="7"/>
        <v>14</v>
      </c>
      <c r="L48" s="220">
        <v>4</v>
      </c>
      <c r="M48" s="221">
        <f>IF(K48&lt;&gt;"",MIN(K47:K48),"")</f>
        <v>7</v>
      </c>
      <c r="N48" s="221">
        <f>IF(K48&lt;&gt;"",MAX(K47:K48),"")</f>
        <v>14</v>
      </c>
      <c r="O48" s="222">
        <f t="shared" si="8"/>
        <v>0</v>
      </c>
      <c r="P48" s="177"/>
    </row>
    <row r="49" spans="2:16">
      <c r="B49" s="164">
        <v>5</v>
      </c>
      <c r="C49" s="215" t="str">
        <f t="shared" si="2"/>
        <v/>
      </c>
      <c r="D49" s="215">
        <f t="shared" si="4"/>
        <v>0</v>
      </c>
      <c r="E49" s="216" t="str">
        <f t="shared" si="5"/>
        <v>無</v>
      </c>
      <c r="F49" s="165">
        <f t="shared" si="6"/>
        <v>0</v>
      </c>
      <c r="G49" s="166" t="str">
        <f>IF('田面水シナリオ '!$G$5&gt;1,IF('田面水シナリオ '!$I$5&gt;B49," ",VLOOKUP((B49-'田面水シナリオ '!$I$5),$B$44:$F$64,5,FALSE)),"")</f>
        <v/>
      </c>
      <c r="H49" s="167" t="str">
        <f>IF('田面水シナリオ '!$G$5&gt;2,IF('田面水シナリオ '!$I$5*2&gt;B49," ",VLOOKUP((B49-'田面水シナリオ '!$I$5*2),$B$44:$F$64,5,FALSE)),"")</f>
        <v/>
      </c>
      <c r="I49" s="168">
        <f t="shared" si="3"/>
        <v>0</v>
      </c>
      <c r="J49" s="177"/>
      <c r="K49" s="164" t="str">
        <f t="shared" si="7"/>
        <v>end</v>
      </c>
      <c r="L49" s="220">
        <v>5</v>
      </c>
      <c r="M49" s="221">
        <f>IF(K49&lt;&gt;"",MIN(K48:K49),"")</f>
        <v>14</v>
      </c>
      <c r="N49" s="221">
        <f>IF(K49&lt;&gt;"",MAX(K48:K49),"")</f>
        <v>14</v>
      </c>
      <c r="O49" s="222" t="str">
        <f t="shared" si="8"/>
        <v/>
      </c>
      <c r="P49" s="177"/>
    </row>
    <row r="50" spans="2:16">
      <c r="B50" s="164">
        <v>6</v>
      </c>
      <c r="C50" s="215" t="str">
        <f t="shared" si="2"/>
        <v/>
      </c>
      <c r="D50" s="215">
        <f t="shared" si="4"/>
        <v>0</v>
      </c>
      <c r="E50" s="216" t="str">
        <f t="shared" si="5"/>
        <v>無</v>
      </c>
      <c r="F50" s="165">
        <f t="shared" si="6"/>
        <v>0</v>
      </c>
      <c r="G50" s="166" t="str">
        <f>IF('田面水シナリオ '!$G$5&gt;1,IF('田面水シナリオ '!$I$5&gt;B50," ",VLOOKUP((B50-'田面水シナリオ '!$I$5),$B$44:$F$64,5,FALSE)),"")</f>
        <v/>
      </c>
      <c r="H50" s="167" t="str">
        <f>IF('田面水シナリオ '!$G$5&gt;2,IF('田面水シナリオ '!$I$5*2&gt;B50," ",VLOOKUP((B50-'田面水シナリオ '!$I$5*2),$B$44:$F$64,5,FALSE)),"")</f>
        <v/>
      </c>
      <c r="I50" s="168">
        <f t="shared" si="3"/>
        <v>0</v>
      </c>
      <c r="J50" s="177"/>
      <c r="K50" s="164" t="str">
        <f t="shared" si="7"/>
        <v>end</v>
      </c>
      <c r="L50" s="220">
        <v>6</v>
      </c>
      <c r="M50" s="221" t="str">
        <f>IF(AND(K50="end",K49="end"), "", IF(K50&lt;&gt;"",MIN(K49:K50),""))</f>
        <v/>
      </c>
      <c r="N50" s="221" t="str">
        <f>IF(AND(K50="end",K49="end"), "", IF(K50&lt;&gt;"",MAX(K49:K50),""))</f>
        <v/>
      </c>
      <c r="O50" s="222" t="str">
        <f t="shared" si="8"/>
        <v/>
      </c>
      <c r="P50" s="177"/>
    </row>
    <row r="51" spans="2:16">
      <c r="B51" s="164">
        <v>7</v>
      </c>
      <c r="C51" s="215">
        <f t="shared" si="2"/>
        <v>0</v>
      </c>
      <c r="D51" s="215">
        <f t="shared" si="4"/>
        <v>0</v>
      </c>
      <c r="E51" s="216" t="str">
        <f t="shared" si="5"/>
        <v>無</v>
      </c>
      <c r="F51" s="165">
        <f t="shared" si="6"/>
        <v>0</v>
      </c>
      <c r="G51" s="166" t="str">
        <f>IF('田面水シナリオ '!$G$5&gt;1,IF('田面水シナリオ '!$I$5&gt;B51," ",VLOOKUP((B51-'田面水シナリオ '!$I$5),$B$44:$F$64,5,FALSE)),"")</f>
        <v/>
      </c>
      <c r="H51" s="167" t="str">
        <f>IF('田面水シナリオ '!$G$5&gt;2,IF('田面水シナリオ '!$I$5*2&gt;B51," ",VLOOKUP((B51-'田面水シナリオ '!$I$5*2),$B$44:$F$64,5,FALSE)),"")</f>
        <v/>
      </c>
      <c r="I51" s="168">
        <f t="shared" si="3"/>
        <v>0</v>
      </c>
      <c r="J51" s="177"/>
      <c r="K51" s="164" t="str">
        <f t="shared" si="7"/>
        <v>end</v>
      </c>
      <c r="L51" s="220">
        <v>7</v>
      </c>
      <c r="M51" s="221" t="str">
        <f>IF(AND(K51="end",K50="end"), "", IF(K51&lt;&gt;"",MIN(K50:K51),""))</f>
        <v/>
      </c>
      <c r="N51" s="221" t="str">
        <f t="shared" ref="N51:N64" si="9">IF(AND(K51="end",K50="end"), "", IF(K51&lt;&gt;"",MAX(K50:K51),""))</f>
        <v/>
      </c>
      <c r="O51" s="222" t="str">
        <f t="shared" si="8"/>
        <v/>
      </c>
      <c r="P51" s="177"/>
    </row>
    <row r="52" spans="2:16">
      <c r="B52" s="164">
        <v>8</v>
      </c>
      <c r="C52" s="215" t="str">
        <f t="shared" si="2"/>
        <v/>
      </c>
      <c r="D52" s="215">
        <f t="shared" si="4"/>
        <v>0</v>
      </c>
      <c r="E52" s="216" t="str">
        <f t="shared" si="5"/>
        <v>無</v>
      </c>
      <c r="F52" s="165">
        <f t="shared" si="6"/>
        <v>0</v>
      </c>
      <c r="G52" s="166" t="str">
        <f>IF('田面水シナリオ '!$G$5&gt;1,IF('田面水シナリオ '!$I$5&gt;B52," ",VLOOKUP((B52-'田面水シナリオ '!$I$5),$B$44:$F$64,5,FALSE)),"")</f>
        <v/>
      </c>
      <c r="H52" s="167" t="str">
        <f>IF('田面水シナリオ '!$G$5&gt;2,IF('田面水シナリオ '!$I$5*2&gt;B52," ",VLOOKUP((B52-'田面水シナリオ '!$I$5*2),$B$44:$F$64,5,FALSE)),"")</f>
        <v/>
      </c>
      <c r="I52" s="168">
        <f t="shared" si="3"/>
        <v>0</v>
      </c>
      <c r="J52" s="177"/>
      <c r="K52" s="164" t="str">
        <f t="shared" si="7"/>
        <v>end</v>
      </c>
      <c r="L52" s="220">
        <v>8</v>
      </c>
      <c r="M52" s="221" t="str">
        <f t="shared" ref="M52:M64" si="10">IF(AND(K52="end",K51="end"), "", IF(K52&lt;&gt;"",MIN(K51:K52),""))</f>
        <v/>
      </c>
      <c r="N52" s="221" t="str">
        <f t="shared" si="9"/>
        <v/>
      </c>
      <c r="O52" s="222" t="str">
        <f t="shared" si="8"/>
        <v/>
      </c>
      <c r="P52" s="177"/>
    </row>
    <row r="53" spans="2:16">
      <c r="B53" s="164">
        <v>9</v>
      </c>
      <c r="C53" s="215" t="str">
        <f t="shared" si="2"/>
        <v/>
      </c>
      <c r="D53" s="215">
        <f t="shared" si="4"/>
        <v>0</v>
      </c>
      <c r="E53" s="216" t="str">
        <f t="shared" si="5"/>
        <v>無</v>
      </c>
      <c r="F53" s="165">
        <f t="shared" si="6"/>
        <v>0</v>
      </c>
      <c r="G53" s="166" t="str">
        <f>IF('田面水シナリオ '!$G$5&gt;1,IF('田面水シナリオ '!$I$5&gt;B53," ",VLOOKUP((B53-'田面水シナリオ '!$I$5),$B$44:$F$64,5,FALSE)),"")</f>
        <v/>
      </c>
      <c r="H53" s="167" t="str">
        <f>IF('田面水シナリオ '!$G$5&gt;2,IF('田面水シナリオ '!$I$5*2&gt;B53," ",VLOOKUP((B53-'田面水シナリオ '!$I$5*2),$B$44:$F$64,5,FALSE)),"")</f>
        <v/>
      </c>
      <c r="I53" s="168">
        <f t="shared" si="3"/>
        <v>0</v>
      </c>
      <c r="J53" s="177"/>
      <c r="K53" s="164" t="str">
        <f t="shared" si="7"/>
        <v>end</v>
      </c>
      <c r="L53" s="220">
        <v>9</v>
      </c>
      <c r="M53" s="221" t="str">
        <f t="shared" si="10"/>
        <v/>
      </c>
      <c r="N53" s="221" t="str">
        <f t="shared" si="9"/>
        <v/>
      </c>
      <c r="O53" s="222" t="str">
        <f t="shared" si="8"/>
        <v/>
      </c>
      <c r="P53" s="177"/>
    </row>
    <row r="54" spans="2:16">
      <c r="B54" s="164">
        <v>10</v>
      </c>
      <c r="C54" s="215" t="str">
        <f t="shared" si="2"/>
        <v/>
      </c>
      <c r="D54" s="215">
        <f t="shared" si="4"/>
        <v>0</v>
      </c>
      <c r="E54" s="216" t="str">
        <f t="shared" si="5"/>
        <v>無</v>
      </c>
      <c r="F54" s="165">
        <f t="shared" si="6"/>
        <v>0</v>
      </c>
      <c r="G54" s="166" t="str">
        <f>IF('田面水シナリオ '!$G$5&gt;1,IF('田面水シナリオ '!$I$5&gt;B54," ",VLOOKUP((B54-'田面水シナリオ '!$I$5),$B$44:$F$64,5,FALSE)),"")</f>
        <v/>
      </c>
      <c r="H54" s="167" t="str">
        <f>IF('田面水シナリオ '!$G$5&gt;2,IF('田面水シナリオ '!$I$5*2&gt;B54," ",VLOOKUP((B54-'田面水シナリオ '!$I$5*2),$B$44:$F$64,5,FALSE)),"")</f>
        <v/>
      </c>
      <c r="I54" s="168">
        <f t="shared" si="3"/>
        <v>0</v>
      </c>
      <c r="J54" s="177"/>
      <c r="K54" s="164" t="str">
        <f t="shared" si="7"/>
        <v>end</v>
      </c>
      <c r="L54" s="220">
        <v>10</v>
      </c>
      <c r="M54" s="221" t="str">
        <f t="shared" si="10"/>
        <v/>
      </c>
      <c r="N54" s="221" t="str">
        <f t="shared" si="9"/>
        <v/>
      </c>
      <c r="O54" s="222" t="str">
        <f t="shared" si="8"/>
        <v/>
      </c>
      <c r="P54" s="177"/>
    </row>
    <row r="55" spans="2:16">
      <c r="B55" s="164">
        <v>11</v>
      </c>
      <c r="C55" s="215" t="str">
        <f t="shared" si="2"/>
        <v/>
      </c>
      <c r="D55" s="215">
        <f t="shared" si="4"/>
        <v>0</v>
      </c>
      <c r="E55" s="216" t="str">
        <f t="shared" si="5"/>
        <v>無</v>
      </c>
      <c r="F55" s="165">
        <f t="shared" si="6"/>
        <v>0</v>
      </c>
      <c r="G55" s="166" t="str">
        <f>IF('田面水シナリオ '!$G$5&gt;1,IF('田面水シナリオ '!$I$5&gt;B55," ",VLOOKUP((B55-'田面水シナリオ '!$I$5),$B$44:$F$64,5,FALSE)),"")</f>
        <v/>
      </c>
      <c r="H55" s="167" t="str">
        <f>IF('田面水シナリオ '!$G$5&gt;2,IF('田面水シナリオ '!$I$5*2&gt;B55," ",VLOOKUP((B55-'田面水シナリオ '!$I$5*2),$B$44:$F$64,5,FALSE)),"")</f>
        <v/>
      </c>
      <c r="I55" s="168">
        <f t="shared" si="3"/>
        <v>0</v>
      </c>
      <c r="J55" s="177"/>
      <c r="K55" s="164" t="str">
        <f t="shared" si="7"/>
        <v>end</v>
      </c>
      <c r="L55" s="220">
        <v>11</v>
      </c>
      <c r="M55" s="221" t="str">
        <f t="shared" si="10"/>
        <v/>
      </c>
      <c r="N55" s="221" t="str">
        <f t="shared" si="9"/>
        <v/>
      </c>
      <c r="O55" s="222" t="str">
        <f t="shared" si="8"/>
        <v/>
      </c>
      <c r="P55" s="177"/>
    </row>
    <row r="56" spans="2:16">
      <c r="B56" s="164">
        <v>12</v>
      </c>
      <c r="C56" s="215" t="str">
        <f t="shared" si="2"/>
        <v/>
      </c>
      <c r="D56" s="215">
        <f t="shared" si="4"/>
        <v>0</v>
      </c>
      <c r="E56" s="216" t="str">
        <f t="shared" si="5"/>
        <v>無</v>
      </c>
      <c r="F56" s="165">
        <f t="shared" si="6"/>
        <v>0</v>
      </c>
      <c r="G56" s="166" t="str">
        <f>IF('田面水シナリオ '!$G$5&gt;1,IF('田面水シナリオ '!$I$5&gt;B56," ",VLOOKUP((B56-'田面水シナリオ '!$I$5),$B$44:$F$64,5,FALSE)),"")</f>
        <v/>
      </c>
      <c r="H56" s="167" t="str">
        <f>IF('田面水シナリオ '!$G$5&gt;2,IF('田面水シナリオ '!$I$5*2&gt;B56," ",VLOOKUP((B56-'田面水シナリオ '!$I$5*2),$B$44:$F$64,5,FALSE)),"")</f>
        <v/>
      </c>
      <c r="I56" s="168">
        <f t="shared" si="3"/>
        <v>0</v>
      </c>
      <c r="J56" s="177"/>
      <c r="K56" s="164" t="str">
        <f t="shared" si="7"/>
        <v>end</v>
      </c>
      <c r="L56" s="220">
        <v>12</v>
      </c>
      <c r="M56" s="221" t="str">
        <f t="shared" si="10"/>
        <v/>
      </c>
      <c r="N56" s="221" t="str">
        <f t="shared" si="9"/>
        <v/>
      </c>
      <c r="O56" s="222" t="str">
        <f t="shared" si="8"/>
        <v/>
      </c>
      <c r="P56" s="177"/>
    </row>
    <row r="57" spans="2:16">
      <c r="B57" s="164">
        <v>13</v>
      </c>
      <c r="C57" s="215" t="str">
        <f t="shared" si="2"/>
        <v/>
      </c>
      <c r="D57" s="215">
        <f t="shared" si="4"/>
        <v>0</v>
      </c>
      <c r="E57" s="216" t="str">
        <f t="shared" si="5"/>
        <v>無</v>
      </c>
      <c r="F57" s="165">
        <f t="shared" si="6"/>
        <v>0</v>
      </c>
      <c r="G57" s="166" t="str">
        <f>IF('田面水シナリオ '!$G$5&gt;1,IF('田面水シナリオ '!$I$5&gt;B57," ",VLOOKUP((B57-'田面水シナリオ '!$I$5),$B$44:$F$64,5,FALSE)),"")</f>
        <v/>
      </c>
      <c r="H57" s="167" t="str">
        <f>IF('田面水シナリオ '!$G$5&gt;2,IF('田面水シナリオ '!$I$5*2&gt;B57," ",VLOOKUP((B57-'田面水シナリオ '!$I$5*2),$B$44:$F$64,5,FALSE)),"")</f>
        <v/>
      </c>
      <c r="I57" s="168">
        <f t="shared" si="3"/>
        <v>0</v>
      </c>
      <c r="J57" s="177"/>
      <c r="K57" s="164" t="str">
        <f t="shared" si="7"/>
        <v>end</v>
      </c>
      <c r="L57" s="220">
        <v>13</v>
      </c>
      <c r="M57" s="221" t="str">
        <f t="shared" si="10"/>
        <v/>
      </c>
      <c r="N57" s="221" t="str">
        <f t="shared" si="9"/>
        <v/>
      </c>
      <c r="O57" s="222" t="str">
        <f t="shared" si="8"/>
        <v/>
      </c>
      <c r="P57" s="177"/>
    </row>
    <row r="58" spans="2:16">
      <c r="B58" s="164">
        <v>14</v>
      </c>
      <c r="C58" s="215">
        <f t="shared" si="2"/>
        <v>0</v>
      </c>
      <c r="D58" s="215">
        <f>IF(MAX($K$44:$K$63)&lt;B58, "", IF(B58=VLOOKUP(B58, $K$44:$K$63,1,1), C58,D57-INDEX($O$44:$O$63, MATCH(VLOOKUP(B58, $K$44:$K$63,1,1), $K$44:$K$63)+1, 1)))</f>
        <v>0</v>
      </c>
      <c r="E58" s="216" t="str">
        <f t="shared" si="5"/>
        <v>無</v>
      </c>
      <c r="F58" s="165">
        <f t="shared" si="6"/>
        <v>0</v>
      </c>
      <c r="G58" s="166" t="str">
        <f>IF('田面水シナリオ '!$G$5&gt;1,IF('田面水シナリオ '!$I$5&gt;B58," ",VLOOKUP((B58-'田面水シナリオ '!$I$5),$B$44:$F$64,5,FALSE)),"")</f>
        <v/>
      </c>
      <c r="H58" s="167" t="str">
        <f>IF('田面水シナリオ '!$G$5&gt;2,IF('田面水シナリオ '!$I$5*2&gt;B58," ",VLOOKUP((B58-'田面水シナリオ '!$I$5*2),$B$44:$F$64,5,FALSE)),"")</f>
        <v/>
      </c>
      <c r="I58" s="168">
        <f t="shared" si="3"/>
        <v>0</v>
      </c>
      <c r="J58" s="177"/>
      <c r="K58" s="164" t="str">
        <f t="shared" si="7"/>
        <v>end</v>
      </c>
      <c r="L58" s="220">
        <v>14</v>
      </c>
      <c r="M58" s="221" t="str">
        <f t="shared" si="10"/>
        <v/>
      </c>
      <c r="N58" s="221" t="str">
        <f t="shared" si="9"/>
        <v/>
      </c>
      <c r="O58" s="222" t="str">
        <f t="shared" si="8"/>
        <v/>
      </c>
      <c r="P58" s="177"/>
    </row>
    <row r="59" spans="2:16">
      <c r="B59" s="169">
        <v>15</v>
      </c>
      <c r="C59" s="215" t="str">
        <f t="shared" si="2"/>
        <v/>
      </c>
      <c r="D59" s="215" t="str">
        <f t="shared" si="4"/>
        <v/>
      </c>
      <c r="E59" s="216" t="str">
        <f t="shared" si="5"/>
        <v>無</v>
      </c>
      <c r="F59" s="165" t="e">
        <f t="shared" si="6"/>
        <v>#VALUE!</v>
      </c>
      <c r="G59" s="166" t="str">
        <f>IF('田面水シナリオ '!$G$5&gt;1,IF('田面水シナリオ '!$I$5&gt;B59," ",VLOOKUP((B59-'田面水シナリオ '!$I$5),$B$44:$F$64,5,FALSE)),"")</f>
        <v/>
      </c>
      <c r="H59" s="167" t="str">
        <f>IF('田面水シナリオ '!$G$5&gt;2,IF('田面水シナリオ '!$I$5*2&gt;B59," ",VLOOKUP((B59-'田面水シナリオ '!$I$5*2),$B$44:$F$64,5,FALSE)),"")</f>
        <v/>
      </c>
      <c r="I59" s="168" t="e">
        <f t="shared" si="3"/>
        <v>#VALUE!</v>
      </c>
      <c r="J59" s="177"/>
      <c r="K59" s="164" t="str">
        <f t="shared" si="7"/>
        <v>end</v>
      </c>
      <c r="L59" s="220">
        <v>15</v>
      </c>
      <c r="M59" s="221" t="str">
        <f>IF(AND(K59="end",K58="end"), "", IF(K59&lt;&gt;"",MIN(K58:K59),""))</f>
        <v/>
      </c>
      <c r="N59" s="221" t="str">
        <f>IF(AND(K59="end",K58="end"), "", IF(K59&lt;&gt;"",MAX(K58:K59),""))</f>
        <v/>
      </c>
      <c r="O59" s="222" t="str">
        <f t="shared" si="8"/>
        <v/>
      </c>
      <c r="P59" s="177"/>
    </row>
    <row r="60" spans="2:16">
      <c r="B60" s="164">
        <v>16</v>
      </c>
      <c r="C60" s="215" t="str">
        <f t="shared" si="2"/>
        <v/>
      </c>
      <c r="D60" s="215" t="str">
        <f t="shared" si="4"/>
        <v/>
      </c>
      <c r="E60" s="216" t="str">
        <f t="shared" si="5"/>
        <v>無</v>
      </c>
      <c r="F60" s="165" t="e">
        <f t="shared" si="6"/>
        <v>#VALUE!</v>
      </c>
      <c r="G60" s="166" t="str">
        <f>IF('田面水シナリオ '!$G$5&gt;1,IF('田面水シナリオ '!$I$5&gt;B60," ",VLOOKUP((B60-'田面水シナリオ '!$I$5),$B$44:$F$64,5,FALSE)),"")</f>
        <v/>
      </c>
      <c r="H60" s="167" t="str">
        <f>IF('田面水シナリオ '!$G$5&gt;2,IF('田面水シナリオ '!$I$5*2&gt;B60," ",VLOOKUP((B60-'田面水シナリオ '!$I$5*2),$B$44:$F$64,5,FALSE)),"")</f>
        <v/>
      </c>
      <c r="I60" s="168" t="e">
        <f t="shared" si="3"/>
        <v>#VALUE!</v>
      </c>
      <c r="J60" s="177"/>
      <c r="K60" s="164" t="str">
        <f t="shared" si="7"/>
        <v>end</v>
      </c>
      <c r="L60" s="220">
        <v>16</v>
      </c>
      <c r="M60" s="221" t="str">
        <f t="shared" si="10"/>
        <v/>
      </c>
      <c r="N60" s="221" t="str">
        <f t="shared" si="9"/>
        <v/>
      </c>
      <c r="O60" s="222" t="str">
        <f t="shared" si="8"/>
        <v/>
      </c>
      <c r="P60" s="177"/>
    </row>
    <row r="61" spans="2:16">
      <c r="B61" s="164">
        <v>17</v>
      </c>
      <c r="C61" s="215" t="str">
        <f t="shared" si="2"/>
        <v/>
      </c>
      <c r="D61" s="215" t="str">
        <f t="shared" si="4"/>
        <v/>
      </c>
      <c r="E61" s="216" t="str">
        <f t="shared" si="5"/>
        <v>無</v>
      </c>
      <c r="F61" s="165" t="e">
        <f t="shared" si="6"/>
        <v>#VALUE!</v>
      </c>
      <c r="G61" s="166" t="str">
        <f>IF('田面水シナリオ '!$G$5&gt;1,IF('田面水シナリオ '!$I$5&gt;B61," ",VLOOKUP((B61-'田面水シナリオ '!$I$5),$B$44:$F$64,5,FALSE)),"")</f>
        <v/>
      </c>
      <c r="H61" s="167" t="str">
        <f>IF('田面水シナリオ '!$G$5&gt;2,IF('田面水シナリオ '!$I$5*2&gt;B61," ",VLOOKUP((B61-'田面水シナリオ '!$I$5*2),$B$44:$F$64,5,FALSE)),"")</f>
        <v/>
      </c>
      <c r="I61" s="168" t="e">
        <f t="shared" si="3"/>
        <v>#VALUE!</v>
      </c>
      <c r="J61" s="177"/>
      <c r="K61" s="164" t="str">
        <f t="shared" si="7"/>
        <v>end</v>
      </c>
      <c r="L61" s="220">
        <v>17</v>
      </c>
      <c r="M61" s="221" t="str">
        <f t="shared" si="10"/>
        <v/>
      </c>
      <c r="N61" s="221" t="str">
        <f t="shared" si="9"/>
        <v/>
      </c>
      <c r="O61" s="222" t="str">
        <f t="shared" si="8"/>
        <v/>
      </c>
      <c r="P61" s="177"/>
    </row>
    <row r="62" spans="2:16">
      <c r="B62" s="164">
        <v>18</v>
      </c>
      <c r="C62" s="215" t="str">
        <f t="shared" si="2"/>
        <v/>
      </c>
      <c r="D62" s="215" t="str">
        <f t="shared" si="4"/>
        <v/>
      </c>
      <c r="E62" s="216" t="str">
        <f t="shared" si="5"/>
        <v>無</v>
      </c>
      <c r="F62" s="165" t="e">
        <f t="shared" si="6"/>
        <v>#VALUE!</v>
      </c>
      <c r="G62" s="166" t="str">
        <f>IF('田面水シナリオ '!$G$5&gt;1,IF('田面水シナリオ '!$I$5&gt;B62," ",VLOOKUP((B62-'田面水シナリオ '!$I$5),$B$44:$F$64,5,FALSE)),"")</f>
        <v/>
      </c>
      <c r="H62" s="167" t="str">
        <f>IF('田面水シナリオ '!$G$5&gt;2,IF('田面水シナリオ '!$I$5*2&gt;B62," ",VLOOKUP((B62-'田面水シナリオ '!$I$5*2),$B$44:$F$64,5,FALSE)),"")</f>
        <v/>
      </c>
      <c r="I62" s="168" t="e">
        <f t="shared" si="3"/>
        <v>#VALUE!</v>
      </c>
      <c r="J62" s="177"/>
      <c r="K62" s="164" t="str">
        <f t="shared" si="7"/>
        <v>end</v>
      </c>
      <c r="L62" s="220">
        <v>18</v>
      </c>
      <c r="M62" s="221" t="str">
        <f t="shared" si="10"/>
        <v/>
      </c>
      <c r="N62" s="221" t="str">
        <f t="shared" si="9"/>
        <v/>
      </c>
      <c r="O62" s="222" t="str">
        <f t="shared" si="8"/>
        <v/>
      </c>
      <c r="P62" s="177"/>
    </row>
    <row r="63" spans="2:16">
      <c r="B63" s="164">
        <v>19</v>
      </c>
      <c r="C63" s="215" t="str">
        <f t="shared" si="2"/>
        <v/>
      </c>
      <c r="D63" s="215" t="str">
        <f t="shared" si="4"/>
        <v/>
      </c>
      <c r="E63" s="216" t="str">
        <f t="shared" si="5"/>
        <v>無</v>
      </c>
      <c r="F63" s="165" t="e">
        <f t="shared" si="6"/>
        <v>#VALUE!</v>
      </c>
      <c r="G63" s="166" t="str">
        <f>IF('田面水シナリオ '!$G$5&gt;1,IF('田面水シナリオ '!$I$5&gt;B63," ",VLOOKUP((B63-'田面水シナリオ '!$I$5),$B$44:$F$64,5,FALSE)),"")</f>
        <v/>
      </c>
      <c r="H63" s="167" t="str">
        <f>IF('田面水シナリオ '!$G$5&gt;2,IF('田面水シナリオ '!$I$5*2&gt;B63," ",VLOOKUP((B63-'田面水シナリオ '!$I$5*2),$B$44:$F$64,5,FALSE)),"")</f>
        <v/>
      </c>
      <c r="I63" s="168" t="e">
        <f t="shared" si="3"/>
        <v>#VALUE!</v>
      </c>
      <c r="J63" s="177"/>
      <c r="K63" s="164" t="str">
        <f t="shared" si="7"/>
        <v>end</v>
      </c>
      <c r="L63" s="220">
        <v>19</v>
      </c>
      <c r="M63" s="221" t="str">
        <f t="shared" si="10"/>
        <v/>
      </c>
      <c r="N63" s="221" t="str">
        <f t="shared" si="9"/>
        <v/>
      </c>
      <c r="O63" s="222" t="str">
        <f t="shared" si="8"/>
        <v/>
      </c>
      <c r="P63" s="177"/>
    </row>
    <row r="64" spans="2:16" ht="13.5" thickBot="1">
      <c r="B64" s="170">
        <v>20</v>
      </c>
      <c r="C64" s="223" t="str">
        <f t="shared" si="2"/>
        <v/>
      </c>
      <c r="D64" s="223" t="str">
        <f t="shared" si="4"/>
        <v/>
      </c>
      <c r="E64" s="224" t="str">
        <f t="shared" ref="E64" si="11">IF($H$20=0,"無",IF($H$22=1,IF(B64&lt;$H$20,"有","無"),IF($H$22=2,IF($H$20&gt;=$H$24,IF($H$26&gt;=21,"有",IF(B64&lt;$H$26,"有","無")),IF(B64&lt;$H$20,"有",IF($H$20&lt;=B64&lt;$H$24,"無",IF(AND($H$24&lt;=B64,B64&lt;$H$26),"有","無")))),IF($H$22&gt;=3,IF($H$20&gt;=$H$24,"有",IF($H$20&lt;$H$24,IF(B64&lt;$H$20,"有",IF(AND($H$20&lt;=B64,B64&lt;$H$24),"無",IF(AND($H$24&lt;=B64,B64&lt;$H$26),"有",IF(AND($H$26&lt;=B64,B64&lt;$H$27),"無",IF(AND($H$27&lt;=B64,B64&lt;$H$28),"有","無")))))))))))</f>
        <v>無</v>
      </c>
      <c r="F64" s="171" t="e">
        <f t="shared" si="6"/>
        <v>#VALUE!</v>
      </c>
      <c r="G64" s="172" t="str">
        <f>IF('田面水シナリオ '!$G$5&gt;1,IF('田面水シナリオ '!$I$5&gt;B64," ",VLOOKUP((B64-'田面水シナリオ '!$I$5),$B$44:$F$64,5,FALSE)),"")</f>
        <v/>
      </c>
      <c r="H64" s="173" t="str">
        <f>IF('田面水シナリオ '!$G$5&gt;2,IF('田面水シナリオ '!$I$5*2&gt;B64," ",VLOOKUP((B64-'田面水シナリオ '!$I$5*2),$B$44:$F$64,5,FALSE)),"")</f>
        <v/>
      </c>
      <c r="I64" s="174" t="e">
        <f t="shared" si="3"/>
        <v>#VALUE!</v>
      </c>
      <c r="J64" s="177"/>
      <c r="K64" s="225" t="str">
        <f t="shared" si="7"/>
        <v>end</v>
      </c>
      <c r="L64" s="220">
        <v>20</v>
      </c>
      <c r="M64" s="226" t="str">
        <f t="shared" si="10"/>
        <v/>
      </c>
      <c r="N64" s="226" t="str">
        <f t="shared" si="9"/>
        <v/>
      </c>
      <c r="O64" s="227" t="str">
        <f t="shared" si="8"/>
        <v/>
      </c>
    </row>
    <row r="65" spans="2:16" ht="13.5" thickTop="1">
      <c r="B65" s="177"/>
      <c r="C65" s="177"/>
      <c r="D65" s="177"/>
      <c r="E65" s="177"/>
      <c r="F65" s="177"/>
      <c r="G65" s="177"/>
      <c r="H65" s="177"/>
      <c r="I65" s="177"/>
      <c r="J65" s="177"/>
      <c r="K65" s="228" t="s">
        <v>201</v>
      </c>
      <c r="L65" s="229"/>
      <c r="M65" s="228"/>
      <c r="N65" s="228"/>
      <c r="O65" s="228"/>
      <c r="P65" s="177"/>
    </row>
    <row r="66" spans="2:16">
      <c r="B66" s="177"/>
      <c r="C66" s="177"/>
      <c r="D66" s="177"/>
      <c r="E66" s="177"/>
      <c r="F66" s="177"/>
      <c r="G66" s="177"/>
      <c r="H66" s="177"/>
      <c r="I66" s="177"/>
      <c r="J66" s="177"/>
      <c r="K66" s="230"/>
      <c r="L66" s="231"/>
      <c r="M66" s="230"/>
      <c r="N66" s="230"/>
      <c r="O66" s="230"/>
      <c r="P66" s="177"/>
    </row>
    <row r="67" spans="2:16">
      <c r="B67" s="177"/>
      <c r="C67" s="177"/>
      <c r="D67" s="177"/>
      <c r="E67" s="177"/>
      <c r="F67" s="177"/>
      <c r="G67" s="177"/>
      <c r="H67" s="177"/>
      <c r="I67" s="177"/>
      <c r="J67" s="177"/>
      <c r="K67" s="230"/>
      <c r="L67" s="232"/>
      <c r="M67" s="230"/>
      <c r="N67" s="230"/>
      <c r="O67" s="230"/>
      <c r="P67" s="177"/>
    </row>
    <row r="68" spans="2:16">
      <c r="B68" s="177"/>
      <c r="C68" s="177"/>
      <c r="D68" s="177"/>
      <c r="E68" s="177"/>
      <c r="F68" s="177"/>
      <c r="G68" s="177"/>
      <c r="H68" s="177"/>
      <c r="I68" s="177"/>
      <c r="J68" s="177"/>
      <c r="K68" s="230"/>
      <c r="L68" s="233"/>
      <c r="M68" s="230"/>
      <c r="N68" s="230"/>
      <c r="O68" s="230"/>
      <c r="P68" s="177"/>
    </row>
    <row r="69" spans="2:16">
      <c r="B69" s="177"/>
      <c r="C69" s="177"/>
      <c r="D69" s="177"/>
      <c r="E69" s="177"/>
      <c r="F69" s="177"/>
      <c r="G69" s="177"/>
      <c r="H69" s="177"/>
      <c r="I69" s="177"/>
      <c r="J69" s="177"/>
      <c r="K69" s="230"/>
      <c r="L69" s="234"/>
      <c r="M69" s="230"/>
      <c r="N69" s="230"/>
      <c r="O69" s="230"/>
      <c r="P69" s="177"/>
    </row>
    <row r="70" spans="2:16">
      <c r="B70" s="177"/>
      <c r="C70" s="177"/>
      <c r="D70" s="177"/>
      <c r="E70" s="177"/>
      <c r="F70" s="177"/>
      <c r="G70" s="177"/>
      <c r="H70" s="177"/>
      <c r="I70" s="177"/>
      <c r="J70" s="177"/>
      <c r="K70" s="230"/>
      <c r="L70" s="177"/>
      <c r="M70" s="230" t="str">
        <f>IF(K70&lt;&gt;"",MIN(K69:K70),"")</f>
        <v/>
      </c>
      <c r="N70" s="230" t="str">
        <f>IF(K70&lt;&gt;"",MAX(K69:K70),"")</f>
        <v/>
      </c>
      <c r="O70" s="230"/>
      <c r="P70" s="177"/>
    </row>
    <row r="71" spans="2:16">
      <c r="B71" s="177"/>
      <c r="C71" s="177"/>
      <c r="D71" s="177"/>
      <c r="E71" s="177"/>
      <c r="F71" s="177"/>
      <c r="G71" s="177"/>
      <c r="H71" s="177"/>
      <c r="I71" s="177"/>
      <c r="J71" s="177"/>
      <c r="K71" s="177"/>
      <c r="L71" s="177"/>
      <c r="M71" s="178"/>
      <c r="N71" s="178"/>
      <c r="O71" s="178"/>
      <c r="P71" s="178"/>
    </row>
    <row r="72" spans="2:16">
      <c r="B72" s="177"/>
      <c r="C72" s="177"/>
      <c r="D72" s="177"/>
      <c r="E72" s="177"/>
      <c r="F72" s="177"/>
      <c r="G72" s="177"/>
      <c r="H72" s="177"/>
      <c r="I72" s="177"/>
      <c r="J72" s="177"/>
      <c r="K72" s="177"/>
      <c r="L72" s="177"/>
      <c r="M72" s="178"/>
      <c r="N72" s="178"/>
      <c r="O72" s="178"/>
      <c r="P72" s="178"/>
    </row>
    <row r="73" spans="2:16">
      <c r="B73" s="177"/>
      <c r="C73" s="177"/>
      <c r="D73" s="177"/>
      <c r="E73" s="177"/>
      <c r="F73" s="177"/>
      <c r="G73" s="177"/>
      <c r="H73" s="177"/>
      <c r="I73" s="177"/>
      <c r="J73" s="177"/>
      <c r="K73" s="177"/>
      <c r="L73" s="177"/>
      <c r="M73" s="178"/>
      <c r="N73" s="178"/>
      <c r="O73" s="178"/>
      <c r="P73" s="178"/>
    </row>
    <row r="74" spans="2:16">
      <c r="B74" s="177"/>
      <c r="C74" s="177"/>
      <c r="D74" s="177"/>
      <c r="E74" s="177"/>
      <c r="F74" s="177"/>
      <c r="G74" s="177"/>
      <c r="H74" s="177"/>
      <c r="I74" s="177"/>
      <c r="J74" s="177"/>
      <c r="K74" s="177"/>
      <c r="L74" s="177"/>
      <c r="M74" s="178"/>
      <c r="N74" s="178"/>
      <c r="O74" s="178"/>
      <c r="P74" s="178"/>
    </row>
    <row r="75" spans="2:16">
      <c r="B75" s="177"/>
      <c r="C75" s="177"/>
      <c r="D75" s="177"/>
      <c r="E75" s="177"/>
      <c r="F75" s="177"/>
      <c r="G75" s="177"/>
      <c r="H75" s="177"/>
      <c r="I75" s="177"/>
      <c r="J75" s="177"/>
      <c r="K75" s="177"/>
      <c r="L75" s="177"/>
      <c r="M75" s="178"/>
      <c r="N75" s="178"/>
      <c r="O75" s="178"/>
      <c r="P75" s="178"/>
    </row>
    <row r="76" spans="2:16">
      <c r="B76" s="177"/>
      <c r="C76" s="177"/>
      <c r="D76" s="177"/>
      <c r="E76" s="177"/>
      <c r="F76" s="177"/>
      <c r="G76" s="177"/>
      <c r="H76" s="177"/>
      <c r="I76" s="177"/>
      <c r="J76" s="177"/>
      <c r="K76" s="177"/>
      <c r="L76" s="177"/>
      <c r="M76" s="178"/>
      <c r="N76" s="178"/>
      <c r="O76" s="178"/>
      <c r="P76" s="178"/>
    </row>
    <row r="77" spans="2:16">
      <c r="B77" s="177"/>
      <c r="C77" s="177"/>
      <c r="D77" s="177"/>
      <c r="E77" s="177"/>
      <c r="F77" s="177"/>
      <c r="G77" s="177"/>
      <c r="H77" s="177"/>
      <c r="I77" s="177"/>
      <c r="J77" s="177"/>
      <c r="K77" s="177"/>
      <c r="L77" s="177"/>
      <c r="M77" s="178"/>
      <c r="N77" s="178"/>
      <c r="O77" s="178"/>
      <c r="P77" s="178"/>
    </row>
    <row r="78" spans="2:16">
      <c r="B78" s="177"/>
      <c r="C78" s="177"/>
      <c r="D78" s="177"/>
      <c r="E78" s="177"/>
      <c r="F78" s="177"/>
      <c r="G78" s="177"/>
      <c r="H78" s="177"/>
      <c r="I78" s="177"/>
      <c r="J78" s="177"/>
      <c r="K78" s="177"/>
      <c r="L78" s="177"/>
      <c r="M78" s="178"/>
      <c r="N78" s="178"/>
      <c r="O78" s="178"/>
      <c r="P78" s="178"/>
    </row>
    <row r="79" spans="2:16">
      <c r="B79" s="177"/>
      <c r="C79" s="177"/>
      <c r="D79" s="177"/>
      <c r="E79" s="177"/>
      <c r="F79" s="177"/>
      <c r="G79" s="177"/>
      <c r="H79" s="177"/>
      <c r="I79" s="177"/>
      <c r="J79" s="177"/>
      <c r="K79" s="177"/>
      <c r="L79" s="177"/>
      <c r="M79" s="178"/>
      <c r="N79" s="178"/>
      <c r="O79" s="178"/>
      <c r="P79" s="178"/>
    </row>
    <row r="80" spans="2:16">
      <c r="B80" s="177"/>
      <c r="C80" s="177"/>
      <c r="D80" s="177"/>
      <c r="E80" s="177"/>
      <c r="F80" s="177"/>
      <c r="G80" s="177"/>
      <c r="H80" s="177"/>
      <c r="I80" s="177"/>
      <c r="J80" s="177"/>
      <c r="K80" s="177"/>
      <c r="L80" s="177"/>
      <c r="M80" s="178"/>
      <c r="N80" s="178"/>
      <c r="O80" s="178"/>
      <c r="P80" s="178"/>
    </row>
    <row r="81" spans="2:16">
      <c r="B81" s="177"/>
      <c r="C81" s="177"/>
      <c r="D81" s="177"/>
      <c r="E81" s="177"/>
      <c r="F81" s="177"/>
      <c r="G81" s="177"/>
      <c r="H81" s="177"/>
      <c r="I81" s="177"/>
      <c r="J81" s="177"/>
      <c r="K81" s="177"/>
      <c r="L81" s="177"/>
      <c r="M81" s="178"/>
      <c r="N81" s="178"/>
      <c r="O81" s="178"/>
      <c r="P81" s="178"/>
    </row>
    <row r="82" spans="2:16">
      <c r="B82" s="177"/>
      <c r="C82" s="177"/>
      <c r="D82" s="177"/>
      <c r="E82" s="177"/>
      <c r="F82" s="177"/>
      <c r="G82" s="177"/>
      <c r="H82" s="177"/>
      <c r="I82" s="177"/>
      <c r="J82" s="177"/>
      <c r="K82" s="177"/>
      <c r="L82" s="177"/>
      <c r="M82" s="178"/>
      <c r="N82" s="178"/>
      <c r="O82" s="178"/>
      <c r="P82" s="178"/>
    </row>
    <row r="83" spans="2:16">
      <c r="B83" s="177"/>
      <c r="C83" s="177"/>
      <c r="D83" s="177"/>
      <c r="E83" s="177"/>
      <c r="F83" s="177"/>
      <c r="G83" s="177"/>
      <c r="H83" s="177"/>
      <c r="I83" s="177"/>
      <c r="J83" s="177"/>
      <c r="K83" s="177"/>
      <c r="L83" s="177"/>
      <c r="M83" s="178"/>
      <c r="N83" s="178"/>
      <c r="O83" s="178"/>
      <c r="P83" s="178"/>
    </row>
    <row r="84" spans="2:16">
      <c r="B84" s="177"/>
      <c r="C84" s="177"/>
      <c r="D84" s="177"/>
      <c r="E84" s="177"/>
      <c r="F84" s="177"/>
      <c r="G84" s="177"/>
      <c r="H84" s="177"/>
      <c r="I84" s="177"/>
      <c r="J84" s="177"/>
      <c r="K84" s="177"/>
      <c r="L84" s="177"/>
      <c r="M84" s="178"/>
      <c r="N84" s="178"/>
      <c r="O84" s="178"/>
      <c r="P84" s="178"/>
    </row>
    <row r="85" spans="2:16">
      <c r="B85" s="177"/>
      <c r="C85" s="177"/>
      <c r="D85" s="177"/>
      <c r="E85" s="177"/>
      <c r="F85" s="177"/>
      <c r="G85" s="177"/>
      <c r="H85" s="177"/>
      <c r="I85" s="177"/>
      <c r="J85" s="177"/>
      <c r="K85" s="177"/>
      <c r="L85" s="177"/>
      <c r="M85" s="178"/>
      <c r="N85" s="178"/>
      <c r="O85" s="178"/>
      <c r="P85" s="178"/>
    </row>
    <row r="86" spans="2:16">
      <c r="B86" s="177"/>
      <c r="C86" s="177"/>
      <c r="D86" s="177"/>
      <c r="E86" s="177"/>
      <c r="F86" s="177"/>
      <c r="G86" s="177"/>
      <c r="H86" s="177"/>
      <c r="I86" s="177"/>
      <c r="J86" s="177"/>
      <c r="K86" s="177"/>
      <c r="L86" s="177"/>
      <c r="M86" s="178"/>
      <c r="N86" s="178"/>
      <c r="O86" s="178"/>
      <c r="P86" s="178"/>
    </row>
    <row r="87" spans="2:16">
      <c r="B87" s="177"/>
      <c r="C87" s="177"/>
      <c r="D87" s="177"/>
      <c r="E87" s="177"/>
      <c r="F87" s="177"/>
      <c r="G87" s="177"/>
      <c r="H87" s="177"/>
      <c r="I87" s="177"/>
      <c r="J87" s="177"/>
      <c r="K87" s="177"/>
      <c r="L87" s="177"/>
      <c r="M87" s="178"/>
      <c r="N87" s="178"/>
      <c r="O87" s="178"/>
      <c r="P87" s="178"/>
    </row>
    <row r="88" spans="2:16">
      <c r="B88" s="177"/>
      <c r="C88" s="177"/>
      <c r="D88" s="177"/>
      <c r="E88" s="177"/>
      <c r="F88" s="177"/>
      <c r="G88" s="177"/>
      <c r="H88" s="177"/>
      <c r="I88" s="177"/>
      <c r="J88" s="177"/>
      <c r="K88" s="177"/>
      <c r="L88" s="177"/>
      <c r="M88" s="178"/>
      <c r="N88" s="178"/>
      <c r="O88" s="178"/>
      <c r="P88" s="178"/>
    </row>
    <row r="89" spans="2:16">
      <c r="B89" s="177"/>
      <c r="C89" s="177"/>
      <c r="D89" s="177"/>
      <c r="E89" s="177"/>
      <c r="F89" s="177"/>
      <c r="G89" s="177"/>
      <c r="H89" s="177"/>
      <c r="I89" s="177"/>
      <c r="J89" s="177"/>
      <c r="K89" s="177"/>
      <c r="L89" s="177"/>
      <c r="M89" s="178"/>
      <c r="N89" s="178"/>
      <c r="O89" s="178"/>
      <c r="P89" s="178"/>
    </row>
    <row r="90" spans="2:16">
      <c r="B90" s="177"/>
      <c r="C90" s="177"/>
      <c r="D90" s="177"/>
      <c r="E90" s="177"/>
      <c r="F90" s="177"/>
      <c r="G90" s="177"/>
      <c r="H90" s="177"/>
      <c r="I90" s="177"/>
      <c r="J90" s="177"/>
      <c r="K90" s="177"/>
      <c r="L90" s="177"/>
      <c r="M90" s="178"/>
      <c r="N90" s="178"/>
      <c r="O90" s="178"/>
      <c r="P90" s="178"/>
    </row>
    <row r="91" spans="2:16">
      <c r="B91" s="177"/>
      <c r="C91" s="177"/>
      <c r="D91" s="177"/>
      <c r="E91" s="177"/>
      <c r="F91" s="177"/>
      <c r="G91" s="177"/>
      <c r="H91" s="177"/>
      <c r="I91" s="177"/>
      <c r="J91" s="177"/>
      <c r="K91" s="177"/>
      <c r="L91" s="177"/>
      <c r="M91" s="178"/>
      <c r="N91" s="178"/>
      <c r="O91" s="178"/>
      <c r="P91" s="178"/>
    </row>
    <row r="92" spans="2:16">
      <c r="B92" s="177"/>
      <c r="C92" s="177"/>
      <c r="D92" s="177"/>
      <c r="E92" s="177"/>
      <c r="F92" s="177"/>
      <c r="G92" s="177"/>
      <c r="H92" s="177"/>
      <c r="I92" s="177"/>
      <c r="J92" s="177"/>
      <c r="K92" s="177"/>
      <c r="L92" s="177"/>
      <c r="M92" s="178"/>
      <c r="N92" s="178"/>
      <c r="O92" s="178"/>
      <c r="P92" s="178"/>
    </row>
    <row r="93" spans="2:16">
      <c r="B93" s="177"/>
      <c r="C93" s="177"/>
      <c r="D93" s="177"/>
      <c r="E93" s="177"/>
      <c r="F93" s="177"/>
      <c r="G93" s="177"/>
      <c r="H93" s="177"/>
      <c r="I93" s="177"/>
      <c r="J93" s="177"/>
      <c r="K93" s="177"/>
      <c r="L93" s="177"/>
      <c r="M93" s="178"/>
      <c r="N93" s="178"/>
      <c r="O93" s="178"/>
      <c r="P93" s="178"/>
    </row>
    <row r="94" spans="2:16">
      <c r="B94" s="177"/>
      <c r="C94" s="177"/>
      <c r="D94" s="177"/>
      <c r="E94" s="177"/>
      <c r="F94" s="177"/>
      <c r="G94" s="177"/>
      <c r="H94" s="177"/>
      <c r="I94" s="177"/>
      <c r="J94" s="177"/>
      <c r="K94" s="177"/>
      <c r="L94" s="177"/>
      <c r="M94" s="178"/>
      <c r="N94" s="178"/>
      <c r="O94" s="178"/>
      <c r="P94" s="178"/>
    </row>
    <row r="95" spans="2:16">
      <c r="B95" s="177"/>
      <c r="C95" s="177"/>
      <c r="D95" s="177"/>
      <c r="E95" s="177"/>
      <c r="F95" s="177"/>
      <c r="G95" s="177"/>
      <c r="H95" s="177"/>
      <c r="I95" s="177"/>
      <c r="J95" s="177"/>
      <c r="K95" s="177"/>
      <c r="L95" s="177"/>
      <c r="M95" s="178"/>
      <c r="N95" s="178"/>
      <c r="O95" s="178"/>
      <c r="P95" s="178"/>
    </row>
    <row r="96" spans="2:16">
      <c r="B96" s="177"/>
      <c r="C96" s="177"/>
      <c r="D96" s="177"/>
      <c r="E96" s="177"/>
      <c r="F96" s="177"/>
      <c r="G96" s="177"/>
      <c r="H96" s="177"/>
      <c r="I96" s="177"/>
      <c r="J96" s="177"/>
      <c r="K96" s="177"/>
      <c r="L96" s="177"/>
      <c r="M96" s="178"/>
      <c r="N96" s="178"/>
      <c r="O96" s="178"/>
      <c r="P96" s="178"/>
    </row>
    <row r="97" spans="2:16">
      <c r="B97" s="177"/>
      <c r="C97" s="177"/>
      <c r="D97" s="177"/>
      <c r="E97" s="177"/>
      <c r="F97" s="177"/>
      <c r="G97" s="177"/>
      <c r="H97" s="177"/>
      <c r="I97" s="177"/>
      <c r="J97" s="177"/>
      <c r="K97" s="177"/>
      <c r="L97" s="177"/>
      <c r="M97" s="178"/>
      <c r="N97" s="178"/>
      <c r="O97" s="178"/>
      <c r="P97" s="178"/>
    </row>
    <row r="98" spans="2:16">
      <c r="B98" s="177"/>
      <c r="C98" s="177"/>
      <c r="D98" s="177"/>
      <c r="E98" s="177"/>
      <c r="F98" s="177"/>
      <c r="G98" s="177"/>
      <c r="H98" s="177"/>
      <c r="I98" s="177"/>
      <c r="J98" s="177"/>
      <c r="K98" s="177"/>
      <c r="L98" s="177"/>
      <c r="M98" s="178"/>
      <c r="N98" s="178"/>
      <c r="O98" s="178"/>
      <c r="P98" s="178"/>
    </row>
    <row r="99" spans="2:16">
      <c r="B99" s="177"/>
      <c r="C99" s="177"/>
      <c r="D99" s="177"/>
      <c r="E99" s="177"/>
      <c r="F99" s="177"/>
      <c r="G99" s="177"/>
      <c r="H99" s="177"/>
      <c r="I99" s="177"/>
      <c r="J99" s="177"/>
      <c r="K99" s="177"/>
      <c r="L99" s="177"/>
      <c r="M99" s="178"/>
      <c r="N99" s="178"/>
      <c r="O99" s="178"/>
      <c r="P99" s="178"/>
    </row>
    <row r="100" spans="2:16">
      <c r="B100" s="177"/>
      <c r="C100" s="177"/>
      <c r="D100" s="177"/>
      <c r="E100" s="177"/>
      <c r="F100" s="177"/>
      <c r="G100" s="177"/>
      <c r="H100" s="177"/>
      <c r="I100" s="177"/>
      <c r="J100" s="177"/>
      <c r="K100" s="177"/>
      <c r="L100" s="177"/>
      <c r="M100" s="178"/>
      <c r="N100" s="178"/>
      <c r="O100" s="178"/>
      <c r="P100" s="178"/>
    </row>
    <row r="101" spans="2:16">
      <c r="B101" s="177"/>
      <c r="C101" s="177"/>
      <c r="D101" s="177"/>
      <c r="E101" s="177"/>
      <c r="F101" s="177"/>
      <c r="G101" s="177"/>
      <c r="H101" s="177"/>
      <c r="I101" s="177"/>
      <c r="J101" s="177"/>
      <c r="K101" s="177"/>
      <c r="L101" s="177"/>
      <c r="M101" s="178"/>
      <c r="N101" s="178"/>
      <c r="O101" s="178"/>
      <c r="P101" s="178"/>
    </row>
    <row r="102" spans="2:16">
      <c r="B102" s="177"/>
      <c r="C102" s="177"/>
      <c r="D102" s="177"/>
      <c r="E102" s="177"/>
      <c r="F102" s="177"/>
      <c r="G102" s="177"/>
      <c r="H102" s="177"/>
      <c r="I102" s="177"/>
      <c r="J102" s="177"/>
      <c r="K102" s="177"/>
      <c r="L102" s="177"/>
      <c r="M102" s="178"/>
      <c r="N102" s="178"/>
      <c r="O102" s="178"/>
      <c r="P102" s="178"/>
    </row>
    <row r="103" spans="2:16">
      <c r="B103" s="177"/>
      <c r="C103" s="177"/>
      <c r="D103" s="177"/>
      <c r="E103" s="177"/>
      <c r="F103" s="177"/>
      <c r="G103" s="177"/>
      <c r="H103" s="177"/>
      <c r="I103" s="177"/>
      <c r="J103" s="177"/>
      <c r="K103" s="177"/>
      <c r="L103" s="177"/>
      <c r="M103" s="178"/>
      <c r="N103" s="178"/>
      <c r="O103" s="178"/>
      <c r="P103" s="178"/>
    </row>
    <row r="104" spans="2:16">
      <c r="B104" s="177"/>
      <c r="C104" s="177"/>
      <c r="D104" s="177"/>
      <c r="E104" s="177"/>
      <c r="F104" s="177"/>
      <c r="G104" s="177"/>
      <c r="H104" s="177"/>
      <c r="I104" s="177"/>
      <c r="J104" s="177"/>
      <c r="K104" s="177"/>
      <c r="L104" s="177"/>
      <c r="M104" s="178"/>
      <c r="N104" s="178"/>
      <c r="O104" s="178"/>
      <c r="P104" s="178"/>
    </row>
    <row r="105" spans="2:16">
      <c r="B105" s="177"/>
      <c r="C105" s="177"/>
      <c r="D105" s="177"/>
      <c r="E105" s="177"/>
      <c r="F105" s="177"/>
      <c r="G105" s="177"/>
      <c r="H105" s="177"/>
      <c r="I105" s="177"/>
      <c r="J105" s="177"/>
      <c r="K105" s="177"/>
      <c r="L105" s="177"/>
      <c r="M105" s="178"/>
      <c r="N105" s="178"/>
      <c r="O105" s="178"/>
      <c r="P105" s="178"/>
    </row>
    <row r="106" spans="2:16">
      <c r="B106" s="177"/>
      <c r="C106" s="177"/>
      <c r="D106" s="177"/>
      <c r="E106" s="177"/>
      <c r="F106" s="177"/>
      <c r="G106" s="177"/>
      <c r="H106" s="177"/>
      <c r="I106" s="177"/>
      <c r="J106" s="177"/>
      <c r="K106" s="177"/>
      <c r="L106" s="177"/>
      <c r="M106" s="178"/>
      <c r="N106" s="178"/>
      <c r="O106" s="178"/>
      <c r="P106" s="178"/>
    </row>
    <row r="107" spans="2:16">
      <c r="B107" s="177"/>
      <c r="C107" s="177"/>
      <c r="D107" s="177"/>
      <c r="E107" s="177"/>
      <c r="F107" s="177"/>
      <c r="G107" s="177"/>
      <c r="H107" s="177"/>
      <c r="I107" s="177"/>
      <c r="J107" s="177"/>
      <c r="K107" s="177"/>
      <c r="L107" s="177"/>
      <c r="M107" s="178"/>
      <c r="N107" s="178"/>
      <c r="O107" s="178"/>
      <c r="P107" s="178"/>
    </row>
    <row r="108" spans="2:16">
      <c r="B108" s="177"/>
      <c r="C108" s="177"/>
      <c r="D108" s="177"/>
      <c r="E108" s="177"/>
      <c r="F108" s="177"/>
      <c r="G108" s="177"/>
      <c r="H108" s="177"/>
      <c r="I108" s="177"/>
      <c r="J108" s="177"/>
      <c r="K108" s="177"/>
      <c r="L108" s="177"/>
      <c r="M108" s="178"/>
      <c r="N108" s="178"/>
      <c r="O108" s="178"/>
      <c r="P108" s="178"/>
    </row>
    <row r="109" spans="2:16">
      <c r="B109" s="177"/>
      <c r="C109" s="177"/>
      <c r="D109" s="177"/>
      <c r="E109" s="177"/>
      <c r="F109" s="177"/>
      <c r="G109" s="177"/>
      <c r="H109" s="177"/>
      <c r="I109" s="177"/>
      <c r="J109" s="177"/>
      <c r="K109" s="177"/>
      <c r="L109" s="177"/>
      <c r="M109" s="178"/>
      <c r="N109" s="178"/>
      <c r="O109" s="178"/>
      <c r="P109" s="178"/>
    </row>
    <row r="110" spans="2:16">
      <c r="B110" s="177"/>
      <c r="C110" s="177"/>
      <c r="D110" s="177"/>
      <c r="E110" s="177"/>
      <c r="F110" s="177"/>
      <c r="G110" s="177"/>
      <c r="H110" s="177"/>
      <c r="I110" s="177"/>
      <c r="J110" s="177"/>
      <c r="K110" s="177"/>
      <c r="L110" s="177"/>
      <c r="M110" s="178"/>
      <c r="N110" s="178"/>
      <c r="O110" s="178"/>
      <c r="P110" s="178"/>
    </row>
    <row r="111" spans="2:16">
      <c r="B111" s="177"/>
      <c r="C111" s="177"/>
      <c r="D111" s="177"/>
      <c r="E111" s="177"/>
      <c r="F111" s="177"/>
      <c r="G111" s="177"/>
      <c r="H111" s="177"/>
      <c r="I111" s="177"/>
      <c r="J111" s="177"/>
      <c r="K111" s="177"/>
      <c r="L111" s="177"/>
      <c r="M111" s="178"/>
      <c r="N111" s="178"/>
      <c r="O111" s="178"/>
      <c r="P111" s="178"/>
    </row>
    <row r="112" spans="2:16">
      <c r="B112" s="177"/>
      <c r="C112" s="177"/>
      <c r="D112" s="177"/>
      <c r="E112" s="177"/>
      <c r="F112" s="177"/>
      <c r="G112" s="177"/>
      <c r="H112" s="177"/>
      <c r="I112" s="177"/>
      <c r="J112" s="177"/>
      <c r="K112" s="177"/>
      <c r="L112" s="177"/>
      <c r="M112" s="178"/>
      <c r="N112" s="178"/>
      <c r="O112" s="178"/>
      <c r="P112" s="178"/>
    </row>
    <row r="113" spans="2:16">
      <c r="B113" s="177"/>
      <c r="C113" s="177"/>
      <c r="D113" s="177"/>
      <c r="E113" s="177"/>
      <c r="F113" s="177"/>
      <c r="G113" s="177"/>
      <c r="H113" s="177"/>
      <c r="I113" s="177"/>
      <c r="J113" s="177"/>
      <c r="K113" s="177"/>
      <c r="L113" s="177"/>
      <c r="M113" s="178"/>
      <c r="N113" s="178"/>
      <c r="O113" s="178"/>
      <c r="P113" s="178"/>
    </row>
    <row r="114" spans="2:16">
      <c r="B114" s="177"/>
      <c r="C114" s="177"/>
      <c r="D114" s="177"/>
      <c r="E114" s="177"/>
      <c r="F114" s="177"/>
      <c r="G114" s="177"/>
      <c r="H114" s="177"/>
      <c r="I114" s="177"/>
      <c r="J114" s="177"/>
      <c r="K114" s="177"/>
      <c r="L114" s="177"/>
      <c r="M114" s="178"/>
      <c r="N114" s="178"/>
      <c r="O114" s="178"/>
      <c r="P114" s="178"/>
    </row>
    <row r="115" spans="2:16">
      <c r="B115" s="177"/>
      <c r="C115" s="177"/>
      <c r="D115" s="177"/>
      <c r="E115" s="177"/>
      <c r="F115" s="177"/>
      <c r="G115" s="177"/>
      <c r="H115" s="177"/>
      <c r="I115" s="177"/>
      <c r="J115" s="177"/>
      <c r="K115" s="177"/>
      <c r="L115" s="177"/>
      <c r="M115" s="178"/>
      <c r="N115" s="178"/>
      <c r="O115" s="178"/>
      <c r="P115" s="178"/>
    </row>
    <row r="116" spans="2:16">
      <c r="B116" s="177"/>
      <c r="C116" s="177"/>
      <c r="D116" s="177"/>
      <c r="E116" s="177"/>
      <c r="F116" s="177"/>
      <c r="G116" s="177"/>
      <c r="H116" s="177"/>
      <c r="I116" s="177"/>
      <c r="J116" s="177"/>
      <c r="K116" s="177"/>
      <c r="L116" s="177"/>
      <c r="M116" s="178"/>
      <c r="N116" s="178"/>
      <c r="O116" s="178"/>
      <c r="P116" s="178"/>
    </row>
    <row r="117" spans="2:16">
      <c r="B117" s="177"/>
      <c r="C117" s="177"/>
      <c r="D117" s="177"/>
      <c r="E117" s="177"/>
      <c r="F117" s="177"/>
      <c r="G117" s="177"/>
      <c r="H117" s="177"/>
      <c r="I117" s="177"/>
      <c r="J117" s="177"/>
      <c r="K117" s="177"/>
      <c r="L117" s="177"/>
      <c r="M117" s="178"/>
      <c r="N117" s="178"/>
      <c r="O117" s="178"/>
      <c r="P117" s="178"/>
    </row>
    <row r="118" spans="2:16">
      <c r="B118" s="177"/>
      <c r="C118" s="177"/>
      <c r="D118" s="177"/>
      <c r="E118" s="177"/>
      <c r="F118" s="177"/>
      <c r="G118" s="177"/>
      <c r="H118" s="177"/>
      <c r="I118" s="177"/>
      <c r="J118" s="177"/>
      <c r="K118" s="177"/>
      <c r="L118" s="177"/>
      <c r="M118" s="178"/>
      <c r="N118" s="178"/>
      <c r="O118" s="178"/>
      <c r="P118" s="178"/>
    </row>
    <row r="119" spans="2:16">
      <c r="B119" s="177"/>
      <c r="C119" s="177"/>
      <c r="D119" s="177"/>
      <c r="E119" s="177"/>
      <c r="F119" s="177"/>
      <c r="G119" s="177"/>
      <c r="H119" s="177"/>
      <c r="I119" s="177"/>
      <c r="J119" s="177"/>
      <c r="K119" s="177"/>
      <c r="L119" s="177"/>
      <c r="M119" s="178"/>
      <c r="N119" s="178"/>
      <c r="O119" s="178"/>
      <c r="P119" s="178"/>
    </row>
    <row r="120" spans="2:16">
      <c r="B120" s="177"/>
      <c r="C120" s="177"/>
      <c r="D120" s="177"/>
      <c r="E120" s="177"/>
      <c r="F120" s="177"/>
      <c r="G120" s="177"/>
      <c r="H120" s="177"/>
      <c r="I120" s="177"/>
      <c r="J120" s="177"/>
      <c r="K120" s="177"/>
      <c r="L120" s="177"/>
      <c r="M120" s="178"/>
      <c r="N120" s="178"/>
      <c r="O120" s="178"/>
      <c r="P120" s="178"/>
    </row>
    <row r="121" spans="2:16">
      <c r="B121" s="177"/>
      <c r="C121" s="177"/>
      <c r="D121" s="177"/>
      <c r="E121" s="177"/>
      <c r="F121" s="177"/>
      <c r="G121" s="177"/>
      <c r="H121" s="177"/>
      <c r="I121" s="177"/>
      <c r="J121" s="177"/>
      <c r="K121" s="177"/>
      <c r="L121" s="177"/>
      <c r="M121" s="178"/>
      <c r="N121" s="178"/>
      <c r="O121" s="178"/>
      <c r="P121" s="178"/>
    </row>
    <row r="122" spans="2:16">
      <c r="B122" s="177"/>
      <c r="C122" s="177"/>
      <c r="D122" s="177"/>
      <c r="E122" s="177"/>
      <c r="F122" s="177"/>
      <c r="G122" s="177"/>
      <c r="H122" s="177"/>
      <c r="I122" s="177"/>
      <c r="J122" s="177"/>
      <c r="K122" s="177"/>
      <c r="L122" s="177"/>
      <c r="M122" s="178"/>
      <c r="N122" s="178"/>
      <c r="O122" s="178"/>
      <c r="P122" s="178"/>
    </row>
    <row r="123" spans="2:16">
      <c r="B123" s="177"/>
      <c r="C123" s="177"/>
      <c r="D123" s="177"/>
      <c r="E123" s="177"/>
      <c r="F123" s="177"/>
      <c r="G123" s="177"/>
      <c r="H123" s="177"/>
      <c r="I123" s="177"/>
      <c r="J123" s="177"/>
      <c r="K123" s="177"/>
      <c r="L123" s="177"/>
      <c r="M123" s="178"/>
      <c r="N123" s="178"/>
      <c r="O123" s="178"/>
      <c r="P123" s="178"/>
    </row>
    <row r="124" spans="2:16">
      <c r="B124" s="177"/>
      <c r="C124" s="177"/>
      <c r="D124" s="177"/>
      <c r="E124" s="177"/>
      <c r="F124" s="177"/>
      <c r="G124" s="177"/>
      <c r="H124" s="177"/>
      <c r="I124" s="177"/>
      <c r="J124" s="177"/>
      <c r="K124" s="177"/>
      <c r="L124" s="177"/>
      <c r="M124" s="178"/>
      <c r="N124" s="178"/>
      <c r="O124" s="178"/>
      <c r="P124" s="178"/>
    </row>
    <row r="125" spans="2:16">
      <c r="B125" s="177"/>
      <c r="C125" s="177"/>
      <c r="D125" s="177"/>
      <c r="E125" s="177"/>
      <c r="F125" s="177"/>
      <c r="G125" s="177"/>
      <c r="H125" s="177"/>
      <c r="I125" s="177"/>
      <c r="J125" s="177"/>
      <c r="K125" s="177"/>
      <c r="L125" s="177"/>
      <c r="M125" s="178"/>
      <c r="N125" s="178"/>
      <c r="O125" s="178"/>
      <c r="P125" s="178"/>
    </row>
    <row r="126" spans="2:16">
      <c r="B126" s="177"/>
      <c r="C126" s="177"/>
      <c r="D126" s="177"/>
      <c r="E126" s="177"/>
      <c r="F126" s="177"/>
      <c r="G126" s="177"/>
      <c r="H126" s="177"/>
      <c r="I126" s="177"/>
      <c r="J126" s="177"/>
      <c r="K126" s="177"/>
      <c r="L126" s="177"/>
      <c r="M126" s="178"/>
      <c r="N126" s="178"/>
      <c r="O126" s="178"/>
      <c r="P126" s="178"/>
    </row>
    <row r="127" spans="2:16">
      <c r="B127" s="177"/>
      <c r="C127" s="177"/>
      <c r="D127" s="177"/>
      <c r="E127" s="177"/>
      <c r="F127" s="177"/>
      <c r="G127" s="177"/>
      <c r="H127" s="177"/>
      <c r="I127" s="177"/>
      <c r="J127" s="177"/>
      <c r="K127" s="177"/>
      <c r="L127" s="177"/>
      <c r="M127" s="178"/>
      <c r="N127" s="178"/>
      <c r="O127" s="178"/>
      <c r="P127" s="178"/>
    </row>
    <row r="128" spans="2:16">
      <c r="B128" s="177"/>
      <c r="C128" s="177"/>
      <c r="D128" s="177"/>
      <c r="E128" s="177"/>
      <c r="F128" s="177"/>
      <c r="G128" s="177"/>
      <c r="H128" s="177"/>
      <c r="I128" s="177"/>
      <c r="J128" s="177"/>
      <c r="K128" s="177"/>
      <c r="L128" s="177"/>
      <c r="M128" s="178"/>
      <c r="N128" s="178"/>
      <c r="O128" s="178"/>
      <c r="P128" s="178"/>
    </row>
    <row r="129" spans="2:16">
      <c r="B129" s="177"/>
      <c r="C129" s="177"/>
      <c r="D129" s="177"/>
      <c r="E129" s="177"/>
      <c r="F129" s="177"/>
      <c r="G129" s="177"/>
      <c r="H129" s="177"/>
      <c r="I129" s="177"/>
      <c r="J129" s="177"/>
      <c r="K129" s="177"/>
      <c r="L129" s="177"/>
      <c r="M129" s="178"/>
      <c r="N129" s="178"/>
      <c r="O129" s="178"/>
      <c r="P129" s="178"/>
    </row>
    <row r="130" spans="2:16">
      <c r="B130" s="177"/>
      <c r="C130" s="177"/>
      <c r="D130" s="177"/>
      <c r="E130" s="177"/>
      <c r="F130" s="177"/>
      <c r="G130" s="177"/>
      <c r="H130" s="177"/>
      <c r="I130" s="177"/>
      <c r="J130" s="177"/>
      <c r="K130" s="177"/>
      <c r="L130" s="177"/>
      <c r="M130" s="178"/>
      <c r="N130" s="178"/>
      <c r="O130" s="178"/>
      <c r="P130" s="178"/>
    </row>
    <row r="131" spans="2:16">
      <c r="B131" s="177"/>
      <c r="C131" s="177"/>
      <c r="D131" s="177"/>
      <c r="E131" s="177"/>
      <c r="F131" s="177"/>
      <c r="G131" s="177"/>
      <c r="H131" s="177"/>
      <c r="I131" s="177"/>
      <c r="J131" s="177"/>
      <c r="K131" s="177"/>
      <c r="L131" s="177"/>
      <c r="M131" s="178"/>
      <c r="N131" s="178"/>
      <c r="O131" s="178"/>
      <c r="P131" s="178"/>
    </row>
    <row r="132" spans="2:16">
      <c r="B132" s="177"/>
      <c r="C132" s="177"/>
      <c r="D132" s="177"/>
      <c r="E132" s="177"/>
      <c r="F132" s="177"/>
      <c r="G132" s="177"/>
      <c r="H132" s="177"/>
      <c r="I132" s="177"/>
      <c r="J132" s="177"/>
      <c r="K132" s="177"/>
      <c r="L132" s="177"/>
      <c r="M132" s="178"/>
      <c r="N132" s="178"/>
      <c r="O132" s="178"/>
      <c r="P132" s="178"/>
    </row>
    <row r="133" spans="2:16">
      <c r="B133" s="177"/>
      <c r="C133" s="177"/>
      <c r="D133" s="177"/>
      <c r="E133" s="177"/>
      <c r="F133" s="177"/>
      <c r="G133" s="177"/>
      <c r="H133" s="177"/>
      <c r="I133" s="177"/>
      <c r="J133" s="177"/>
      <c r="K133" s="177"/>
      <c r="L133" s="177"/>
      <c r="M133" s="178"/>
      <c r="N133" s="178"/>
      <c r="O133" s="178"/>
      <c r="P133" s="178"/>
    </row>
    <row r="134" spans="2:16">
      <c r="B134" s="177"/>
      <c r="C134" s="177"/>
      <c r="D134" s="177"/>
      <c r="E134" s="177"/>
      <c r="F134" s="177"/>
      <c r="G134" s="177"/>
      <c r="H134" s="177"/>
      <c r="I134" s="177"/>
      <c r="J134" s="177"/>
      <c r="K134" s="177"/>
      <c r="L134" s="177"/>
      <c r="M134" s="178"/>
      <c r="N134" s="178"/>
      <c r="O134" s="178"/>
      <c r="P134" s="178"/>
    </row>
    <row r="135" spans="2:16">
      <c r="B135" s="177"/>
      <c r="C135" s="177"/>
      <c r="D135" s="177"/>
      <c r="E135" s="177"/>
      <c r="F135" s="177"/>
      <c r="G135" s="177"/>
      <c r="H135" s="177"/>
      <c r="I135" s="177"/>
      <c r="J135" s="177"/>
      <c r="K135" s="177"/>
      <c r="L135" s="177"/>
      <c r="M135" s="178"/>
      <c r="N135" s="178"/>
      <c r="O135" s="178"/>
      <c r="P135" s="178"/>
    </row>
    <row r="136" spans="2:16">
      <c r="B136" s="177"/>
      <c r="C136" s="177"/>
      <c r="D136" s="177"/>
      <c r="E136" s="177"/>
      <c r="F136" s="177"/>
      <c r="G136" s="177"/>
      <c r="H136" s="177"/>
      <c r="I136" s="177"/>
      <c r="J136" s="177"/>
      <c r="K136" s="177"/>
      <c r="L136" s="177"/>
      <c r="M136" s="178"/>
      <c r="N136" s="178"/>
      <c r="O136" s="178"/>
      <c r="P136" s="178"/>
    </row>
    <row r="137" spans="2:16">
      <c r="B137" s="177"/>
      <c r="C137" s="177"/>
      <c r="D137" s="177"/>
      <c r="E137" s="177"/>
      <c r="F137" s="177"/>
      <c r="G137" s="177"/>
      <c r="H137" s="177"/>
      <c r="I137" s="177"/>
      <c r="J137" s="177"/>
      <c r="K137" s="177"/>
      <c r="L137" s="177"/>
      <c r="M137" s="178"/>
      <c r="N137" s="178"/>
      <c r="O137" s="178"/>
      <c r="P137" s="178"/>
    </row>
    <row r="138" spans="2:16">
      <c r="B138" s="177"/>
      <c r="C138" s="177"/>
      <c r="D138" s="177"/>
      <c r="E138" s="177"/>
      <c r="F138" s="177"/>
      <c r="G138" s="177"/>
      <c r="H138" s="177"/>
      <c r="I138" s="177"/>
      <c r="J138" s="177"/>
      <c r="K138" s="177"/>
      <c r="L138" s="177"/>
      <c r="M138" s="178"/>
      <c r="N138" s="178"/>
      <c r="O138" s="178"/>
      <c r="P138" s="178"/>
    </row>
    <row r="139" spans="2:16">
      <c r="B139" s="177"/>
      <c r="C139" s="177"/>
      <c r="D139" s="177"/>
      <c r="E139" s="177"/>
      <c r="F139" s="177"/>
      <c r="G139" s="177"/>
      <c r="H139" s="177"/>
      <c r="I139" s="177"/>
      <c r="J139" s="177"/>
      <c r="K139" s="177"/>
      <c r="L139" s="177"/>
      <c r="M139" s="178"/>
      <c r="N139" s="178"/>
      <c r="O139" s="178"/>
      <c r="P139" s="178"/>
    </row>
    <row r="140" spans="2:16">
      <c r="B140" s="177"/>
      <c r="C140" s="177"/>
      <c r="D140" s="177"/>
      <c r="E140" s="177"/>
      <c r="F140" s="177"/>
      <c r="G140" s="177"/>
      <c r="H140" s="177"/>
      <c r="I140" s="177"/>
      <c r="J140" s="177"/>
      <c r="K140" s="177"/>
      <c r="L140" s="177"/>
      <c r="M140" s="178"/>
      <c r="N140" s="178"/>
      <c r="O140" s="178"/>
      <c r="P140" s="178"/>
    </row>
    <row r="141" spans="2:16">
      <c r="B141" s="177"/>
      <c r="C141" s="177"/>
      <c r="D141" s="177"/>
      <c r="E141" s="177"/>
      <c r="F141" s="177"/>
      <c r="G141" s="177"/>
      <c r="H141" s="177"/>
      <c r="I141" s="177"/>
      <c r="J141" s="177"/>
      <c r="K141" s="177"/>
      <c r="L141" s="177"/>
      <c r="M141" s="178"/>
      <c r="N141" s="178"/>
      <c r="O141" s="178"/>
      <c r="P141" s="178"/>
    </row>
    <row r="142" spans="2:16">
      <c r="B142" s="177"/>
      <c r="C142" s="177"/>
      <c r="D142" s="177"/>
      <c r="E142" s="177"/>
      <c r="F142" s="177"/>
      <c r="G142" s="177"/>
      <c r="H142" s="177"/>
      <c r="I142" s="177"/>
      <c r="J142" s="177"/>
      <c r="K142" s="177"/>
      <c r="L142" s="177"/>
      <c r="M142" s="178"/>
      <c r="N142" s="178"/>
      <c r="O142" s="178"/>
      <c r="P142" s="178"/>
    </row>
    <row r="143" spans="2:16">
      <c r="B143" s="177"/>
      <c r="C143" s="177"/>
      <c r="D143" s="177"/>
      <c r="E143" s="177"/>
      <c r="F143" s="177"/>
      <c r="G143" s="177"/>
      <c r="H143" s="177"/>
      <c r="I143" s="177"/>
      <c r="J143" s="177"/>
      <c r="K143" s="177"/>
      <c r="L143" s="177"/>
      <c r="M143" s="178"/>
      <c r="N143" s="178"/>
      <c r="O143" s="178"/>
      <c r="P143" s="178"/>
    </row>
    <row r="144" spans="2:16">
      <c r="B144" s="177"/>
      <c r="C144" s="177"/>
      <c r="D144" s="177"/>
      <c r="E144" s="177"/>
      <c r="F144" s="177"/>
      <c r="G144" s="177"/>
      <c r="H144" s="177"/>
      <c r="I144" s="177"/>
      <c r="J144" s="177"/>
      <c r="K144" s="177"/>
      <c r="L144" s="177"/>
      <c r="M144" s="178"/>
      <c r="N144" s="178"/>
      <c r="O144" s="178"/>
      <c r="P144" s="178"/>
    </row>
    <row r="145" spans="2:16">
      <c r="B145" s="177"/>
      <c r="C145" s="177"/>
      <c r="D145" s="177"/>
      <c r="E145" s="177"/>
      <c r="F145" s="177"/>
      <c r="G145" s="177"/>
      <c r="H145" s="177"/>
      <c r="I145" s="177"/>
      <c r="J145" s="177"/>
      <c r="K145" s="177"/>
      <c r="L145" s="177"/>
      <c r="M145" s="178"/>
      <c r="N145" s="178"/>
      <c r="O145" s="178"/>
      <c r="P145" s="178"/>
    </row>
    <row r="146" spans="2:16">
      <c r="B146" s="177"/>
      <c r="C146" s="177"/>
      <c r="D146" s="177"/>
      <c r="E146" s="177"/>
      <c r="F146" s="177"/>
      <c r="G146" s="177"/>
      <c r="H146" s="177"/>
      <c r="I146" s="177"/>
      <c r="J146" s="177"/>
      <c r="K146" s="177"/>
      <c r="L146" s="177"/>
      <c r="M146" s="178"/>
      <c r="N146" s="178"/>
      <c r="O146" s="178"/>
      <c r="P146" s="178"/>
    </row>
    <row r="147" spans="2:16">
      <c r="B147" s="177"/>
      <c r="C147" s="177"/>
      <c r="D147" s="177"/>
      <c r="E147" s="177"/>
      <c r="F147" s="177"/>
      <c r="G147" s="177"/>
      <c r="H147" s="177"/>
      <c r="I147" s="177"/>
      <c r="J147" s="177"/>
      <c r="K147" s="177"/>
      <c r="L147" s="177"/>
      <c r="M147" s="178"/>
      <c r="N147" s="178"/>
      <c r="O147" s="178"/>
      <c r="P147" s="178"/>
    </row>
    <row r="148" spans="2:16">
      <c r="B148" s="177"/>
      <c r="C148" s="177"/>
      <c r="D148" s="177"/>
      <c r="E148" s="177"/>
      <c r="F148" s="177"/>
      <c r="G148" s="177"/>
      <c r="H148" s="177"/>
      <c r="I148" s="177"/>
      <c r="J148" s="177"/>
      <c r="K148" s="177"/>
      <c r="L148" s="177"/>
      <c r="M148" s="178"/>
      <c r="N148" s="178"/>
      <c r="O148" s="178"/>
      <c r="P148" s="178"/>
    </row>
    <row r="149" spans="2:16">
      <c r="B149" s="177"/>
      <c r="C149" s="177"/>
      <c r="D149" s="177"/>
      <c r="E149" s="177"/>
      <c r="F149" s="177"/>
      <c r="G149" s="177"/>
      <c r="H149" s="177"/>
      <c r="I149" s="177"/>
      <c r="J149" s="177"/>
      <c r="K149" s="177"/>
      <c r="L149" s="177"/>
      <c r="M149" s="178"/>
      <c r="N149" s="178"/>
      <c r="O149" s="178"/>
      <c r="P149" s="178"/>
    </row>
    <row r="150" spans="2:16">
      <c r="B150" s="177"/>
      <c r="C150" s="177"/>
      <c r="D150" s="177"/>
      <c r="E150" s="177"/>
      <c r="F150" s="177"/>
      <c r="G150" s="177"/>
      <c r="H150" s="177"/>
      <c r="I150" s="177"/>
      <c r="J150" s="177"/>
      <c r="K150" s="177"/>
      <c r="L150" s="177"/>
      <c r="M150" s="178"/>
      <c r="N150" s="178"/>
      <c r="O150" s="178"/>
      <c r="P150" s="178"/>
    </row>
    <row r="151" spans="2:16">
      <c r="B151" s="177"/>
      <c r="C151" s="177"/>
      <c r="D151" s="177"/>
      <c r="E151" s="177"/>
      <c r="F151" s="177"/>
      <c r="G151" s="177"/>
      <c r="H151" s="177"/>
      <c r="I151" s="177"/>
      <c r="J151" s="177"/>
      <c r="K151" s="177"/>
      <c r="L151" s="177"/>
      <c r="M151" s="178"/>
      <c r="N151" s="178"/>
      <c r="O151" s="178"/>
      <c r="P151" s="178"/>
    </row>
    <row r="152" spans="2:16">
      <c r="B152" s="177"/>
      <c r="C152" s="177"/>
      <c r="D152" s="177"/>
      <c r="E152" s="177"/>
      <c r="F152" s="177"/>
      <c r="G152" s="177"/>
      <c r="H152" s="177"/>
      <c r="I152" s="177"/>
      <c r="J152" s="177"/>
      <c r="K152" s="177"/>
      <c r="L152" s="177"/>
      <c r="M152" s="178"/>
      <c r="N152" s="178"/>
      <c r="O152" s="178"/>
      <c r="P152" s="178"/>
    </row>
    <row r="153" spans="2:16">
      <c r="B153" s="177"/>
      <c r="C153" s="177"/>
      <c r="D153" s="177"/>
      <c r="E153" s="177"/>
      <c r="F153" s="177"/>
      <c r="G153" s="177"/>
      <c r="H153" s="177"/>
      <c r="I153" s="177"/>
      <c r="J153" s="177"/>
      <c r="K153" s="177"/>
      <c r="L153" s="177"/>
      <c r="M153" s="178"/>
      <c r="N153" s="178"/>
      <c r="O153" s="178"/>
      <c r="P153" s="178"/>
    </row>
    <row r="154" spans="2:16">
      <c r="B154" s="177"/>
      <c r="C154" s="177"/>
      <c r="D154" s="177"/>
      <c r="E154" s="177"/>
      <c r="F154" s="177"/>
      <c r="G154" s="177"/>
      <c r="H154" s="177"/>
      <c r="I154" s="177"/>
      <c r="J154" s="177"/>
      <c r="K154" s="177"/>
      <c r="L154" s="177"/>
      <c r="M154" s="178"/>
      <c r="N154" s="178"/>
      <c r="O154" s="178"/>
      <c r="P154" s="178"/>
    </row>
    <row r="155" spans="2:16">
      <c r="B155" s="177"/>
      <c r="C155" s="177"/>
      <c r="D155" s="177"/>
      <c r="E155" s="177"/>
      <c r="F155" s="177"/>
      <c r="G155" s="177"/>
      <c r="H155" s="177"/>
      <c r="I155" s="177"/>
      <c r="J155" s="177"/>
      <c r="K155" s="177"/>
      <c r="L155" s="177"/>
      <c r="M155" s="178"/>
      <c r="N155" s="178"/>
      <c r="O155" s="178"/>
      <c r="P155" s="178"/>
    </row>
    <row r="156" spans="2:16">
      <c r="B156" s="177"/>
      <c r="C156" s="177"/>
      <c r="D156" s="177"/>
      <c r="E156" s="177"/>
      <c r="F156" s="177"/>
      <c r="G156" s="177"/>
      <c r="H156" s="177"/>
      <c r="I156" s="177"/>
      <c r="J156" s="177"/>
      <c r="K156" s="177"/>
      <c r="L156" s="177"/>
      <c r="M156" s="178"/>
      <c r="N156" s="178"/>
      <c r="O156" s="178"/>
      <c r="P156" s="178"/>
    </row>
    <row r="157" spans="2:16">
      <c r="B157" s="177"/>
      <c r="C157" s="177"/>
      <c r="D157" s="177"/>
      <c r="E157" s="177"/>
      <c r="F157" s="177"/>
      <c r="G157" s="177"/>
      <c r="H157" s="177"/>
      <c r="I157" s="177"/>
      <c r="J157" s="177"/>
      <c r="K157" s="177"/>
      <c r="L157" s="177"/>
      <c r="M157" s="178"/>
      <c r="N157" s="178"/>
      <c r="O157" s="178"/>
      <c r="P157" s="178"/>
    </row>
    <row r="158" spans="2:16">
      <c r="B158" s="177"/>
      <c r="C158" s="177"/>
      <c r="D158" s="177"/>
      <c r="E158" s="177"/>
      <c r="F158" s="177"/>
      <c r="G158" s="177"/>
      <c r="H158" s="177"/>
      <c r="I158" s="177"/>
      <c r="J158" s="177"/>
      <c r="K158" s="177"/>
      <c r="L158" s="177"/>
      <c r="M158" s="178"/>
      <c r="N158" s="178"/>
      <c r="O158" s="178"/>
      <c r="P158" s="178"/>
    </row>
    <row r="159" spans="2:16">
      <c r="B159" s="177"/>
      <c r="C159" s="177"/>
      <c r="D159" s="177"/>
      <c r="E159" s="177"/>
      <c r="F159" s="177"/>
      <c r="G159" s="177"/>
      <c r="H159" s="177"/>
      <c r="I159" s="177"/>
      <c r="J159" s="177"/>
      <c r="K159" s="177"/>
      <c r="L159" s="177"/>
      <c r="M159" s="178"/>
      <c r="N159" s="178"/>
      <c r="O159" s="178"/>
      <c r="P159" s="178"/>
    </row>
    <row r="160" spans="2:16">
      <c r="B160" s="177"/>
      <c r="C160" s="177"/>
      <c r="D160" s="177"/>
      <c r="E160" s="177"/>
      <c r="F160" s="177"/>
      <c r="G160" s="177"/>
      <c r="H160" s="177"/>
      <c r="I160" s="177"/>
      <c r="J160" s="177"/>
      <c r="K160" s="177"/>
      <c r="L160" s="177"/>
      <c r="M160" s="178"/>
      <c r="N160" s="178"/>
      <c r="O160" s="178"/>
      <c r="P160" s="178"/>
    </row>
    <row r="161" spans="2:16">
      <c r="B161" s="177"/>
      <c r="C161" s="177"/>
      <c r="D161" s="177"/>
      <c r="E161" s="177"/>
      <c r="F161" s="177"/>
      <c r="G161" s="177"/>
      <c r="H161" s="177"/>
      <c r="I161" s="177"/>
      <c r="J161" s="177"/>
      <c r="K161" s="177"/>
      <c r="L161" s="177"/>
      <c r="M161" s="178"/>
      <c r="N161" s="178"/>
      <c r="O161" s="178"/>
      <c r="P161" s="178"/>
    </row>
    <row r="162" spans="2:16">
      <c r="B162" s="177"/>
      <c r="C162" s="177"/>
      <c r="D162" s="177"/>
      <c r="E162" s="177"/>
      <c r="F162" s="177"/>
      <c r="G162" s="177"/>
      <c r="H162" s="177"/>
      <c r="I162" s="177"/>
      <c r="J162" s="177"/>
      <c r="K162" s="177"/>
      <c r="L162" s="177"/>
      <c r="M162" s="178"/>
      <c r="N162" s="178"/>
      <c r="O162" s="178"/>
      <c r="P162" s="178"/>
    </row>
    <row r="163" spans="2:16">
      <c r="B163" s="177"/>
      <c r="C163" s="177"/>
      <c r="D163" s="177"/>
      <c r="E163" s="177"/>
      <c r="F163" s="177"/>
      <c r="G163" s="177"/>
      <c r="H163" s="177"/>
      <c r="I163" s="177"/>
      <c r="J163" s="177"/>
      <c r="K163" s="177"/>
      <c r="L163" s="177"/>
      <c r="M163" s="178"/>
      <c r="N163" s="178"/>
      <c r="O163" s="178"/>
      <c r="P163" s="178"/>
    </row>
    <row r="164" spans="2:16">
      <c r="B164" s="177"/>
      <c r="C164" s="177"/>
      <c r="D164" s="177"/>
      <c r="E164" s="177"/>
      <c r="F164" s="177"/>
      <c r="G164" s="177"/>
      <c r="H164" s="177"/>
      <c r="I164" s="177"/>
      <c r="J164" s="177"/>
      <c r="K164" s="177"/>
      <c r="L164" s="177"/>
      <c r="M164" s="178"/>
      <c r="N164" s="178"/>
      <c r="O164" s="178"/>
      <c r="P164" s="178"/>
    </row>
    <row r="165" spans="2:16">
      <c r="B165" s="177"/>
      <c r="C165" s="177"/>
      <c r="D165" s="177"/>
      <c r="E165" s="177"/>
      <c r="F165" s="177"/>
      <c r="G165" s="177"/>
      <c r="H165" s="177"/>
      <c r="I165" s="177"/>
      <c r="J165" s="177"/>
      <c r="K165" s="177"/>
      <c r="L165" s="177"/>
      <c r="M165" s="178"/>
      <c r="N165" s="178"/>
      <c r="O165" s="178"/>
      <c r="P165" s="178"/>
    </row>
    <row r="166" spans="2:16">
      <c r="B166" s="177"/>
      <c r="C166" s="177"/>
      <c r="D166" s="177"/>
      <c r="E166" s="177"/>
      <c r="F166" s="177"/>
      <c r="G166" s="177"/>
      <c r="H166" s="177"/>
      <c r="I166" s="177"/>
      <c r="J166" s="177"/>
      <c r="K166" s="177"/>
      <c r="L166" s="177"/>
      <c r="M166" s="178"/>
      <c r="N166" s="178"/>
      <c r="O166" s="178"/>
      <c r="P166" s="178"/>
    </row>
    <row r="167" spans="2:16">
      <c r="B167" s="177"/>
      <c r="C167" s="177"/>
      <c r="D167" s="177"/>
      <c r="E167" s="177"/>
      <c r="F167" s="177"/>
      <c r="G167" s="177"/>
      <c r="H167" s="177"/>
      <c r="I167" s="177"/>
      <c r="J167" s="177"/>
      <c r="K167" s="177"/>
      <c r="L167" s="177"/>
      <c r="M167" s="178"/>
      <c r="N167" s="178"/>
      <c r="O167" s="178"/>
      <c r="P167" s="178"/>
    </row>
    <row r="168" spans="2:16">
      <c r="B168" s="177"/>
      <c r="C168" s="177"/>
      <c r="D168" s="177"/>
      <c r="E168" s="177"/>
      <c r="F168" s="177"/>
      <c r="G168" s="177"/>
      <c r="H168" s="177"/>
      <c r="I168" s="177"/>
      <c r="J168" s="177"/>
      <c r="K168" s="177"/>
      <c r="L168" s="177"/>
      <c r="M168" s="178"/>
      <c r="N168" s="178"/>
      <c r="O168" s="178"/>
      <c r="P168" s="178"/>
    </row>
    <row r="169" spans="2:16">
      <c r="B169" s="177"/>
      <c r="C169" s="177"/>
      <c r="D169" s="177"/>
      <c r="E169" s="177"/>
      <c r="F169" s="177"/>
      <c r="G169" s="177"/>
      <c r="H169" s="177"/>
      <c r="I169" s="177"/>
      <c r="J169" s="177"/>
      <c r="K169" s="177"/>
      <c r="L169" s="177"/>
      <c r="M169" s="178"/>
      <c r="N169" s="178"/>
      <c r="O169" s="178"/>
      <c r="P169" s="178"/>
    </row>
    <row r="170" spans="2:16">
      <c r="B170" s="177"/>
      <c r="C170" s="177"/>
      <c r="D170" s="177"/>
      <c r="E170" s="177"/>
      <c r="F170" s="177"/>
      <c r="G170" s="177"/>
      <c r="H170" s="177"/>
      <c r="I170" s="177"/>
      <c r="J170" s="177"/>
      <c r="K170" s="177"/>
      <c r="L170" s="177"/>
      <c r="M170" s="178"/>
      <c r="N170" s="178"/>
      <c r="O170" s="178"/>
      <c r="P170" s="178"/>
    </row>
    <row r="171" spans="2:16">
      <c r="B171" s="177"/>
      <c r="C171" s="177"/>
      <c r="D171" s="177"/>
      <c r="E171" s="177"/>
      <c r="F171" s="177"/>
      <c r="G171" s="177"/>
      <c r="H171" s="177"/>
      <c r="I171" s="177"/>
      <c r="J171" s="177"/>
      <c r="K171" s="177"/>
      <c r="L171" s="177"/>
      <c r="M171" s="178"/>
      <c r="N171" s="178"/>
      <c r="O171" s="178"/>
      <c r="P171" s="178"/>
    </row>
    <row r="172" spans="2:16">
      <c r="B172" s="177"/>
      <c r="C172" s="177"/>
      <c r="D172" s="177"/>
      <c r="E172" s="177"/>
      <c r="F172" s="177"/>
      <c r="G172" s="177"/>
      <c r="H172" s="177"/>
      <c r="I172" s="177"/>
      <c r="J172" s="177"/>
      <c r="K172" s="177"/>
      <c r="L172" s="177"/>
      <c r="M172" s="178"/>
      <c r="N172" s="178"/>
      <c r="O172" s="178"/>
      <c r="P172" s="178"/>
    </row>
    <row r="173" spans="2:16">
      <c r="B173" s="177"/>
      <c r="C173" s="177"/>
      <c r="D173" s="177"/>
      <c r="E173" s="177"/>
      <c r="F173" s="177"/>
      <c r="G173" s="177"/>
      <c r="H173" s="177"/>
      <c r="I173" s="177"/>
      <c r="J173" s="177"/>
      <c r="K173" s="177"/>
      <c r="L173" s="177"/>
      <c r="M173" s="178"/>
      <c r="N173" s="178"/>
      <c r="O173" s="178"/>
      <c r="P173" s="178"/>
    </row>
    <row r="174" spans="2:16">
      <c r="B174" s="177"/>
      <c r="C174" s="177"/>
      <c r="D174" s="177"/>
      <c r="E174" s="177"/>
      <c r="F174" s="177"/>
      <c r="G174" s="177"/>
      <c r="H174" s="177"/>
      <c r="I174" s="177"/>
      <c r="J174" s="177"/>
      <c r="K174" s="177"/>
      <c r="L174" s="177"/>
      <c r="M174" s="178"/>
      <c r="N174" s="178"/>
      <c r="O174" s="178"/>
      <c r="P174" s="178"/>
    </row>
    <row r="175" spans="2:16">
      <c r="B175" s="177"/>
      <c r="C175" s="177"/>
      <c r="D175" s="177"/>
      <c r="E175" s="177"/>
      <c r="F175" s="177"/>
      <c r="G175" s="177"/>
      <c r="H175" s="177"/>
      <c r="I175" s="177"/>
      <c r="J175" s="177"/>
      <c r="K175" s="177"/>
      <c r="L175" s="177"/>
      <c r="M175" s="178"/>
      <c r="N175" s="178"/>
      <c r="O175" s="178"/>
      <c r="P175" s="178"/>
    </row>
    <row r="176" spans="2:16">
      <c r="B176" s="177"/>
      <c r="C176" s="177"/>
      <c r="D176" s="177"/>
      <c r="E176" s="177"/>
      <c r="F176" s="177"/>
      <c r="G176" s="177"/>
      <c r="H176" s="177"/>
      <c r="I176" s="177"/>
      <c r="J176" s="177"/>
      <c r="K176" s="177"/>
      <c r="L176" s="177"/>
      <c r="M176" s="178"/>
      <c r="N176" s="178"/>
      <c r="O176" s="178"/>
      <c r="P176" s="178"/>
    </row>
    <row r="177" spans="2:16">
      <c r="B177" s="177"/>
      <c r="C177" s="177"/>
      <c r="D177" s="177"/>
      <c r="E177" s="177"/>
      <c r="F177" s="177"/>
      <c r="G177" s="177"/>
      <c r="H177" s="177"/>
      <c r="I177" s="177"/>
      <c r="J177" s="177"/>
      <c r="K177" s="177"/>
      <c r="L177" s="177"/>
      <c r="M177" s="178"/>
      <c r="N177" s="178"/>
      <c r="O177" s="178"/>
      <c r="P177" s="178"/>
    </row>
    <row r="178" spans="2:16">
      <c r="B178" s="177"/>
      <c r="C178" s="177"/>
      <c r="D178" s="177"/>
      <c r="E178" s="177"/>
      <c r="F178" s="177"/>
      <c r="G178" s="177"/>
      <c r="H178" s="177"/>
      <c r="I178" s="177"/>
      <c r="J178" s="177"/>
      <c r="K178" s="177"/>
      <c r="L178" s="177"/>
      <c r="M178" s="178"/>
      <c r="N178" s="178"/>
      <c r="O178" s="178"/>
      <c r="P178" s="178"/>
    </row>
    <row r="179" spans="2:16">
      <c r="B179" s="177"/>
      <c r="C179" s="177"/>
      <c r="D179" s="177"/>
      <c r="E179" s="177"/>
      <c r="F179" s="177"/>
      <c r="G179" s="177"/>
      <c r="H179" s="177"/>
      <c r="I179" s="177"/>
      <c r="J179" s="177"/>
      <c r="K179" s="177"/>
      <c r="L179" s="177"/>
      <c r="M179" s="178"/>
      <c r="N179" s="178"/>
      <c r="O179" s="178"/>
      <c r="P179" s="178"/>
    </row>
    <row r="180" spans="2:16">
      <c r="B180" s="177"/>
      <c r="C180" s="177"/>
      <c r="D180" s="177"/>
      <c r="E180" s="177"/>
      <c r="F180" s="177"/>
      <c r="G180" s="177"/>
      <c r="H180" s="177"/>
      <c r="I180" s="177"/>
      <c r="J180" s="177"/>
      <c r="K180" s="177"/>
      <c r="L180" s="177"/>
      <c r="M180" s="178"/>
      <c r="N180" s="178"/>
      <c r="O180" s="178"/>
      <c r="P180" s="178"/>
    </row>
    <row r="181" spans="2:16">
      <c r="B181" s="177"/>
      <c r="C181" s="177"/>
      <c r="D181" s="177"/>
      <c r="E181" s="177"/>
      <c r="F181" s="177"/>
      <c r="G181" s="177"/>
      <c r="H181" s="177"/>
      <c r="I181" s="177"/>
      <c r="J181" s="177"/>
      <c r="K181" s="177"/>
      <c r="L181" s="177"/>
      <c r="M181" s="178"/>
      <c r="N181" s="178"/>
      <c r="O181" s="178"/>
      <c r="P181" s="178"/>
    </row>
    <row r="182" spans="2:16">
      <c r="B182" s="177"/>
      <c r="C182" s="177"/>
      <c r="D182" s="177"/>
      <c r="E182" s="177"/>
      <c r="F182" s="177"/>
      <c r="G182" s="177"/>
      <c r="H182" s="177"/>
      <c r="I182" s="177"/>
      <c r="J182" s="177"/>
      <c r="K182" s="177"/>
      <c r="L182" s="177"/>
      <c r="M182" s="178"/>
      <c r="N182" s="178"/>
      <c r="O182" s="178"/>
      <c r="P182" s="178"/>
    </row>
    <row r="183" spans="2:16">
      <c r="B183" s="177"/>
      <c r="C183" s="177"/>
      <c r="D183" s="177"/>
      <c r="E183" s="177"/>
      <c r="F183" s="177"/>
      <c r="G183" s="177"/>
      <c r="H183" s="177"/>
      <c r="I183" s="177"/>
      <c r="J183" s="177"/>
      <c r="K183" s="177"/>
      <c r="L183" s="177"/>
      <c r="M183" s="178"/>
      <c r="N183" s="178"/>
      <c r="O183" s="178"/>
      <c r="P183" s="178"/>
    </row>
    <row r="184" spans="2:16">
      <c r="B184" s="177"/>
      <c r="C184" s="177"/>
      <c r="D184" s="177"/>
      <c r="E184" s="177"/>
      <c r="F184" s="177"/>
      <c r="G184" s="177"/>
      <c r="H184" s="177"/>
      <c r="I184" s="177"/>
      <c r="J184" s="177"/>
      <c r="K184" s="177"/>
      <c r="L184" s="177"/>
      <c r="M184" s="178"/>
      <c r="N184" s="178"/>
      <c r="O184" s="178"/>
      <c r="P184" s="178"/>
    </row>
    <row r="185" spans="2:16">
      <c r="B185" s="177"/>
      <c r="C185" s="177"/>
      <c r="D185" s="177"/>
      <c r="E185" s="177"/>
      <c r="F185" s="177"/>
      <c r="G185" s="177"/>
      <c r="H185" s="177"/>
      <c r="I185" s="177"/>
      <c r="J185" s="177"/>
      <c r="K185" s="177"/>
      <c r="L185" s="177"/>
      <c r="M185" s="178"/>
      <c r="N185" s="178"/>
      <c r="O185" s="178"/>
      <c r="P185" s="178"/>
    </row>
    <row r="186" spans="2:16">
      <c r="B186" s="177"/>
      <c r="C186" s="177"/>
      <c r="D186" s="177"/>
      <c r="E186" s="177"/>
      <c r="F186" s="177"/>
      <c r="G186" s="177"/>
      <c r="H186" s="177"/>
      <c r="I186" s="177"/>
      <c r="J186" s="177"/>
      <c r="K186" s="177"/>
      <c r="L186" s="177"/>
      <c r="M186" s="178"/>
      <c r="N186" s="178"/>
      <c r="O186" s="178"/>
      <c r="P186" s="178"/>
    </row>
    <row r="187" spans="2:16">
      <c r="B187" s="177"/>
      <c r="C187" s="177"/>
      <c r="D187" s="177"/>
      <c r="E187" s="177"/>
      <c r="F187" s="177"/>
      <c r="G187" s="177"/>
      <c r="H187" s="177"/>
      <c r="I187" s="177"/>
      <c r="J187" s="177"/>
      <c r="K187" s="177"/>
      <c r="L187" s="177"/>
      <c r="M187" s="178"/>
      <c r="N187" s="178"/>
      <c r="O187" s="178"/>
      <c r="P187" s="178"/>
    </row>
    <row r="188" spans="2:16">
      <c r="B188" s="177"/>
      <c r="C188" s="177"/>
      <c r="D188" s="177"/>
      <c r="E188" s="177"/>
      <c r="F188" s="177"/>
      <c r="G188" s="177"/>
      <c r="H188" s="177"/>
      <c r="I188" s="177"/>
      <c r="J188" s="177"/>
      <c r="K188" s="177"/>
      <c r="L188" s="177"/>
      <c r="M188" s="178"/>
      <c r="N188" s="178"/>
      <c r="O188" s="178"/>
      <c r="P188" s="178"/>
    </row>
    <row r="189" spans="2:16">
      <c r="B189" s="177"/>
      <c r="C189" s="177"/>
      <c r="D189" s="177"/>
      <c r="E189" s="177"/>
      <c r="F189" s="177"/>
      <c r="G189" s="177"/>
      <c r="H189" s="177"/>
      <c r="I189" s="177"/>
      <c r="J189" s="177"/>
      <c r="K189" s="177"/>
      <c r="L189" s="177"/>
      <c r="M189" s="178"/>
      <c r="N189" s="178"/>
      <c r="O189" s="178"/>
      <c r="P189" s="178"/>
    </row>
    <row r="190" spans="2:16">
      <c r="B190" s="177"/>
      <c r="C190" s="177"/>
      <c r="D190" s="177"/>
      <c r="E190" s="177"/>
      <c r="F190" s="177"/>
      <c r="G190" s="177"/>
      <c r="H190" s="177"/>
      <c r="I190" s="177"/>
      <c r="J190" s="177"/>
      <c r="K190" s="177"/>
      <c r="L190" s="177"/>
      <c r="M190" s="178"/>
      <c r="N190" s="178"/>
      <c r="O190" s="178"/>
      <c r="P190" s="178"/>
    </row>
    <row r="191" spans="2:16">
      <c r="B191" s="177"/>
      <c r="C191" s="177"/>
      <c r="D191" s="177"/>
      <c r="E191" s="177"/>
      <c r="F191" s="177"/>
      <c r="G191" s="177"/>
      <c r="H191" s="177"/>
      <c r="I191" s="177"/>
      <c r="J191" s="177"/>
      <c r="K191" s="177"/>
      <c r="L191" s="177"/>
      <c r="M191" s="178"/>
      <c r="N191" s="178"/>
      <c r="O191" s="178"/>
      <c r="P191" s="178"/>
    </row>
    <row r="192" spans="2:16">
      <c r="B192" s="177"/>
      <c r="C192" s="177"/>
      <c r="D192" s="177"/>
      <c r="E192" s="177"/>
      <c r="F192" s="177"/>
      <c r="G192" s="177"/>
      <c r="H192" s="177"/>
      <c r="I192" s="177"/>
      <c r="J192" s="177"/>
      <c r="K192" s="177"/>
      <c r="L192" s="177"/>
      <c r="M192" s="178"/>
      <c r="N192" s="178"/>
      <c r="O192" s="178"/>
      <c r="P192" s="178"/>
    </row>
    <row r="193" spans="2:38">
      <c r="B193" s="177"/>
      <c r="C193" s="177"/>
      <c r="D193" s="177"/>
      <c r="E193" s="177"/>
      <c r="F193" s="177"/>
      <c r="G193" s="177"/>
      <c r="H193" s="177"/>
      <c r="I193" s="177"/>
      <c r="J193" s="177"/>
      <c r="K193" s="177"/>
      <c r="L193" s="177"/>
      <c r="M193" s="178"/>
      <c r="N193" s="178"/>
      <c r="O193" s="178"/>
      <c r="P193" s="178"/>
    </row>
    <row r="194" spans="2:38">
      <c r="B194" s="177"/>
      <c r="C194" s="177"/>
      <c r="D194" s="177"/>
      <c r="E194" s="177"/>
      <c r="F194" s="177"/>
      <c r="G194" s="177"/>
      <c r="H194" s="177"/>
      <c r="I194" s="177"/>
      <c r="J194" s="177"/>
      <c r="K194" s="177"/>
      <c r="L194" s="177"/>
      <c r="M194" s="178"/>
      <c r="N194" s="178"/>
      <c r="O194" s="178"/>
      <c r="P194" s="178"/>
    </row>
    <row r="195" spans="2:38">
      <c r="B195" s="177"/>
      <c r="C195" s="177"/>
      <c r="D195" s="177"/>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c r="AA195" s="177"/>
      <c r="AB195" s="178"/>
      <c r="AC195" s="178"/>
      <c r="AD195" s="178"/>
      <c r="AE195" s="178"/>
      <c r="AF195" s="179"/>
      <c r="AG195" s="179"/>
      <c r="AH195" s="179"/>
      <c r="AI195" s="179"/>
      <c r="AJ195" s="179"/>
      <c r="AK195" s="179"/>
      <c r="AL195" s="179"/>
    </row>
    <row r="196" spans="2:38">
      <c r="B196" s="177"/>
      <c r="C196" s="177"/>
      <c r="D196" s="177"/>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c r="AA196" s="177"/>
      <c r="AB196" s="178"/>
      <c r="AC196" s="178"/>
      <c r="AD196" s="178"/>
      <c r="AE196" s="178"/>
      <c r="AF196" s="179"/>
      <c r="AG196" s="179"/>
      <c r="AH196" s="179"/>
      <c r="AI196" s="179"/>
      <c r="AJ196" s="179"/>
      <c r="AK196" s="179"/>
      <c r="AL196" s="179"/>
    </row>
    <row r="197" spans="2:38">
      <c r="B197" s="177"/>
      <c r="C197" s="177"/>
      <c r="D197" s="177"/>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c r="AA197" s="177"/>
      <c r="AB197" s="178"/>
      <c r="AC197" s="178"/>
      <c r="AD197" s="178"/>
      <c r="AE197" s="178"/>
      <c r="AF197" s="179"/>
      <c r="AG197" s="179"/>
      <c r="AH197" s="179"/>
      <c r="AI197" s="179"/>
      <c r="AJ197" s="179"/>
      <c r="AK197" s="179"/>
      <c r="AL197" s="179"/>
    </row>
    <row r="198" spans="2:38">
      <c r="B198" s="177"/>
      <c r="C198" s="177"/>
      <c r="D198" s="177"/>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c r="AA198" s="177"/>
      <c r="AB198" s="178"/>
      <c r="AC198" s="178"/>
      <c r="AD198" s="178"/>
      <c r="AE198" s="178"/>
      <c r="AF198" s="179"/>
      <c r="AG198" s="179"/>
      <c r="AH198" s="179"/>
      <c r="AI198" s="179"/>
      <c r="AJ198" s="179"/>
      <c r="AK198" s="179"/>
      <c r="AL198" s="179"/>
    </row>
    <row r="199" spans="2:38">
      <c r="B199" s="177"/>
      <c r="C199" s="177"/>
      <c r="D199" s="177"/>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c r="AA199" s="177"/>
      <c r="AB199" s="178"/>
      <c r="AC199" s="178"/>
      <c r="AD199" s="178"/>
      <c r="AE199" s="178"/>
      <c r="AF199" s="179"/>
      <c r="AG199" s="179"/>
      <c r="AH199" s="179"/>
      <c r="AI199" s="179"/>
      <c r="AJ199" s="179"/>
      <c r="AK199" s="179"/>
      <c r="AL199" s="179"/>
    </row>
    <row r="200" spans="2:38">
      <c r="B200" s="177"/>
      <c r="C200" s="177"/>
      <c r="D200" s="177"/>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c r="AA200" s="177"/>
      <c r="AB200" s="178"/>
      <c r="AC200" s="178"/>
      <c r="AD200" s="178"/>
      <c r="AE200" s="178"/>
      <c r="AF200" s="179"/>
      <c r="AG200" s="179"/>
      <c r="AH200" s="179"/>
      <c r="AI200" s="179"/>
      <c r="AJ200" s="179"/>
      <c r="AK200" s="179"/>
      <c r="AL200" s="179"/>
    </row>
    <row r="201" spans="2:38">
      <c r="B201" s="177"/>
      <c r="C201" s="177"/>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c r="AA201" s="177"/>
      <c r="AB201" s="178"/>
      <c r="AC201" s="178"/>
      <c r="AD201" s="178"/>
      <c r="AE201" s="178"/>
      <c r="AF201" s="179"/>
      <c r="AG201" s="179"/>
      <c r="AH201" s="179"/>
      <c r="AI201" s="179"/>
      <c r="AJ201" s="179"/>
      <c r="AK201" s="179"/>
      <c r="AL201" s="179"/>
    </row>
    <row r="202" spans="2:38">
      <c r="B202" s="177"/>
      <c r="C202" s="177"/>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c r="AA202" s="177"/>
      <c r="AB202" s="178"/>
      <c r="AC202" s="178"/>
      <c r="AD202" s="178"/>
      <c r="AE202" s="178"/>
      <c r="AF202" s="179"/>
      <c r="AG202" s="179"/>
      <c r="AH202" s="179"/>
      <c r="AI202" s="179"/>
      <c r="AJ202" s="179"/>
      <c r="AK202" s="179"/>
      <c r="AL202" s="179"/>
    </row>
    <row r="203" spans="2:38">
      <c r="B203" s="177"/>
      <c r="C203" s="177"/>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c r="AA203" s="177"/>
      <c r="AB203" s="178"/>
      <c r="AC203" s="178"/>
      <c r="AD203" s="178"/>
      <c r="AE203" s="178"/>
      <c r="AF203" s="179"/>
      <c r="AG203" s="179"/>
      <c r="AH203" s="179"/>
      <c r="AI203" s="179"/>
      <c r="AJ203" s="179"/>
      <c r="AK203" s="179"/>
      <c r="AL203" s="179"/>
    </row>
    <row r="204" spans="2:38">
      <c r="B204" s="177"/>
      <c r="C204" s="177"/>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c r="AA204" s="177"/>
      <c r="AB204" s="178"/>
      <c r="AC204" s="178"/>
      <c r="AD204" s="178"/>
      <c r="AE204" s="178"/>
      <c r="AF204" s="179"/>
      <c r="AG204" s="179"/>
      <c r="AH204" s="179"/>
      <c r="AI204" s="179"/>
      <c r="AJ204" s="179"/>
      <c r="AK204" s="179"/>
      <c r="AL204" s="179"/>
    </row>
    <row r="205" spans="2:38">
      <c r="B205" s="177"/>
      <c r="C205" s="177"/>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c r="AA205" s="177"/>
      <c r="AB205" s="178"/>
      <c r="AC205" s="178"/>
      <c r="AD205" s="178"/>
      <c r="AE205" s="178"/>
      <c r="AF205" s="179"/>
      <c r="AG205" s="179"/>
      <c r="AH205" s="179"/>
      <c r="AI205" s="179"/>
      <c r="AJ205" s="179"/>
      <c r="AK205" s="179"/>
      <c r="AL205" s="179"/>
    </row>
    <row r="206" spans="2:38">
      <c r="B206" s="177"/>
      <c r="C206" s="177"/>
      <c r="D206" s="177"/>
      <c r="E206" s="177"/>
      <c r="F206" s="177"/>
      <c r="G206" s="177"/>
      <c r="H206" s="177"/>
      <c r="I206" s="177"/>
      <c r="J206" s="177"/>
      <c r="K206" s="177"/>
      <c r="L206" s="177"/>
      <c r="M206" s="177"/>
      <c r="N206" s="177"/>
      <c r="O206" s="177"/>
      <c r="P206" s="177"/>
      <c r="Q206" s="177"/>
      <c r="R206" s="177"/>
      <c r="S206" s="177"/>
      <c r="T206" s="177"/>
      <c r="U206" s="177"/>
      <c r="V206" s="177"/>
      <c r="W206" s="177"/>
      <c r="X206" s="177"/>
      <c r="Y206" s="177"/>
      <c r="Z206" s="177"/>
      <c r="AA206" s="177"/>
      <c r="AB206" s="178"/>
      <c r="AC206" s="178"/>
      <c r="AD206" s="178"/>
      <c r="AE206" s="178"/>
      <c r="AF206" s="179"/>
      <c r="AG206" s="179"/>
      <c r="AH206" s="179"/>
      <c r="AI206" s="179"/>
      <c r="AJ206" s="179"/>
      <c r="AK206" s="179"/>
      <c r="AL206" s="179"/>
    </row>
    <row r="207" spans="2:38">
      <c r="B207" s="177"/>
      <c r="C207" s="177"/>
      <c r="D207" s="177"/>
      <c r="E207" s="177"/>
      <c r="F207" s="177"/>
      <c r="G207" s="177"/>
      <c r="H207" s="177"/>
      <c r="I207" s="177"/>
      <c r="J207" s="177"/>
      <c r="K207" s="177"/>
      <c r="L207" s="177"/>
      <c r="M207" s="177"/>
      <c r="N207" s="177"/>
      <c r="O207" s="177"/>
      <c r="P207" s="177"/>
      <c r="Q207" s="177"/>
      <c r="R207" s="177"/>
      <c r="S207" s="177"/>
      <c r="T207" s="177"/>
      <c r="U207" s="177"/>
      <c r="V207" s="177"/>
      <c r="W207" s="177"/>
      <c r="X207" s="177"/>
      <c r="Y207" s="177"/>
      <c r="Z207" s="177"/>
      <c r="AA207" s="177"/>
      <c r="AB207" s="178"/>
      <c r="AC207" s="178"/>
      <c r="AD207" s="178"/>
      <c r="AE207" s="178"/>
      <c r="AF207" s="179"/>
      <c r="AG207" s="179"/>
      <c r="AH207" s="179"/>
      <c r="AI207" s="179"/>
      <c r="AJ207" s="179"/>
      <c r="AK207" s="179"/>
      <c r="AL207" s="179"/>
    </row>
    <row r="208" spans="2:38">
      <c r="B208" s="177"/>
      <c r="C208" s="177"/>
      <c r="D208" s="177"/>
      <c r="E208" s="177"/>
      <c r="F208" s="177"/>
      <c r="G208" s="177"/>
      <c r="H208" s="177"/>
      <c r="I208" s="177"/>
      <c r="J208" s="177"/>
      <c r="K208" s="177"/>
      <c r="L208" s="177"/>
      <c r="M208" s="177"/>
      <c r="N208" s="177"/>
      <c r="O208" s="177"/>
      <c r="P208" s="177"/>
      <c r="Q208" s="177"/>
      <c r="R208" s="177"/>
      <c r="S208" s="177"/>
      <c r="T208" s="177"/>
      <c r="U208" s="177"/>
      <c r="V208" s="177"/>
      <c r="W208" s="177"/>
      <c r="X208" s="177"/>
      <c r="Y208" s="177"/>
      <c r="Z208" s="177"/>
      <c r="AA208" s="177"/>
      <c r="AB208" s="178"/>
      <c r="AC208" s="178"/>
      <c r="AD208" s="178"/>
      <c r="AE208" s="178"/>
      <c r="AF208" s="179"/>
      <c r="AG208" s="179"/>
      <c r="AH208" s="179"/>
      <c r="AI208" s="179"/>
      <c r="AJ208" s="179"/>
      <c r="AK208" s="179"/>
      <c r="AL208" s="179"/>
    </row>
    <row r="209" spans="2:38">
      <c r="B209" s="177"/>
      <c r="C209" s="177"/>
      <c r="D209" s="177"/>
      <c r="E209" s="177"/>
      <c r="F209" s="177"/>
      <c r="G209" s="177"/>
      <c r="H209" s="177"/>
      <c r="I209" s="177"/>
      <c r="J209" s="177"/>
      <c r="K209" s="177"/>
      <c r="L209" s="177"/>
      <c r="M209" s="177"/>
      <c r="N209" s="177"/>
      <c r="O209" s="177"/>
      <c r="P209" s="177"/>
      <c r="Q209" s="177"/>
      <c r="R209" s="177"/>
      <c r="S209" s="177"/>
      <c r="T209" s="177"/>
      <c r="U209" s="177"/>
      <c r="V209" s="177"/>
      <c r="W209" s="177"/>
      <c r="X209" s="177"/>
      <c r="Y209" s="177"/>
      <c r="Z209" s="177"/>
      <c r="AA209" s="177"/>
      <c r="AB209" s="178"/>
      <c r="AC209" s="178"/>
      <c r="AD209" s="178"/>
      <c r="AE209" s="178"/>
      <c r="AF209" s="179"/>
      <c r="AG209" s="179"/>
      <c r="AH209" s="179"/>
      <c r="AI209" s="179"/>
      <c r="AJ209" s="179"/>
      <c r="AK209" s="179"/>
      <c r="AL209" s="179"/>
    </row>
    <row r="210" spans="2:38">
      <c r="B210" s="177"/>
      <c r="C210" s="177"/>
      <c r="D210" s="177"/>
      <c r="E210" s="177"/>
      <c r="F210" s="177"/>
      <c r="G210" s="177"/>
      <c r="H210" s="177"/>
      <c r="I210" s="177"/>
      <c r="J210" s="177"/>
      <c r="K210" s="177"/>
      <c r="L210" s="177"/>
      <c r="M210" s="177"/>
      <c r="N210" s="177"/>
      <c r="O210" s="177"/>
      <c r="P210" s="177"/>
      <c r="Q210" s="177"/>
      <c r="R210" s="177"/>
      <c r="S210" s="177"/>
      <c r="T210" s="177"/>
      <c r="U210" s="177"/>
      <c r="V210" s="177"/>
      <c r="W210" s="177"/>
      <c r="X210" s="177"/>
      <c r="Y210" s="177"/>
      <c r="Z210" s="177"/>
      <c r="AA210" s="177"/>
      <c r="AB210" s="178"/>
      <c r="AC210" s="178"/>
      <c r="AD210" s="178"/>
      <c r="AE210" s="178"/>
      <c r="AF210" s="179"/>
      <c r="AG210" s="179"/>
      <c r="AH210" s="179"/>
      <c r="AI210" s="179"/>
      <c r="AJ210" s="179"/>
      <c r="AK210" s="179"/>
      <c r="AL210" s="179"/>
    </row>
    <row r="211" spans="2:38">
      <c r="B211" s="177"/>
      <c r="C211" s="177"/>
      <c r="D211" s="177"/>
      <c r="E211" s="177"/>
      <c r="F211" s="177"/>
      <c r="G211" s="177"/>
      <c r="H211" s="177"/>
      <c r="I211" s="177"/>
      <c r="J211" s="177"/>
      <c r="K211" s="177"/>
      <c r="L211" s="177"/>
      <c r="M211" s="177"/>
      <c r="N211" s="177"/>
      <c r="O211" s="177"/>
      <c r="P211" s="177"/>
      <c r="Q211" s="177"/>
      <c r="R211" s="177"/>
      <c r="S211" s="177"/>
      <c r="T211" s="177"/>
      <c r="U211" s="177"/>
      <c r="V211" s="177"/>
      <c r="W211" s="177"/>
      <c r="X211" s="177"/>
      <c r="Y211" s="177"/>
      <c r="Z211" s="177"/>
      <c r="AA211" s="177"/>
      <c r="AB211" s="178"/>
      <c r="AC211" s="178"/>
      <c r="AD211" s="178"/>
      <c r="AE211" s="178"/>
      <c r="AF211" s="179"/>
      <c r="AG211" s="179"/>
      <c r="AH211" s="179"/>
      <c r="AI211" s="179"/>
      <c r="AJ211" s="179"/>
      <c r="AK211" s="179"/>
      <c r="AL211" s="179"/>
    </row>
    <row r="212" spans="2:38">
      <c r="B212" s="177"/>
      <c r="C212" s="177"/>
      <c r="D212" s="177"/>
      <c r="E212" s="177"/>
      <c r="F212" s="177"/>
      <c r="G212" s="177"/>
      <c r="H212" s="177"/>
      <c r="I212" s="177"/>
      <c r="J212" s="177"/>
      <c r="K212" s="177"/>
      <c r="L212" s="177"/>
      <c r="M212" s="177"/>
      <c r="N212" s="177"/>
      <c r="O212" s="177"/>
      <c r="P212" s="177"/>
      <c r="Q212" s="177"/>
      <c r="R212" s="177"/>
      <c r="S212" s="177"/>
      <c r="T212" s="177"/>
      <c r="U212" s="177"/>
      <c r="V212" s="177"/>
      <c r="W212" s="177"/>
      <c r="X212" s="177"/>
      <c r="Y212" s="177"/>
      <c r="Z212" s="177"/>
      <c r="AA212" s="177"/>
      <c r="AB212" s="178"/>
      <c r="AC212" s="178"/>
      <c r="AD212" s="178"/>
      <c r="AE212" s="178"/>
      <c r="AF212" s="179"/>
      <c r="AG212" s="179"/>
      <c r="AH212" s="179"/>
      <c r="AI212" s="179"/>
      <c r="AJ212" s="179"/>
      <c r="AK212" s="179"/>
      <c r="AL212" s="179"/>
    </row>
    <row r="213" spans="2:38">
      <c r="B213" s="177"/>
      <c r="C213" s="177"/>
      <c r="D213" s="177"/>
      <c r="E213" s="177"/>
      <c r="F213" s="177"/>
      <c r="G213" s="177"/>
      <c r="H213" s="177"/>
      <c r="I213" s="177"/>
      <c r="J213" s="177"/>
      <c r="K213" s="177"/>
      <c r="L213" s="177"/>
      <c r="M213" s="177"/>
      <c r="N213" s="177"/>
      <c r="O213" s="177"/>
      <c r="P213" s="177"/>
      <c r="Q213" s="177"/>
      <c r="R213" s="177"/>
      <c r="S213" s="177"/>
      <c r="T213" s="177"/>
      <c r="U213" s="177"/>
      <c r="V213" s="177"/>
      <c r="W213" s="177"/>
      <c r="X213" s="177"/>
      <c r="Y213" s="177"/>
      <c r="Z213" s="177"/>
      <c r="AA213" s="177"/>
      <c r="AB213" s="178"/>
      <c r="AC213" s="178"/>
      <c r="AD213" s="178"/>
      <c r="AE213" s="178"/>
      <c r="AF213" s="179"/>
      <c r="AG213" s="179"/>
      <c r="AH213" s="179"/>
      <c r="AI213" s="179"/>
      <c r="AJ213" s="179"/>
      <c r="AK213" s="179"/>
      <c r="AL213" s="179"/>
    </row>
    <row r="214" spans="2:38">
      <c r="B214" s="177"/>
      <c r="C214" s="177"/>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c r="AA214" s="177"/>
      <c r="AB214" s="178"/>
      <c r="AC214" s="178"/>
      <c r="AD214" s="178"/>
      <c r="AE214" s="178"/>
      <c r="AF214" s="179"/>
      <c r="AG214" s="179"/>
      <c r="AH214" s="179"/>
      <c r="AI214" s="179"/>
      <c r="AJ214" s="179"/>
      <c r="AK214" s="179"/>
      <c r="AL214" s="179"/>
    </row>
    <row r="215" spans="2:38">
      <c r="B215" s="177"/>
      <c r="C215" s="177"/>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c r="AA215" s="177"/>
      <c r="AB215" s="178"/>
      <c r="AC215" s="178"/>
      <c r="AD215" s="178"/>
      <c r="AE215" s="178"/>
      <c r="AF215" s="179"/>
      <c r="AG215" s="179"/>
      <c r="AH215" s="179"/>
      <c r="AI215" s="179"/>
      <c r="AJ215" s="179"/>
      <c r="AK215" s="179"/>
      <c r="AL215" s="179"/>
    </row>
    <row r="216" spans="2:38">
      <c r="B216" s="177"/>
      <c r="C216" s="177"/>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c r="AA216" s="177"/>
      <c r="AB216" s="178"/>
      <c r="AC216" s="178"/>
      <c r="AD216" s="178"/>
      <c r="AE216" s="178"/>
      <c r="AF216" s="179"/>
      <c r="AG216" s="179"/>
      <c r="AH216" s="179"/>
      <c r="AI216" s="179"/>
      <c r="AJ216" s="179"/>
      <c r="AK216" s="179"/>
      <c r="AL216" s="179"/>
    </row>
    <row r="217" spans="2:38">
      <c r="B217" s="177"/>
      <c r="C217" s="177"/>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c r="AA217" s="177"/>
      <c r="AB217" s="178"/>
      <c r="AC217" s="178"/>
      <c r="AD217" s="178"/>
      <c r="AE217" s="178"/>
      <c r="AF217" s="179"/>
      <c r="AG217" s="179"/>
      <c r="AH217" s="179"/>
      <c r="AI217" s="179"/>
      <c r="AJ217" s="179"/>
      <c r="AK217" s="179"/>
      <c r="AL217" s="179"/>
    </row>
    <row r="218" spans="2:38">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c r="AA218" s="177"/>
      <c r="AB218" s="178"/>
      <c r="AC218" s="178"/>
      <c r="AD218" s="178"/>
      <c r="AE218" s="178"/>
      <c r="AF218" s="179"/>
      <c r="AG218" s="179"/>
      <c r="AH218" s="179"/>
      <c r="AI218" s="179"/>
      <c r="AJ218" s="179"/>
      <c r="AK218" s="179"/>
      <c r="AL218" s="179"/>
    </row>
    <row r="219" spans="2:38">
      <c r="B219" s="177"/>
      <c r="C219" s="177"/>
      <c r="D219" s="177"/>
      <c r="E219" s="177"/>
      <c r="F219" s="177"/>
      <c r="G219" s="177"/>
      <c r="H219" s="177"/>
      <c r="I219" s="177"/>
      <c r="J219" s="177"/>
      <c r="K219" s="177"/>
      <c r="L219" s="177"/>
      <c r="M219" s="177"/>
      <c r="N219" s="177"/>
      <c r="O219" s="177"/>
      <c r="P219" s="177"/>
      <c r="Q219" s="177"/>
      <c r="R219" s="177"/>
      <c r="S219" s="177"/>
      <c r="T219" s="177"/>
      <c r="U219" s="177"/>
      <c r="V219" s="177"/>
      <c r="W219" s="177"/>
      <c r="X219" s="177"/>
      <c r="Y219" s="177"/>
      <c r="Z219" s="177"/>
      <c r="AA219" s="177"/>
      <c r="AB219" s="178"/>
      <c r="AC219" s="178"/>
      <c r="AD219" s="178"/>
      <c r="AE219" s="178"/>
      <c r="AF219" s="179"/>
      <c r="AG219" s="179"/>
      <c r="AH219" s="179"/>
      <c r="AI219" s="179"/>
      <c r="AJ219" s="179"/>
      <c r="AK219" s="179"/>
      <c r="AL219" s="179"/>
    </row>
    <row r="220" spans="2:38">
      <c r="B220" s="177"/>
      <c r="C220" s="177"/>
      <c r="D220" s="177"/>
      <c r="E220" s="177"/>
      <c r="F220" s="177"/>
      <c r="G220" s="177"/>
      <c r="H220" s="177"/>
      <c r="I220" s="177"/>
      <c r="J220" s="177"/>
      <c r="K220" s="177"/>
      <c r="L220" s="177"/>
      <c r="M220" s="177"/>
      <c r="N220" s="177"/>
      <c r="O220" s="177"/>
      <c r="P220" s="177"/>
      <c r="Q220" s="177"/>
      <c r="R220" s="177"/>
      <c r="S220" s="177"/>
      <c r="T220" s="177"/>
      <c r="U220" s="177"/>
      <c r="V220" s="177"/>
      <c r="W220" s="177"/>
      <c r="X220" s="177"/>
      <c r="Y220" s="177"/>
      <c r="Z220" s="177"/>
      <c r="AA220" s="177"/>
      <c r="AB220" s="178"/>
      <c r="AC220" s="178"/>
      <c r="AD220" s="178"/>
      <c r="AE220" s="178"/>
      <c r="AF220" s="179"/>
      <c r="AG220" s="179"/>
      <c r="AH220" s="179"/>
      <c r="AI220" s="179"/>
      <c r="AJ220" s="179"/>
      <c r="AK220" s="179"/>
      <c r="AL220" s="179"/>
    </row>
    <row r="221" spans="2:38">
      <c r="B221" s="177"/>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8"/>
      <c r="AC221" s="178"/>
      <c r="AD221" s="178"/>
      <c r="AE221" s="178"/>
      <c r="AF221" s="179"/>
      <c r="AG221" s="179"/>
      <c r="AH221" s="179"/>
      <c r="AI221" s="179"/>
      <c r="AJ221" s="179"/>
      <c r="AK221" s="179"/>
      <c r="AL221" s="179"/>
    </row>
    <row r="222" spans="2:38">
      <c r="B222" s="177"/>
      <c r="C222" s="177"/>
      <c r="D222" s="177"/>
      <c r="E222" s="177"/>
      <c r="F222" s="177"/>
      <c r="G222" s="177"/>
      <c r="H222" s="177"/>
      <c r="I222" s="177"/>
      <c r="J222" s="177"/>
      <c r="K222" s="177"/>
      <c r="L222" s="177"/>
      <c r="M222" s="177"/>
      <c r="N222" s="177"/>
      <c r="O222" s="177"/>
      <c r="P222" s="177"/>
      <c r="Q222" s="177"/>
      <c r="R222" s="177"/>
      <c r="S222" s="177"/>
      <c r="T222" s="177"/>
      <c r="U222" s="177"/>
      <c r="V222" s="177"/>
      <c r="W222" s="177"/>
      <c r="X222" s="177"/>
      <c r="Y222" s="177"/>
      <c r="Z222" s="177"/>
      <c r="AA222" s="177"/>
      <c r="AB222" s="178"/>
      <c r="AC222" s="178"/>
      <c r="AD222" s="178"/>
      <c r="AE222" s="178"/>
      <c r="AF222" s="179"/>
      <c r="AG222" s="179"/>
      <c r="AH222" s="179"/>
      <c r="AI222" s="179"/>
      <c r="AJ222" s="179"/>
      <c r="AK222" s="179"/>
      <c r="AL222" s="179"/>
    </row>
    <row r="223" spans="2:38">
      <c r="B223" s="177"/>
      <c r="C223" s="177"/>
      <c r="D223" s="177"/>
      <c r="E223" s="177"/>
      <c r="F223" s="177"/>
      <c r="G223" s="177"/>
      <c r="H223" s="177"/>
      <c r="I223" s="177"/>
      <c r="J223" s="177"/>
      <c r="K223" s="177"/>
      <c r="L223" s="177"/>
      <c r="M223" s="177"/>
      <c r="N223" s="177"/>
      <c r="O223" s="177"/>
      <c r="P223" s="177"/>
      <c r="Q223" s="177"/>
      <c r="R223" s="177"/>
      <c r="S223" s="177"/>
      <c r="T223" s="177"/>
      <c r="U223" s="177"/>
      <c r="V223" s="177"/>
      <c r="W223" s="177"/>
      <c r="X223" s="177"/>
      <c r="Y223" s="177"/>
      <c r="Z223" s="177"/>
      <c r="AA223" s="177"/>
      <c r="AB223" s="178"/>
      <c r="AC223" s="178"/>
      <c r="AD223" s="178"/>
      <c r="AE223" s="178"/>
      <c r="AF223" s="179"/>
      <c r="AG223" s="179"/>
      <c r="AH223" s="179"/>
      <c r="AI223" s="179"/>
      <c r="AJ223" s="179"/>
      <c r="AK223" s="179"/>
      <c r="AL223" s="179"/>
    </row>
    <row r="224" spans="2:38">
      <c r="B224" s="177"/>
      <c r="C224" s="177"/>
      <c r="D224" s="177"/>
      <c r="E224" s="177"/>
      <c r="F224" s="177"/>
      <c r="G224" s="177"/>
      <c r="H224" s="177"/>
      <c r="I224" s="177"/>
      <c r="J224" s="177"/>
      <c r="K224" s="177"/>
      <c r="L224" s="177"/>
      <c r="M224" s="177"/>
      <c r="N224" s="177"/>
      <c r="O224" s="177"/>
      <c r="P224" s="177"/>
      <c r="Q224" s="177"/>
      <c r="R224" s="177"/>
      <c r="S224" s="177"/>
      <c r="T224" s="177"/>
      <c r="U224" s="177"/>
      <c r="V224" s="177"/>
      <c r="W224" s="177"/>
      <c r="X224" s="177"/>
      <c r="Y224" s="177"/>
      <c r="Z224" s="177"/>
      <c r="AA224" s="177"/>
      <c r="AB224" s="178"/>
      <c r="AC224" s="178"/>
      <c r="AD224" s="178"/>
      <c r="AE224" s="178"/>
      <c r="AF224" s="179"/>
      <c r="AG224" s="179"/>
      <c r="AH224" s="179"/>
      <c r="AI224" s="179"/>
      <c r="AJ224" s="179"/>
      <c r="AK224" s="179"/>
      <c r="AL224" s="179"/>
    </row>
    <row r="225" spans="2:38">
      <c r="B225" s="177"/>
      <c r="C225" s="177"/>
      <c r="D225" s="177"/>
      <c r="E225" s="177"/>
      <c r="F225" s="177"/>
      <c r="G225" s="177"/>
      <c r="H225" s="177"/>
      <c r="I225" s="177"/>
      <c r="J225" s="177"/>
      <c r="K225" s="177"/>
      <c r="L225" s="177"/>
      <c r="M225" s="177"/>
      <c r="N225" s="177"/>
      <c r="O225" s="177"/>
      <c r="P225" s="177"/>
      <c r="Q225" s="177"/>
      <c r="R225" s="177"/>
      <c r="S225" s="177"/>
      <c r="T225" s="177"/>
      <c r="U225" s="177"/>
      <c r="V225" s="177"/>
      <c r="W225" s="177"/>
      <c r="X225" s="177"/>
      <c r="Y225" s="177"/>
      <c r="Z225" s="177"/>
      <c r="AA225" s="177"/>
      <c r="AB225" s="178"/>
      <c r="AC225" s="178"/>
      <c r="AD225" s="178"/>
      <c r="AE225" s="178"/>
      <c r="AF225" s="179"/>
      <c r="AG225" s="179"/>
      <c r="AH225" s="179"/>
      <c r="AI225" s="179"/>
      <c r="AJ225" s="179"/>
      <c r="AK225" s="179"/>
      <c r="AL225" s="179"/>
    </row>
    <row r="226" spans="2:38">
      <c r="B226" s="177"/>
      <c r="C226" s="177"/>
      <c r="D226" s="177"/>
      <c r="E226" s="177"/>
      <c r="F226" s="177"/>
      <c r="G226" s="177"/>
      <c r="H226" s="177"/>
      <c r="I226" s="177"/>
      <c r="J226" s="177"/>
      <c r="K226" s="177"/>
      <c r="L226" s="177"/>
      <c r="M226" s="177"/>
      <c r="N226" s="177"/>
      <c r="O226" s="177"/>
      <c r="P226" s="177"/>
      <c r="Q226" s="177"/>
      <c r="R226" s="177"/>
      <c r="S226" s="177"/>
      <c r="T226" s="177"/>
      <c r="U226" s="177"/>
      <c r="V226" s="177"/>
      <c r="W226" s="177"/>
      <c r="X226" s="177"/>
      <c r="Y226" s="177"/>
      <c r="Z226" s="177"/>
      <c r="AA226" s="177"/>
      <c r="AB226" s="178"/>
      <c r="AC226" s="178"/>
      <c r="AD226" s="178"/>
      <c r="AE226" s="178"/>
      <c r="AF226" s="179"/>
      <c r="AG226" s="179"/>
      <c r="AH226" s="179"/>
      <c r="AI226" s="179"/>
      <c r="AJ226" s="179"/>
      <c r="AK226" s="179"/>
      <c r="AL226" s="179"/>
    </row>
    <row r="227" spans="2:38">
      <c r="B227" s="177"/>
      <c r="C227" s="177"/>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c r="AA227" s="177"/>
      <c r="AB227" s="178"/>
      <c r="AC227" s="178"/>
      <c r="AD227" s="178"/>
      <c r="AE227" s="178"/>
      <c r="AF227" s="179"/>
      <c r="AG227" s="179"/>
      <c r="AH227" s="179"/>
      <c r="AI227" s="179"/>
      <c r="AJ227" s="179"/>
      <c r="AK227" s="179"/>
      <c r="AL227" s="179"/>
    </row>
    <row r="228" spans="2:38">
      <c r="B228" s="177"/>
      <c r="C228" s="177"/>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c r="AA228" s="177"/>
      <c r="AB228" s="178"/>
      <c r="AC228" s="178"/>
      <c r="AD228" s="178"/>
      <c r="AE228" s="178"/>
      <c r="AF228" s="179"/>
      <c r="AG228" s="179"/>
      <c r="AH228" s="179"/>
      <c r="AI228" s="179"/>
      <c r="AJ228" s="179"/>
      <c r="AK228" s="179"/>
      <c r="AL228" s="179"/>
    </row>
    <row r="229" spans="2:38">
      <c r="B229" s="177"/>
      <c r="C229" s="177"/>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c r="AA229" s="177"/>
      <c r="AB229" s="178"/>
      <c r="AC229" s="178"/>
      <c r="AD229" s="178"/>
      <c r="AE229" s="178"/>
      <c r="AF229" s="179"/>
      <c r="AG229" s="179"/>
      <c r="AH229" s="179"/>
      <c r="AI229" s="179"/>
      <c r="AJ229" s="179"/>
      <c r="AK229" s="179"/>
      <c r="AL229" s="179"/>
    </row>
    <row r="230" spans="2:38">
      <c r="B230" s="177"/>
      <c r="C230" s="177"/>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c r="AA230" s="177"/>
      <c r="AB230" s="178"/>
      <c r="AC230" s="178"/>
      <c r="AD230" s="178"/>
      <c r="AE230" s="178"/>
      <c r="AF230" s="179"/>
      <c r="AG230" s="179"/>
      <c r="AH230" s="179"/>
      <c r="AI230" s="179"/>
      <c r="AJ230" s="179"/>
      <c r="AK230" s="179"/>
      <c r="AL230" s="179"/>
    </row>
    <row r="231" spans="2:38">
      <c r="B231" s="177"/>
      <c r="C231" s="177"/>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c r="AA231" s="177"/>
      <c r="AB231" s="178"/>
      <c r="AC231" s="178"/>
      <c r="AD231" s="178"/>
      <c r="AE231" s="178"/>
      <c r="AF231" s="179"/>
      <c r="AG231" s="179"/>
      <c r="AH231" s="179"/>
      <c r="AI231" s="179"/>
      <c r="AJ231" s="179"/>
      <c r="AK231" s="179"/>
      <c r="AL231" s="179"/>
    </row>
    <row r="232" spans="2:38">
      <c r="B232" s="177"/>
      <c r="C232" s="177"/>
      <c r="D232" s="177"/>
      <c r="E232" s="177"/>
      <c r="F232" s="177"/>
      <c r="G232" s="177"/>
      <c r="H232" s="177"/>
      <c r="I232" s="177"/>
      <c r="J232" s="177"/>
      <c r="K232" s="177"/>
      <c r="L232" s="177"/>
      <c r="M232" s="177"/>
      <c r="N232" s="177"/>
      <c r="O232" s="177"/>
      <c r="P232" s="177"/>
      <c r="Q232" s="177"/>
      <c r="R232" s="177"/>
      <c r="S232" s="177"/>
      <c r="T232" s="177"/>
      <c r="U232" s="177"/>
      <c r="V232" s="177"/>
      <c r="W232" s="177"/>
      <c r="X232" s="177"/>
      <c r="Y232" s="177"/>
      <c r="Z232" s="177"/>
      <c r="AA232" s="177"/>
      <c r="AB232" s="178"/>
      <c r="AC232" s="178"/>
      <c r="AD232" s="178"/>
      <c r="AE232" s="178"/>
      <c r="AF232" s="179"/>
      <c r="AG232" s="179"/>
      <c r="AH232" s="179"/>
      <c r="AI232" s="179"/>
      <c r="AJ232" s="179"/>
      <c r="AK232" s="179"/>
      <c r="AL232" s="179"/>
    </row>
    <row r="233" spans="2:38">
      <c r="B233" s="177"/>
      <c r="C233" s="177"/>
      <c r="D233" s="177"/>
      <c r="E233" s="177"/>
      <c r="F233" s="177"/>
      <c r="G233" s="177"/>
      <c r="H233" s="177"/>
      <c r="I233" s="177"/>
      <c r="J233" s="177"/>
      <c r="K233" s="177"/>
      <c r="L233" s="177"/>
      <c r="M233" s="177"/>
      <c r="N233" s="177"/>
      <c r="O233" s="177"/>
      <c r="P233" s="177"/>
      <c r="Q233" s="177"/>
      <c r="R233" s="177"/>
      <c r="S233" s="177"/>
      <c r="T233" s="177"/>
      <c r="U233" s="177"/>
      <c r="V233" s="177"/>
      <c r="W233" s="177"/>
      <c r="X233" s="177"/>
      <c r="Y233" s="177"/>
      <c r="Z233" s="177"/>
      <c r="AA233" s="177"/>
      <c r="AB233" s="178"/>
      <c r="AC233" s="178"/>
      <c r="AD233" s="178"/>
      <c r="AE233" s="178"/>
      <c r="AF233" s="179"/>
      <c r="AG233" s="179"/>
      <c r="AH233" s="179"/>
      <c r="AI233" s="179"/>
      <c r="AJ233" s="179"/>
      <c r="AK233" s="179"/>
      <c r="AL233" s="179"/>
    </row>
    <row r="234" spans="2:38">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c r="AA234" s="177"/>
      <c r="AB234" s="178"/>
      <c r="AC234" s="178"/>
      <c r="AD234" s="178"/>
      <c r="AE234" s="178"/>
      <c r="AF234" s="179"/>
      <c r="AG234" s="179"/>
      <c r="AH234" s="179"/>
      <c r="AI234" s="179"/>
      <c r="AJ234" s="179"/>
      <c r="AK234" s="179"/>
      <c r="AL234" s="179"/>
    </row>
    <row r="235" spans="2:38">
      <c r="B235" s="177"/>
      <c r="C235" s="177"/>
      <c r="D235" s="177"/>
      <c r="E235" s="177"/>
      <c r="F235" s="177"/>
      <c r="G235" s="177"/>
      <c r="H235" s="177"/>
      <c r="I235" s="177"/>
      <c r="J235" s="177"/>
      <c r="K235" s="177"/>
      <c r="L235" s="177"/>
      <c r="M235" s="177"/>
      <c r="N235" s="177"/>
      <c r="O235" s="177"/>
      <c r="P235" s="177"/>
      <c r="Q235" s="177"/>
      <c r="R235" s="177"/>
      <c r="S235" s="177"/>
      <c r="T235" s="177"/>
      <c r="U235" s="177"/>
      <c r="V235" s="177"/>
      <c r="W235" s="177"/>
      <c r="X235" s="177"/>
      <c r="Y235" s="177"/>
      <c r="Z235" s="177"/>
      <c r="AA235" s="177"/>
      <c r="AB235" s="178"/>
      <c r="AC235" s="178"/>
      <c r="AD235" s="178"/>
      <c r="AE235" s="178"/>
      <c r="AF235" s="179"/>
      <c r="AG235" s="179"/>
      <c r="AH235" s="179"/>
      <c r="AI235" s="179"/>
      <c r="AJ235" s="179"/>
      <c r="AK235" s="179"/>
      <c r="AL235" s="179"/>
    </row>
    <row r="236" spans="2:38">
      <c r="B236" s="177"/>
      <c r="C236" s="177"/>
      <c r="D236" s="177"/>
      <c r="E236" s="177"/>
      <c r="F236" s="177"/>
      <c r="G236" s="177"/>
      <c r="H236" s="177"/>
      <c r="I236" s="177"/>
      <c r="J236" s="177"/>
      <c r="K236" s="177"/>
      <c r="L236" s="177"/>
      <c r="M236" s="177"/>
      <c r="N236" s="177"/>
      <c r="O236" s="177"/>
      <c r="P236" s="177"/>
      <c r="Q236" s="177"/>
      <c r="R236" s="177"/>
      <c r="S236" s="177"/>
      <c r="T236" s="177"/>
      <c r="U236" s="177"/>
      <c r="V236" s="177"/>
      <c r="W236" s="177"/>
      <c r="X236" s="177"/>
      <c r="Y236" s="177"/>
      <c r="Z236" s="177"/>
      <c r="AA236" s="177"/>
      <c r="AB236" s="178"/>
      <c r="AC236" s="178"/>
      <c r="AD236" s="178"/>
      <c r="AE236" s="178"/>
      <c r="AF236" s="179"/>
      <c r="AG236" s="179"/>
      <c r="AH236" s="179"/>
      <c r="AI236" s="179"/>
      <c r="AJ236" s="179"/>
      <c r="AK236" s="179"/>
      <c r="AL236" s="179"/>
    </row>
    <row r="237" spans="2:38">
      <c r="B237" s="177"/>
      <c r="C237" s="177"/>
      <c r="D237" s="177"/>
      <c r="E237" s="177"/>
      <c r="F237" s="177"/>
      <c r="G237" s="177"/>
      <c r="H237" s="177"/>
      <c r="I237" s="177"/>
      <c r="J237" s="177"/>
      <c r="K237" s="177"/>
      <c r="L237" s="177"/>
      <c r="M237" s="177"/>
      <c r="N237" s="177"/>
      <c r="O237" s="177"/>
      <c r="P237" s="177"/>
      <c r="Q237" s="177"/>
      <c r="R237" s="177"/>
      <c r="S237" s="177"/>
      <c r="T237" s="177"/>
      <c r="U237" s="177"/>
      <c r="V237" s="177"/>
      <c r="W237" s="177"/>
      <c r="X237" s="177"/>
      <c r="Y237" s="177"/>
      <c r="Z237" s="177"/>
      <c r="AA237" s="177"/>
      <c r="AB237" s="178"/>
      <c r="AC237" s="178"/>
      <c r="AD237" s="178"/>
      <c r="AE237" s="178"/>
      <c r="AF237" s="179"/>
      <c r="AG237" s="179"/>
      <c r="AH237" s="179"/>
      <c r="AI237" s="179"/>
      <c r="AJ237" s="179"/>
      <c r="AK237" s="179"/>
      <c r="AL237" s="179"/>
    </row>
    <row r="238" spans="2:38">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c r="AA238" s="177"/>
      <c r="AB238" s="178"/>
      <c r="AC238" s="178"/>
      <c r="AD238" s="178"/>
      <c r="AE238" s="178"/>
      <c r="AF238" s="179"/>
      <c r="AG238" s="179"/>
      <c r="AH238" s="179"/>
      <c r="AI238" s="179"/>
      <c r="AJ238" s="179"/>
      <c r="AK238" s="179"/>
      <c r="AL238" s="179"/>
    </row>
    <row r="239" spans="2:38">
      <c r="B239" s="177"/>
      <c r="C239" s="177"/>
      <c r="D239" s="177"/>
      <c r="E239" s="177"/>
      <c r="F239" s="177"/>
      <c r="G239" s="177"/>
      <c r="H239" s="177"/>
      <c r="I239" s="177"/>
      <c r="J239" s="177"/>
      <c r="K239" s="177"/>
      <c r="L239" s="177"/>
      <c r="M239" s="177"/>
      <c r="N239" s="177"/>
      <c r="O239" s="177"/>
      <c r="P239" s="177"/>
      <c r="Q239" s="177"/>
      <c r="R239" s="177"/>
      <c r="S239" s="177"/>
      <c r="T239" s="177"/>
      <c r="U239" s="177"/>
      <c r="V239" s="177"/>
      <c r="W239" s="177"/>
      <c r="X239" s="177"/>
      <c r="Y239" s="177"/>
      <c r="Z239" s="177"/>
      <c r="AA239" s="177"/>
      <c r="AB239" s="178"/>
      <c r="AC239" s="178"/>
      <c r="AD239" s="178"/>
      <c r="AE239" s="178"/>
      <c r="AF239" s="179"/>
      <c r="AG239" s="179"/>
      <c r="AH239" s="179"/>
      <c r="AI239" s="179"/>
      <c r="AJ239" s="179"/>
      <c r="AK239" s="179"/>
      <c r="AL239" s="179"/>
    </row>
    <row r="240" spans="2:38">
      <c r="B240" s="177"/>
      <c r="C240" s="177"/>
      <c r="D240" s="177"/>
      <c r="E240" s="177"/>
      <c r="F240" s="177"/>
      <c r="G240" s="177"/>
      <c r="H240" s="177"/>
      <c r="I240" s="177"/>
      <c r="J240" s="177"/>
      <c r="K240" s="177"/>
      <c r="L240" s="177"/>
      <c r="M240" s="177"/>
      <c r="N240" s="177"/>
      <c r="O240" s="177"/>
      <c r="P240" s="177"/>
      <c r="Q240" s="177"/>
      <c r="R240" s="177"/>
      <c r="S240" s="177"/>
      <c r="T240" s="177"/>
      <c r="U240" s="177"/>
      <c r="V240" s="177"/>
      <c r="W240" s="177"/>
      <c r="X240" s="177"/>
      <c r="Y240" s="177"/>
      <c r="Z240" s="177"/>
      <c r="AA240" s="177"/>
      <c r="AB240" s="178"/>
      <c r="AC240" s="178"/>
      <c r="AD240" s="178"/>
      <c r="AE240" s="178"/>
      <c r="AF240" s="179"/>
      <c r="AG240" s="179"/>
      <c r="AH240" s="179"/>
      <c r="AI240" s="179"/>
      <c r="AJ240" s="179"/>
      <c r="AK240" s="179"/>
      <c r="AL240" s="179"/>
    </row>
    <row r="241" spans="2:38">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c r="AA241" s="177"/>
      <c r="AB241" s="178"/>
      <c r="AC241" s="178"/>
      <c r="AD241" s="178"/>
      <c r="AE241" s="178"/>
      <c r="AF241" s="179"/>
      <c r="AG241" s="179"/>
      <c r="AH241" s="179"/>
      <c r="AI241" s="179"/>
      <c r="AJ241" s="179"/>
      <c r="AK241" s="179"/>
      <c r="AL241" s="179"/>
    </row>
    <row r="242" spans="2:38">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c r="AA242" s="177"/>
      <c r="AB242" s="178"/>
      <c r="AC242" s="178"/>
      <c r="AD242" s="178"/>
      <c r="AE242" s="178"/>
      <c r="AF242" s="179"/>
      <c r="AG242" s="179"/>
      <c r="AH242" s="179"/>
      <c r="AI242" s="179"/>
      <c r="AJ242" s="179"/>
      <c r="AK242" s="179"/>
      <c r="AL242" s="179"/>
    </row>
    <row r="243" spans="2:38">
      <c r="B243" s="177"/>
      <c r="C243" s="177"/>
      <c r="D243" s="177"/>
      <c r="E243" s="177"/>
      <c r="F243" s="177"/>
      <c r="G243" s="177"/>
      <c r="H243" s="177"/>
      <c r="I243" s="177"/>
      <c r="J243" s="177"/>
      <c r="K243" s="177"/>
      <c r="L243" s="177"/>
      <c r="M243" s="177"/>
      <c r="N243" s="177"/>
      <c r="O243" s="177"/>
      <c r="P243" s="177"/>
      <c r="Q243" s="177"/>
      <c r="R243" s="177"/>
      <c r="S243" s="177"/>
      <c r="T243" s="177"/>
      <c r="U243" s="177"/>
      <c r="V243" s="177"/>
      <c r="W243" s="177"/>
      <c r="X243" s="177"/>
      <c r="Y243" s="177"/>
      <c r="Z243" s="177"/>
      <c r="AA243" s="177"/>
      <c r="AB243" s="178"/>
      <c r="AC243" s="178"/>
      <c r="AD243" s="178"/>
      <c r="AE243" s="178"/>
      <c r="AF243" s="179"/>
      <c r="AG243" s="179"/>
      <c r="AH243" s="179"/>
      <c r="AI243" s="179"/>
      <c r="AJ243" s="179"/>
      <c r="AK243" s="179"/>
      <c r="AL243" s="179"/>
    </row>
    <row r="244" spans="2:38">
      <c r="B244" s="177"/>
      <c r="C244" s="177"/>
      <c r="D244" s="177"/>
      <c r="E244" s="177"/>
      <c r="F244" s="177"/>
      <c r="G244" s="177"/>
      <c r="H244" s="177"/>
      <c r="I244" s="177"/>
      <c r="J244" s="177"/>
      <c r="K244" s="177"/>
      <c r="L244" s="177"/>
      <c r="M244" s="177"/>
      <c r="N244" s="177"/>
      <c r="O244" s="177"/>
      <c r="P244" s="177"/>
      <c r="Q244" s="177"/>
      <c r="R244" s="177"/>
      <c r="S244" s="177"/>
      <c r="T244" s="177"/>
      <c r="U244" s="177"/>
      <c r="V244" s="177"/>
      <c r="W244" s="177"/>
      <c r="X244" s="177"/>
      <c r="Y244" s="177"/>
      <c r="Z244" s="177"/>
      <c r="AA244" s="177"/>
      <c r="AB244" s="178"/>
      <c r="AC244" s="178"/>
      <c r="AD244" s="178"/>
      <c r="AE244" s="178"/>
      <c r="AF244" s="179"/>
      <c r="AG244" s="179"/>
      <c r="AH244" s="179"/>
      <c r="AI244" s="179"/>
      <c r="AJ244" s="179"/>
      <c r="AK244" s="179"/>
      <c r="AL244" s="179"/>
    </row>
    <row r="245" spans="2:38">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c r="AA245" s="177"/>
      <c r="AB245" s="178"/>
      <c r="AC245" s="178"/>
      <c r="AD245" s="178"/>
      <c r="AE245" s="178"/>
      <c r="AF245" s="179"/>
      <c r="AG245" s="179"/>
      <c r="AH245" s="179"/>
      <c r="AI245" s="179"/>
      <c r="AJ245" s="179"/>
      <c r="AK245" s="179"/>
      <c r="AL245" s="179"/>
    </row>
    <row r="246" spans="2:38">
      <c r="B246" s="177"/>
      <c r="C246" s="177"/>
      <c r="D246" s="177"/>
      <c r="E246" s="177"/>
      <c r="F246" s="177"/>
      <c r="G246" s="177"/>
      <c r="H246" s="177"/>
      <c r="I246" s="177"/>
      <c r="J246" s="177"/>
      <c r="K246" s="177"/>
      <c r="L246" s="177"/>
      <c r="M246" s="177"/>
      <c r="N246" s="177"/>
      <c r="O246" s="177"/>
      <c r="P246" s="177"/>
      <c r="Q246" s="177"/>
      <c r="R246" s="177"/>
      <c r="S246" s="177"/>
      <c r="T246" s="177"/>
      <c r="U246" s="177"/>
      <c r="V246" s="177"/>
      <c r="W246" s="177"/>
      <c r="X246" s="177"/>
      <c r="Y246" s="177"/>
      <c r="Z246" s="177"/>
      <c r="AA246" s="177"/>
      <c r="AB246" s="178"/>
      <c r="AC246" s="178"/>
      <c r="AD246" s="178"/>
      <c r="AE246" s="178"/>
      <c r="AF246" s="179"/>
      <c r="AG246" s="179"/>
      <c r="AH246" s="179"/>
      <c r="AI246" s="179"/>
      <c r="AJ246" s="179"/>
      <c r="AK246" s="179"/>
      <c r="AL246" s="179"/>
    </row>
    <row r="247" spans="2:38">
      <c r="B247" s="177"/>
      <c r="C247" s="177"/>
      <c r="D247" s="177"/>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8"/>
      <c r="AC247" s="178"/>
      <c r="AD247" s="178"/>
      <c r="AE247" s="178"/>
      <c r="AF247" s="179"/>
      <c r="AG247" s="179"/>
      <c r="AH247" s="179"/>
      <c r="AI247" s="179"/>
      <c r="AJ247" s="179"/>
      <c r="AK247" s="179"/>
      <c r="AL247" s="179"/>
    </row>
    <row r="248" spans="2:38">
      <c r="B248" s="177"/>
      <c r="C248" s="177"/>
      <c r="D248" s="177"/>
      <c r="E248" s="177"/>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8"/>
      <c r="AC248" s="178"/>
      <c r="AD248" s="178"/>
      <c r="AE248" s="178"/>
      <c r="AF248" s="179"/>
      <c r="AG248" s="179"/>
      <c r="AH248" s="179"/>
      <c r="AI248" s="179"/>
      <c r="AJ248" s="179"/>
      <c r="AK248" s="179"/>
      <c r="AL248" s="179"/>
    </row>
    <row r="249" spans="2:38">
      <c r="B249" s="177"/>
      <c r="C249" s="177"/>
      <c r="D249" s="177"/>
      <c r="E249" s="177"/>
      <c r="F249" s="177"/>
      <c r="G249" s="177"/>
      <c r="H249" s="177"/>
      <c r="I249" s="177"/>
      <c r="J249" s="177"/>
      <c r="K249" s="177"/>
      <c r="L249" s="177"/>
      <c r="M249" s="177"/>
      <c r="N249" s="177"/>
      <c r="O249" s="177"/>
      <c r="P249" s="177"/>
      <c r="Q249" s="177"/>
      <c r="R249" s="177"/>
      <c r="S249" s="177"/>
      <c r="T249" s="177"/>
      <c r="U249" s="177"/>
      <c r="V249" s="177"/>
      <c r="W249" s="177"/>
      <c r="X249" s="177"/>
      <c r="Y249" s="177"/>
      <c r="Z249" s="177"/>
      <c r="AA249" s="177"/>
      <c r="AB249" s="178"/>
      <c r="AC249" s="178"/>
      <c r="AD249" s="178"/>
      <c r="AE249" s="178"/>
      <c r="AF249" s="179"/>
      <c r="AG249" s="179"/>
      <c r="AH249" s="179"/>
      <c r="AI249" s="179"/>
      <c r="AJ249" s="179"/>
      <c r="AK249" s="179"/>
      <c r="AL249" s="179"/>
    </row>
    <row r="250" spans="2:38">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c r="AA250" s="177"/>
      <c r="AB250" s="178"/>
      <c r="AC250" s="178"/>
      <c r="AD250" s="178"/>
      <c r="AE250" s="178"/>
      <c r="AF250" s="179"/>
      <c r="AG250" s="179"/>
      <c r="AH250" s="179"/>
      <c r="AI250" s="179"/>
      <c r="AJ250" s="179"/>
      <c r="AK250" s="179"/>
      <c r="AL250" s="179"/>
    </row>
    <row r="251" spans="2:38">
      <c r="B251" s="177"/>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8"/>
      <c r="AC251" s="178"/>
      <c r="AD251" s="178"/>
      <c r="AE251" s="178"/>
      <c r="AF251" s="179"/>
      <c r="AG251" s="179"/>
      <c r="AH251" s="179"/>
      <c r="AI251" s="179"/>
      <c r="AJ251" s="179"/>
      <c r="AK251" s="179"/>
      <c r="AL251" s="179"/>
    </row>
    <row r="252" spans="2:38">
      <c r="B252" s="177"/>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c r="AA252" s="177"/>
      <c r="AB252" s="178"/>
      <c r="AC252" s="178"/>
      <c r="AD252" s="178"/>
      <c r="AE252" s="178"/>
      <c r="AF252" s="179"/>
      <c r="AG252" s="179"/>
      <c r="AH252" s="179"/>
      <c r="AI252" s="179"/>
      <c r="AJ252" s="179"/>
      <c r="AK252" s="179"/>
      <c r="AL252" s="179"/>
    </row>
    <row r="253" spans="2:38">
      <c r="B253" s="177"/>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c r="AA253" s="177"/>
      <c r="AB253" s="178"/>
      <c r="AC253" s="178"/>
      <c r="AD253" s="178"/>
      <c r="AE253" s="178"/>
      <c r="AF253" s="179"/>
      <c r="AG253" s="179"/>
      <c r="AH253" s="179"/>
      <c r="AI253" s="179"/>
      <c r="AJ253" s="179"/>
      <c r="AK253" s="179"/>
      <c r="AL253" s="179"/>
    </row>
    <row r="254" spans="2:38">
      <c r="B254" s="177"/>
      <c r="C254" s="177"/>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c r="AA254" s="177"/>
      <c r="AB254" s="178"/>
      <c r="AC254" s="178"/>
      <c r="AD254" s="178"/>
      <c r="AE254" s="178"/>
      <c r="AF254" s="179"/>
      <c r="AG254" s="179"/>
      <c r="AH254" s="179"/>
      <c r="AI254" s="179"/>
      <c r="AJ254" s="179"/>
      <c r="AK254" s="179"/>
      <c r="AL254" s="179"/>
    </row>
    <row r="255" spans="2:38">
      <c r="B255" s="177"/>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c r="AA255" s="177"/>
      <c r="AB255" s="178"/>
      <c r="AC255" s="178"/>
      <c r="AD255" s="178"/>
      <c r="AE255" s="178"/>
      <c r="AF255" s="179"/>
      <c r="AG255" s="179"/>
      <c r="AH255" s="179"/>
      <c r="AI255" s="179"/>
      <c r="AJ255" s="179"/>
      <c r="AK255" s="179"/>
      <c r="AL255" s="179"/>
    </row>
    <row r="256" spans="2:38">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c r="AA256" s="177"/>
      <c r="AB256" s="178"/>
      <c r="AC256" s="178"/>
      <c r="AD256" s="178"/>
      <c r="AE256" s="178"/>
      <c r="AF256" s="179"/>
      <c r="AG256" s="179"/>
      <c r="AH256" s="179"/>
      <c r="AI256" s="179"/>
      <c r="AJ256" s="179"/>
      <c r="AK256" s="179"/>
      <c r="AL256" s="179"/>
    </row>
    <row r="257" spans="2:38">
      <c r="B257" s="177"/>
      <c r="C257" s="177"/>
      <c r="D257" s="177"/>
      <c r="E257" s="177"/>
      <c r="F257" s="177"/>
      <c r="G257" s="177"/>
      <c r="H257" s="177"/>
      <c r="I257" s="177"/>
      <c r="J257" s="177"/>
      <c r="K257" s="177"/>
      <c r="L257" s="177"/>
      <c r="M257" s="177"/>
      <c r="N257" s="177"/>
      <c r="O257" s="177"/>
      <c r="P257" s="177"/>
      <c r="Q257" s="177"/>
      <c r="R257" s="177"/>
      <c r="S257" s="177"/>
      <c r="T257" s="177"/>
      <c r="U257" s="177"/>
      <c r="V257" s="177"/>
      <c r="W257" s="177"/>
      <c r="X257" s="177"/>
      <c r="Y257" s="177"/>
      <c r="Z257" s="177"/>
      <c r="AA257" s="177"/>
      <c r="AB257" s="178"/>
      <c r="AC257" s="178"/>
      <c r="AD257" s="178"/>
      <c r="AE257" s="178"/>
      <c r="AF257" s="179"/>
      <c r="AG257" s="179"/>
      <c r="AH257" s="179"/>
      <c r="AI257" s="179"/>
      <c r="AJ257" s="179"/>
      <c r="AK257" s="179"/>
      <c r="AL257" s="179"/>
    </row>
    <row r="258" spans="2:38">
      <c r="B258" s="177"/>
      <c r="C258" s="177"/>
      <c r="D258" s="177"/>
      <c r="E258" s="177"/>
      <c r="F258" s="177"/>
      <c r="G258" s="177"/>
      <c r="H258" s="177"/>
      <c r="I258" s="177"/>
      <c r="J258" s="177"/>
      <c r="K258" s="177"/>
      <c r="L258" s="177"/>
      <c r="M258" s="177"/>
      <c r="N258" s="177"/>
      <c r="O258" s="177"/>
      <c r="P258" s="177"/>
      <c r="Q258" s="177"/>
      <c r="R258" s="177"/>
      <c r="S258" s="177"/>
      <c r="T258" s="177"/>
      <c r="U258" s="177"/>
      <c r="V258" s="177"/>
      <c r="W258" s="177"/>
      <c r="X258" s="177"/>
      <c r="Y258" s="177"/>
      <c r="Z258" s="177"/>
      <c r="AA258" s="177"/>
      <c r="AB258" s="178"/>
      <c r="AC258" s="178"/>
      <c r="AD258" s="178"/>
      <c r="AE258" s="178"/>
      <c r="AF258" s="179"/>
      <c r="AG258" s="179"/>
      <c r="AH258" s="179"/>
      <c r="AI258" s="179"/>
      <c r="AJ258" s="179"/>
      <c r="AK258" s="179"/>
      <c r="AL258" s="179"/>
    </row>
    <row r="259" spans="2:38">
      <c r="B259" s="177"/>
      <c r="C259" s="177"/>
      <c r="D259" s="177"/>
      <c r="E259" s="177"/>
      <c r="F259" s="177"/>
      <c r="G259" s="177"/>
      <c r="H259" s="177"/>
      <c r="I259" s="177"/>
      <c r="J259" s="177"/>
      <c r="K259" s="177"/>
      <c r="L259" s="177"/>
      <c r="M259" s="177"/>
      <c r="N259" s="177"/>
      <c r="O259" s="177"/>
      <c r="P259" s="177"/>
      <c r="Q259" s="177"/>
      <c r="R259" s="177"/>
      <c r="S259" s="177"/>
      <c r="T259" s="177"/>
      <c r="U259" s="177"/>
      <c r="V259" s="177"/>
      <c r="W259" s="177"/>
      <c r="X259" s="177"/>
      <c r="Y259" s="177"/>
      <c r="Z259" s="177"/>
      <c r="AA259" s="177"/>
      <c r="AB259" s="178"/>
      <c r="AC259" s="178"/>
      <c r="AD259" s="178"/>
      <c r="AE259" s="178"/>
      <c r="AF259" s="179"/>
      <c r="AG259" s="179"/>
      <c r="AH259" s="179"/>
      <c r="AI259" s="179"/>
      <c r="AJ259" s="179"/>
      <c r="AK259" s="179"/>
      <c r="AL259" s="179"/>
    </row>
    <row r="260" spans="2:38">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c r="AA260" s="177"/>
      <c r="AB260" s="178"/>
      <c r="AC260" s="178"/>
      <c r="AD260" s="178"/>
      <c r="AE260" s="178"/>
      <c r="AF260" s="179"/>
      <c r="AG260" s="179"/>
      <c r="AH260" s="179"/>
      <c r="AI260" s="179"/>
      <c r="AJ260" s="179"/>
      <c r="AK260" s="179"/>
      <c r="AL260" s="179"/>
    </row>
    <row r="261" spans="2:38">
      <c r="B261" s="177"/>
      <c r="C261" s="177"/>
      <c r="D261" s="177"/>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c r="AA261" s="177"/>
      <c r="AB261" s="178"/>
      <c r="AC261" s="178"/>
      <c r="AD261" s="178"/>
      <c r="AE261" s="178"/>
      <c r="AF261" s="179"/>
      <c r="AG261" s="179"/>
      <c r="AH261" s="179"/>
      <c r="AI261" s="179"/>
      <c r="AJ261" s="179"/>
      <c r="AK261" s="179"/>
      <c r="AL261" s="179"/>
    </row>
    <row r="262" spans="2:38">
      <c r="B262" s="177"/>
      <c r="C262" s="177"/>
      <c r="D262" s="177"/>
      <c r="E262" s="177"/>
      <c r="F262" s="177"/>
      <c r="G262" s="177"/>
      <c r="H262" s="177"/>
      <c r="I262" s="177"/>
      <c r="J262" s="177"/>
      <c r="K262" s="177"/>
      <c r="L262" s="177"/>
      <c r="M262" s="177"/>
      <c r="N262" s="177"/>
      <c r="O262" s="177"/>
      <c r="P262" s="177"/>
      <c r="Q262" s="177"/>
      <c r="R262" s="177"/>
      <c r="S262" s="177"/>
      <c r="T262" s="177"/>
      <c r="U262" s="177"/>
      <c r="V262" s="177"/>
      <c r="W262" s="177"/>
      <c r="X262" s="177"/>
      <c r="Y262" s="177"/>
      <c r="Z262" s="177"/>
      <c r="AA262" s="177"/>
      <c r="AB262" s="178"/>
      <c r="AC262" s="178"/>
      <c r="AD262" s="178"/>
      <c r="AE262" s="178"/>
      <c r="AF262" s="179"/>
      <c r="AG262" s="179"/>
      <c r="AH262" s="179"/>
      <c r="AI262" s="179"/>
      <c r="AJ262" s="179"/>
      <c r="AK262" s="179"/>
      <c r="AL262" s="179"/>
    </row>
    <row r="263" spans="2:38">
      <c r="B263" s="177"/>
      <c r="C263" s="177"/>
      <c r="D263" s="177"/>
      <c r="E263" s="177"/>
      <c r="F263" s="177"/>
      <c r="G263" s="177"/>
      <c r="H263" s="177"/>
      <c r="I263" s="177"/>
      <c r="J263" s="177"/>
      <c r="K263" s="177"/>
      <c r="L263" s="177"/>
      <c r="M263" s="177"/>
      <c r="N263" s="177"/>
      <c r="O263" s="177"/>
      <c r="P263" s="177"/>
      <c r="Q263" s="177"/>
      <c r="R263" s="177"/>
      <c r="S263" s="177"/>
      <c r="T263" s="177"/>
      <c r="U263" s="177"/>
      <c r="V263" s="177"/>
      <c r="W263" s="177"/>
      <c r="X263" s="177"/>
      <c r="Y263" s="177"/>
      <c r="Z263" s="177"/>
      <c r="AA263" s="177"/>
      <c r="AB263" s="178"/>
      <c r="AC263" s="178"/>
      <c r="AD263" s="178"/>
      <c r="AE263" s="178"/>
      <c r="AF263" s="179"/>
      <c r="AG263" s="179"/>
      <c r="AH263" s="179"/>
      <c r="AI263" s="179"/>
      <c r="AJ263" s="179"/>
      <c r="AK263" s="179"/>
      <c r="AL263" s="179"/>
    </row>
    <row r="264" spans="2:38">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c r="AA264" s="177"/>
      <c r="AB264" s="178"/>
      <c r="AC264" s="178"/>
      <c r="AD264" s="178"/>
      <c r="AE264" s="178"/>
      <c r="AF264" s="179"/>
      <c r="AG264" s="179"/>
      <c r="AH264" s="179"/>
      <c r="AI264" s="179"/>
      <c r="AJ264" s="179"/>
      <c r="AK264" s="179"/>
      <c r="AL264" s="179"/>
    </row>
    <row r="265" spans="2:38">
      <c r="B265" s="177"/>
      <c r="C265" s="177"/>
      <c r="D265" s="177"/>
      <c r="E265" s="177"/>
      <c r="F265" s="177"/>
      <c r="G265" s="177"/>
      <c r="H265" s="177"/>
      <c r="I265" s="177"/>
      <c r="J265" s="177"/>
      <c r="K265" s="177"/>
      <c r="L265" s="177"/>
      <c r="M265" s="177"/>
      <c r="N265" s="177"/>
      <c r="O265" s="177"/>
      <c r="P265" s="177"/>
      <c r="Q265" s="177"/>
      <c r="R265" s="177"/>
      <c r="S265" s="177"/>
      <c r="T265" s="177"/>
      <c r="U265" s="177"/>
      <c r="V265" s="177"/>
      <c r="W265" s="177"/>
      <c r="X265" s="177"/>
      <c r="Y265" s="177"/>
      <c r="Z265" s="177"/>
      <c r="AA265" s="177"/>
      <c r="AB265" s="178"/>
      <c r="AC265" s="178"/>
      <c r="AD265" s="178"/>
      <c r="AE265" s="178"/>
      <c r="AF265" s="179"/>
      <c r="AG265" s="179"/>
      <c r="AH265" s="179"/>
      <c r="AI265" s="179"/>
      <c r="AJ265" s="179"/>
      <c r="AK265" s="179"/>
      <c r="AL265" s="179"/>
    </row>
    <row r="266" spans="2:38">
      <c r="B266" s="177"/>
      <c r="C266" s="177"/>
      <c r="D266" s="177"/>
      <c r="E266" s="177"/>
      <c r="F266" s="177"/>
      <c r="G266" s="177"/>
      <c r="H266" s="177"/>
      <c r="I266" s="177"/>
      <c r="J266" s="177"/>
      <c r="K266" s="177"/>
      <c r="L266" s="177"/>
      <c r="M266" s="177"/>
      <c r="N266" s="177"/>
      <c r="O266" s="177"/>
      <c r="P266" s="177"/>
      <c r="Q266" s="177"/>
      <c r="R266" s="177"/>
      <c r="S266" s="177"/>
      <c r="T266" s="177"/>
      <c r="U266" s="177"/>
      <c r="V266" s="177"/>
      <c r="W266" s="177"/>
      <c r="X266" s="177"/>
      <c r="Y266" s="177"/>
      <c r="Z266" s="177"/>
      <c r="AA266" s="177"/>
      <c r="AB266" s="178"/>
      <c r="AC266" s="178"/>
      <c r="AD266" s="178"/>
      <c r="AE266" s="178"/>
      <c r="AF266" s="179"/>
      <c r="AG266" s="179"/>
      <c r="AH266" s="179"/>
      <c r="AI266" s="179"/>
      <c r="AJ266" s="179"/>
      <c r="AK266" s="179"/>
      <c r="AL266" s="179"/>
    </row>
    <row r="267" spans="2:38">
      <c r="B267" s="177"/>
      <c r="C267" s="177"/>
      <c r="D267" s="177"/>
      <c r="E267" s="177"/>
      <c r="F267" s="177"/>
      <c r="G267" s="177"/>
      <c r="H267" s="177"/>
      <c r="I267" s="177"/>
      <c r="J267" s="177"/>
      <c r="K267" s="177"/>
      <c r="L267" s="177"/>
      <c r="M267" s="177"/>
      <c r="N267" s="177"/>
      <c r="O267" s="177"/>
      <c r="P267" s="177"/>
      <c r="Q267" s="177"/>
      <c r="R267" s="177"/>
      <c r="S267" s="177"/>
      <c r="T267" s="177"/>
      <c r="U267" s="177"/>
      <c r="V267" s="177"/>
      <c r="W267" s="177"/>
      <c r="X267" s="177"/>
      <c r="Y267" s="177"/>
      <c r="Z267" s="177"/>
      <c r="AA267" s="177"/>
      <c r="AB267" s="178"/>
      <c r="AC267" s="178"/>
      <c r="AD267" s="178"/>
      <c r="AE267" s="178"/>
      <c r="AF267" s="179"/>
      <c r="AG267" s="179"/>
      <c r="AH267" s="179"/>
      <c r="AI267" s="179"/>
      <c r="AJ267" s="179"/>
      <c r="AK267" s="179"/>
      <c r="AL267" s="179"/>
    </row>
    <row r="268" spans="2:38">
      <c r="B268" s="177"/>
      <c r="C268" s="177"/>
      <c r="D268" s="177"/>
      <c r="E268" s="177"/>
      <c r="F268" s="177"/>
      <c r="G268" s="177"/>
      <c r="H268" s="177"/>
      <c r="I268" s="177"/>
      <c r="J268" s="177"/>
      <c r="K268" s="177"/>
      <c r="L268" s="177"/>
      <c r="M268" s="177"/>
      <c r="N268" s="177"/>
      <c r="O268" s="177"/>
      <c r="P268" s="177"/>
      <c r="Q268" s="177"/>
      <c r="R268" s="177"/>
      <c r="S268" s="177"/>
      <c r="T268" s="177"/>
      <c r="U268" s="177"/>
      <c r="V268" s="177"/>
      <c r="W268" s="177"/>
      <c r="X268" s="177"/>
      <c r="Y268" s="177"/>
      <c r="Z268" s="177"/>
      <c r="AA268" s="177"/>
      <c r="AB268" s="178"/>
      <c r="AC268" s="178"/>
      <c r="AD268" s="178"/>
      <c r="AE268" s="178"/>
      <c r="AF268" s="179"/>
      <c r="AG268" s="179"/>
      <c r="AH268" s="179"/>
      <c r="AI268" s="179"/>
      <c r="AJ268" s="179"/>
      <c r="AK268" s="179"/>
      <c r="AL268" s="179"/>
    </row>
    <row r="269" spans="2:38">
      <c r="B269" s="177"/>
      <c r="C269" s="177"/>
      <c r="D269" s="177"/>
      <c r="E269" s="177"/>
      <c r="F269" s="177"/>
      <c r="G269" s="177"/>
      <c r="H269" s="177"/>
      <c r="I269" s="177"/>
      <c r="J269" s="177"/>
      <c r="K269" s="177"/>
      <c r="L269" s="177"/>
      <c r="M269" s="177"/>
      <c r="N269" s="177"/>
      <c r="O269" s="177"/>
      <c r="P269" s="177"/>
      <c r="Q269" s="177"/>
      <c r="R269" s="177"/>
      <c r="S269" s="177"/>
      <c r="T269" s="177"/>
      <c r="U269" s="177"/>
      <c r="V269" s="177"/>
      <c r="W269" s="177"/>
      <c r="X269" s="177"/>
      <c r="Y269" s="177"/>
      <c r="Z269" s="177"/>
      <c r="AA269" s="177"/>
      <c r="AB269" s="178"/>
      <c r="AC269" s="178"/>
      <c r="AD269" s="178"/>
      <c r="AE269" s="178"/>
      <c r="AF269" s="179"/>
      <c r="AG269" s="179"/>
      <c r="AH269" s="179"/>
      <c r="AI269" s="179"/>
      <c r="AJ269" s="179"/>
      <c r="AK269" s="179"/>
      <c r="AL269" s="179"/>
    </row>
    <row r="270" spans="2:38">
      <c r="B270" s="177"/>
      <c r="C270" s="177"/>
      <c r="D270" s="177"/>
      <c r="E270" s="177"/>
      <c r="F270" s="177"/>
      <c r="G270" s="177"/>
      <c r="H270" s="177"/>
      <c r="I270" s="177"/>
      <c r="J270" s="177"/>
      <c r="K270" s="177"/>
      <c r="L270" s="177"/>
      <c r="M270" s="177"/>
      <c r="N270" s="177"/>
      <c r="O270" s="177"/>
      <c r="P270" s="177"/>
      <c r="Q270" s="177"/>
      <c r="R270" s="177"/>
      <c r="S270" s="177"/>
      <c r="T270" s="177"/>
      <c r="U270" s="177"/>
      <c r="V270" s="177"/>
      <c r="W270" s="177"/>
      <c r="X270" s="177"/>
      <c r="Y270" s="177"/>
      <c r="Z270" s="177"/>
      <c r="AA270" s="177"/>
      <c r="AB270" s="178"/>
      <c r="AC270" s="178"/>
      <c r="AD270" s="178"/>
      <c r="AE270" s="178"/>
      <c r="AF270" s="179"/>
      <c r="AG270" s="179"/>
      <c r="AH270" s="179"/>
      <c r="AI270" s="179"/>
      <c r="AJ270" s="179"/>
      <c r="AK270" s="179"/>
      <c r="AL270" s="179"/>
    </row>
    <row r="271" spans="2:38">
      <c r="B271" s="177"/>
      <c r="C271" s="177"/>
      <c r="D271" s="177"/>
      <c r="E271" s="177"/>
      <c r="F271" s="177"/>
      <c r="G271" s="177"/>
      <c r="H271" s="177"/>
      <c r="I271" s="177"/>
      <c r="J271" s="177"/>
      <c r="K271" s="177"/>
      <c r="L271" s="177"/>
      <c r="M271" s="177"/>
      <c r="N271" s="177"/>
      <c r="O271" s="177"/>
      <c r="P271" s="177"/>
      <c r="Q271" s="177"/>
      <c r="R271" s="177"/>
      <c r="S271" s="177"/>
      <c r="T271" s="177"/>
      <c r="U271" s="177"/>
      <c r="V271" s="177"/>
      <c r="W271" s="177"/>
      <c r="X271" s="177"/>
      <c r="Y271" s="177"/>
      <c r="Z271" s="177"/>
      <c r="AA271" s="177"/>
      <c r="AB271" s="178"/>
      <c r="AC271" s="178"/>
      <c r="AD271" s="178"/>
      <c r="AE271" s="178"/>
      <c r="AF271" s="179"/>
      <c r="AG271" s="179"/>
      <c r="AH271" s="179"/>
      <c r="AI271" s="179"/>
      <c r="AJ271" s="179"/>
      <c r="AK271" s="179"/>
      <c r="AL271" s="179"/>
    </row>
    <row r="272" spans="2:38">
      <c r="B272" s="177"/>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c r="AA272" s="177"/>
      <c r="AB272" s="178"/>
      <c r="AC272" s="178"/>
      <c r="AD272" s="178"/>
      <c r="AE272" s="178"/>
      <c r="AF272" s="179"/>
      <c r="AG272" s="179"/>
      <c r="AH272" s="179"/>
      <c r="AI272" s="179"/>
      <c r="AJ272" s="179"/>
      <c r="AK272" s="179"/>
      <c r="AL272" s="179"/>
    </row>
    <row r="273" spans="2:38">
      <c r="B273" s="177"/>
      <c r="C273" s="177"/>
      <c r="D273" s="177"/>
      <c r="E273" s="177"/>
      <c r="F273" s="177"/>
      <c r="G273" s="177"/>
      <c r="H273" s="177"/>
      <c r="I273" s="177"/>
      <c r="J273" s="177"/>
      <c r="K273" s="177"/>
      <c r="L273" s="177"/>
      <c r="M273" s="177"/>
      <c r="N273" s="177"/>
      <c r="O273" s="177"/>
      <c r="P273" s="177"/>
      <c r="Q273" s="177"/>
      <c r="R273" s="177"/>
      <c r="S273" s="177"/>
      <c r="T273" s="177"/>
      <c r="U273" s="177"/>
      <c r="V273" s="177"/>
      <c r="W273" s="177"/>
      <c r="X273" s="177"/>
      <c r="Y273" s="177"/>
      <c r="Z273" s="177"/>
      <c r="AA273" s="177"/>
      <c r="AB273" s="178"/>
      <c r="AC273" s="178"/>
      <c r="AD273" s="178"/>
      <c r="AE273" s="178"/>
      <c r="AF273" s="179"/>
      <c r="AG273" s="179"/>
      <c r="AH273" s="179"/>
      <c r="AI273" s="179"/>
      <c r="AJ273" s="179"/>
      <c r="AK273" s="179"/>
      <c r="AL273" s="179"/>
    </row>
    <row r="274" spans="2:38">
      <c r="B274" s="177"/>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c r="AA274" s="177"/>
      <c r="AB274" s="178"/>
      <c r="AC274" s="178"/>
      <c r="AD274" s="178"/>
      <c r="AE274" s="178"/>
      <c r="AF274" s="179"/>
      <c r="AG274" s="179"/>
      <c r="AH274" s="179"/>
      <c r="AI274" s="179"/>
      <c r="AJ274" s="179"/>
      <c r="AK274" s="179"/>
      <c r="AL274" s="179"/>
    </row>
    <row r="275" spans="2:38">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c r="AA275" s="177"/>
      <c r="AB275" s="178"/>
      <c r="AC275" s="178"/>
      <c r="AD275" s="178"/>
      <c r="AE275" s="178"/>
      <c r="AF275" s="179"/>
      <c r="AG275" s="179"/>
      <c r="AH275" s="179"/>
      <c r="AI275" s="179"/>
      <c r="AJ275" s="179"/>
      <c r="AK275" s="179"/>
      <c r="AL275" s="179"/>
    </row>
    <row r="276" spans="2:38">
      <c r="B276" s="177"/>
      <c r="C276" s="177"/>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c r="AA276" s="177"/>
      <c r="AB276" s="178"/>
      <c r="AC276" s="178"/>
      <c r="AD276" s="178"/>
      <c r="AE276" s="178"/>
      <c r="AF276" s="179"/>
      <c r="AG276" s="179"/>
      <c r="AH276" s="179"/>
      <c r="AI276" s="179"/>
      <c r="AJ276" s="179"/>
      <c r="AK276" s="179"/>
      <c r="AL276" s="179"/>
    </row>
    <row r="277" spans="2:38">
      <c r="B277" s="177"/>
      <c r="C277" s="177"/>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c r="AA277" s="177"/>
      <c r="AB277" s="178"/>
      <c r="AC277" s="178"/>
      <c r="AD277" s="178"/>
      <c r="AE277" s="178"/>
      <c r="AF277" s="179"/>
      <c r="AG277" s="179"/>
      <c r="AH277" s="179"/>
      <c r="AI277" s="179"/>
      <c r="AJ277" s="179"/>
      <c r="AK277" s="179"/>
      <c r="AL277" s="179"/>
    </row>
    <row r="278" spans="2:38">
      <c r="B278" s="177"/>
      <c r="C278" s="177"/>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c r="AA278" s="177"/>
      <c r="AB278" s="178"/>
      <c r="AC278" s="178"/>
      <c r="AD278" s="178"/>
      <c r="AE278" s="178"/>
      <c r="AF278" s="179"/>
      <c r="AG278" s="179"/>
      <c r="AH278" s="179"/>
      <c r="AI278" s="179"/>
      <c r="AJ278" s="179"/>
      <c r="AK278" s="179"/>
      <c r="AL278" s="179"/>
    </row>
    <row r="279" spans="2:38">
      <c r="B279" s="177"/>
      <c r="C279" s="177"/>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c r="AA279" s="177"/>
      <c r="AB279" s="178"/>
      <c r="AC279" s="178"/>
      <c r="AD279" s="178"/>
      <c r="AE279" s="178"/>
      <c r="AF279" s="179"/>
      <c r="AG279" s="179"/>
      <c r="AH279" s="179"/>
      <c r="AI279" s="179"/>
      <c r="AJ279" s="179"/>
      <c r="AK279" s="179"/>
      <c r="AL279" s="179"/>
    </row>
    <row r="280" spans="2:38">
      <c r="B280" s="177"/>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c r="AA280" s="177"/>
      <c r="AB280" s="178"/>
      <c r="AC280" s="178"/>
      <c r="AD280" s="178"/>
      <c r="AE280" s="178"/>
      <c r="AF280" s="179"/>
      <c r="AG280" s="179"/>
      <c r="AH280" s="179"/>
      <c r="AI280" s="179"/>
      <c r="AJ280" s="179"/>
      <c r="AK280" s="179"/>
      <c r="AL280" s="179"/>
    </row>
    <row r="281" spans="2:38">
      <c r="B281" s="177"/>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8"/>
      <c r="AC281" s="178"/>
      <c r="AD281" s="178"/>
      <c r="AE281" s="178"/>
      <c r="AF281" s="179"/>
      <c r="AG281" s="179"/>
      <c r="AH281" s="179"/>
      <c r="AI281" s="179"/>
      <c r="AJ281" s="179"/>
      <c r="AK281" s="179"/>
      <c r="AL281" s="179"/>
    </row>
    <row r="282" spans="2:38">
      <c r="B282" s="177"/>
      <c r="C282" s="177"/>
      <c r="D282" s="177"/>
      <c r="E282" s="177"/>
      <c r="F282" s="177"/>
      <c r="G282" s="177"/>
      <c r="H282" s="177"/>
      <c r="I282" s="177"/>
      <c r="J282" s="177"/>
      <c r="K282" s="177"/>
      <c r="L282" s="177"/>
      <c r="M282" s="177"/>
      <c r="N282" s="177"/>
      <c r="O282" s="177"/>
      <c r="P282" s="177"/>
      <c r="Q282" s="177"/>
      <c r="R282" s="177"/>
      <c r="S282" s="177"/>
      <c r="T282" s="177"/>
      <c r="U282" s="177"/>
      <c r="V282" s="177"/>
      <c r="W282" s="177"/>
      <c r="X282" s="177"/>
      <c r="Y282" s="177"/>
      <c r="Z282" s="177"/>
      <c r="AA282" s="177"/>
      <c r="AB282" s="178"/>
      <c r="AC282" s="178"/>
      <c r="AD282" s="178"/>
      <c r="AE282" s="178"/>
      <c r="AF282" s="179"/>
      <c r="AG282" s="179"/>
      <c r="AH282" s="179"/>
      <c r="AI282" s="179"/>
      <c r="AJ282" s="179"/>
      <c r="AK282" s="179"/>
      <c r="AL282" s="179"/>
    </row>
    <row r="283" spans="2:38">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c r="AA283" s="177"/>
      <c r="AB283" s="178"/>
      <c r="AC283" s="178"/>
      <c r="AD283" s="178"/>
      <c r="AE283" s="178"/>
      <c r="AF283" s="179"/>
      <c r="AG283" s="179"/>
      <c r="AH283" s="179"/>
      <c r="AI283" s="179"/>
      <c r="AJ283" s="179"/>
      <c r="AK283" s="179"/>
      <c r="AL283" s="179"/>
    </row>
    <row r="284" spans="2:38">
      <c r="B284" s="177"/>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c r="AA284" s="177"/>
      <c r="AB284" s="178"/>
      <c r="AC284" s="178"/>
      <c r="AD284" s="178"/>
      <c r="AE284" s="178"/>
      <c r="AF284" s="179"/>
      <c r="AG284" s="179"/>
      <c r="AH284" s="179"/>
      <c r="AI284" s="179"/>
      <c r="AJ284" s="179"/>
      <c r="AK284" s="179"/>
      <c r="AL284" s="179"/>
    </row>
    <row r="285" spans="2:38">
      <c r="B285" s="177"/>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c r="AA285" s="177"/>
      <c r="AB285" s="178"/>
      <c r="AC285" s="178"/>
      <c r="AD285" s="178"/>
      <c r="AE285" s="178"/>
      <c r="AF285" s="179"/>
      <c r="AG285" s="179"/>
      <c r="AH285" s="179"/>
      <c r="AI285" s="179"/>
      <c r="AJ285" s="179"/>
      <c r="AK285" s="179"/>
      <c r="AL285" s="179"/>
    </row>
    <row r="286" spans="2:38">
      <c r="B286" s="177"/>
      <c r="C286" s="177"/>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c r="AA286" s="177"/>
      <c r="AB286" s="178"/>
      <c r="AC286" s="178"/>
      <c r="AD286" s="178"/>
      <c r="AE286" s="178"/>
      <c r="AF286" s="179"/>
      <c r="AG286" s="179"/>
      <c r="AH286" s="179"/>
      <c r="AI286" s="179"/>
      <c r="AJ286" s="179"/>
      <c r="AK286" s="179"/>
      <c r="AL286" s="179"/>
    </row>
    <row r="287" spans="2:38">
      <c r="B287" s="177"/>
      <c r="C287" s="177"/>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c r="AA287" s="177"/>
      <c r="AB287" s="178"/>
      <c r="AC287" s="178"/>
      <c r="AD287" s="178"/>
      <c r="AE287" s="178"/>
      <c r="AF287" s="179"/>
      <c r="AG287" s="179"/>
      <c r="AH287" s="179"/>
      <c r="AI287" s="179"/>
      <c r="AJ287" s="179"/>
      <c r="AK287" s="179"/>
      <c r="AL287" s="179"/>
    </row>
    <row r="288" spans="2:38">
      <c r="B288" s="177"/>
      <c r="C288" s="177"/>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c r="AA288" s="177"/>
      <c r="AB288" s="178"/>
      <c r="AC288" s="178"/>
      <c r="AD288" s="178"/>
      <c r="AE288" s="178"/>
      <c r="AF288" s="179"/>
      <c r="AG288" s="179"/>
      <c r="AH288" s="179"/>
      <c r="AI288" s="179"/>
      <c r="AJ288" s="179"/>
      <c r="AK288" s="179"/>
      <c r="AL288" s="179"/>
    </row>
    <row r="289" spans="2:38">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c r="AA289" s="177"/>
      <c r="AB289" s="178"/>
      <c r="AC289" s="178"/>
      <c r="AD289" s="178"/>
      <c r="AE289" s="178"/>
      <c r="AF289" s="179"/>
      <c r="AG289" s="179"/>
      <c r="AH289" s="179"/>
      <c r="AI289" s="179"/>
      <c r="AJ289" s="179"/>
      <c r="AK289" s="179"/>
      <c r="AL289" s="179"/>
    </row>
    <row r="290" spans="2:38">
      <c r="B290" s="177"/>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c r="AA290" s="177"/>
      <c r="AB290" s="178"/>
      <c r="AC290" s="178"/>
      <c r="AD290" s="178"/>
      <c r="AE290" s="178"/>
      <c r="AF290" s="179"/>
      <c r="AG290" s="179"/>
      <c r="AH290" s="179"/>
      <c r="AI290" s="179"/>
      <c r="AJ290" s="179"/>
      <c r="AK290" s="179"/>
      <c r="AL290" s="179"/>
    </row>
    <row r="291" spans="2:38">
      <c r="B291" s="177"/>
      <c r="C291" s="177"/>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c r="AA291" s="177"/>
      <c r="AB291" s="178"/>
      <c r="AC291" s="178"/>
      <c r="AD291" s="178"/>
      <c r="AE291" s="178"/>
      <c r="AF291" s="179"/>
      <c r="AG291" s="179"/>
      <c r="AH291" s="179"/>
      <c r="AI291" s="179"/>
      <c r="AJ291" s="179"/>
      <c r="AK291" s="179"/>
      <c r="AL291" s="179"/>
    </row>
    <row r="292" spans="2:38">
      <c r="B292" s="177"/>
      <c r="C292" s="177"/>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c r="AA292" s="177"/>
      <c r="AB292" s="178"/>
      <c r="AC292" s="178"/>
      <c r="AD292" s="178"/>
      <c r="AE292" s="178"/>
      <c r="AF292" s="179"/>
      <c r="AG292" s="179"/>
      <c r="AH292" s="179"/>
      <c r="AI292" s="179"/>
      <c r="AJ292" s="179"/>
      <c r="AK292" s="179"/>
      <c r="AL292" s="179"/>
    </row>
    <row r="293" spans="2:38">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c r="AA293" s="177"/>
      <c r="AB293" s="178"/>
      <c r="AC293" s="178"/>
      <c r="AD293" s="178"/>
      <c r="AE293" s="178"/>
      <c r="AF293" s="179"/>
      <c r="AG293" s="179"/>
      <c r="AH293" s="179"/>
      <c r="AI293" s="179"/>
      <c r="AJ293" s="179"/>
      <c r="AK293" s="179"/>
      <c r="AL293" s="179"/>
    </row>
    <row r="294" spans="2:38">
      <c r="B294" s="177"/>
      <c r="C294" s="177"/>
      <c r="D294" s="177"/>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c r="AA294" s="177"/>
      <c r="AB294" s="178"/>
      <c r="AC294" s="178"/>
      <c r="AD294" s="178"/>
      <c r="AE294" s="178"/>
      <c r="AF294" s="179"/>
      <c r="AG294" s="179"/>
      <c r="AH294" s="179"/>
      <c r="AI294" s="179"/>
      <c r="AJ294" s="179"/>
      <c r="AK294" s="179"/>
      <c r="AL294" s="179"/>
    </row>
    <row r="295" spans="2:38">
      <c r="B295" s="177"/>
      <c r="C295" s="177"/>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c r="AA295" s="177"/>
      <c r="AB295" s="178"/>
      <c r="AC295" s="178"/>
      <c r="AD295" s="178"/>
      <c r="AE295" s="178"/>
      <c r="AF295" s="179"/>
      <c r="AG295" s="179"/>
      <c r="AH295" s="179"/>
      <c r="AI295" s="179"/>
      <c r="AJ295" s="179"/>
      <c r="AK295" s="179"/>
      <c r="AL295" s="179"/>
    </row>
    <row r="296" spans="2:38">
      <c r="B296" s="177"/>
      <c r="C296" s="177"/>
      <c r="D296" s="177"/>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c r="AA296" s="177"/>
      <c r="AB296" s="178"/>
      <c r="AC296" s="178"/>
      <c r="AD296" s="178"/>
      <c r="AE296" s="178"/>
      <c r="AF296" s="179"/>
      <c r="AG296" s="179"/>
      <c r="AH296" s="179"/>
      <c r="AI296" s="179"/>
      <c r="AJ296" s="179"/>
      <c r="AK296" s="179"/>
      <c r="AL296" s="179"/>
    </row>
    <row r="297" spans="2:38">
      <c r="B297" s="177"/>
      <c r="C297" s="177"/>
      <c r="D297" s="177"/>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c r="AA297" s="177"/>
      <c r="AB297" s="178"/>
      <c r="AC297" s="178"/>
      <c r="AD297" s="178"/>
      <c r="AE297" s="178"/>
      <c r="AF297" s="179"/>
      <c r="AG297" s="179"/>
      <c r="AH297" s="179"/>
      <c r="AI297" s="179"/>
      <c r="AJ297" s="179"/>
      <c r="AK297" s="179"/>
      <c r="AL297" s="179"/>
    </row>
    <row r="298" spans="2:38">
      <c r="B298" s="177"/>
      <c r="C298" s="177"/>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c r="AA298" s="177"/>
      <c r="AB298" s="178"/>
      <c r="AC298" s="178"/>
      <c r="AD298" s="178"/>
      <c r="AE298" s="178"/>
      <c r="AF298" s="179"/>
      <c r="AG298" s="179"/>
      <c r="AH298" s="179"/>
      <c r="AI298" s="179"/>
      <c r="AJ298" s="179"/>
      <c r="AK298" s="179"/>
      <c r="AL298" s="179"/>
    </row>
    <row r="299" spans="2:38">
      <c r="B299" s="177"/>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c r="AA299" s="177"/>
      <c r="AB299" s="178"/>
      <c r="AC299" s="178"/>
      <c r="AD299" s="178"/>
      <c r="AE299" s="178"/>
      <c r="AF299" s="179"/>
      <c r="AG299" s="179"/>
      <c r="AH299" s="179"/>
      <c r="AI299" s="179"/>
      <c r="AJ299" s="179"/>
      <c r="AK299" s="179"/>
      <c r="AL299" s="179"/>
    </row>
    <row r="300" spans="2:38">
      <c r="B300" s="177"/>
      <c r="C300" s="177"/>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c r="AA300" s="177"/>
      <c r="AB300" s="178"/>
      <c r="AC300" s="178"/>
      <c r="AD300" s="178"/>
      <c r="AE300" s="178"/>
      <c r="AF300" s="179"/>
      <c r="AG300" s="179"/>
      <c r="AH300" s="179"/>
      <c r="AI300" s="179"/>
      <c r="AJ300" s="179"/>
      <c r="AK300" s="179"/>
      <c r="AL300" s="179"/>
    </row>
    <row r="301" spans="2:38">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c r="AA301" s="177"/>
      <c r="AB301" s="178"/>
      <c r="AC301" s="178"/>
      <c r="AD301" s="178"/>
      <c r="AE301" s="178"/>
      <c r="AF301" s="179"/>
      <c r="AG301" s="179"/>
      <c r="AH301" s="179"/>
      <c r="AI301" s="179"/>
      <c r="AJ301" s="179"/>
      <c r="AK301" s="179"/>
      <c r="AL301" s="179"/>
    </row>
    <row r="302" spans="2:38">
      <c r="B302" s="177"/>
      <c r="C302" s="177"/>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c r="AA302" s="177"/>
      <c r="AB302" s="178"/>
      <c r="AC302" s="178"/>
      <c r="AD302" s="178"/>
      <c r="AE302" s="178"/>
      <c r="AF302" s="179"/>
      <c r="AG302" s="179"/>
      <c r="AH302" s="179"/>
      <c r="AI302" s="179"/>
      <c r="AJ302" s="179"/>
      <c r="AK302" s="179"/>
      <c r="AL302" s="179"/>
    </row>
    <row r="303" spans="2:38">
      <c r="B303" s="177"/>
      <c r="C303" s="177"/>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c r="AA303" s="177"/>
      <c r="AB303" s="178"/>
      <c r="AC303" s="178"/>
      <c r="AD303" s="178"/>
      <c r="AE303" s="178"/>
      <c r="AF303" s="179"/>
      <c r="AG303" s="179"/>
      <c r="AH303" s="179"/>
      <c r="AI303" s="179"/>
      <c r="AJ303" s="179"/>
      <c r="AK303" s="179"/>
      <c r="AL303" s="179"/>
    </row>
    <row r="304" spans="2:38">
      <c r="B304" s="177"/>
      <c r="C304" s="177"/>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c r="AA304" s="177"/>
      <c r="AB304" s="178"/>
      <c r="AC304" s="178"/>
      <c r="AD304" s="178"/>
      <c r="AE304" s="178"/>
      <c r="AF304" s="179"/>
      <c r="AG304" s="179"/>
      <c r="AH304" s="179"/>
      <c r="AI304" s="179"/>
      <c r="AJ304" s="179"/>
      <c r="AK304" s="179"/>
      <c r="AL304" s="179"/>
    </row>
    <row r="305" spans="2:38">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c r="AA305" s="177"/>
      <c r="AB305" s="178"/>
      <c r="AC305" s="178"/>
      <c r="AD305" s="178"/>
      <c r="AE305" s="178"/>
      <c r="AF305" s="179"/>
      <c r="AG305" s="179"/>
      <c r="AH305" s="179"/>
      <c r="AI305" s="179"/>
      <c r="AJ305" s="179"/>
      <c r="AK305" s="179"/>
      <c r="AL305" s="179"/>
    </row>
    <row r="306" spans="2:38">
      <c r="B306" s="177"/>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c r="AA306" s="177"/>
      <c r="AB306" s="178"/>
      <c r="AC306" s="178"/>
      <c r="AD306" s="178"/>
      <c r="AE306" s="178"/>
      <c r="AF306" s="179"/>
      <c r="AG306" s="179"/>
      <c r="AH306" s="179"/>
      <c r="AI306" s="179"/>
      <c r="AJ306" s="179"/>
      <c r="AK306" s="179"/>
      <c r="AL306" s="179"/>
    </row>
    <row r="307" spans="2:38">
      <c r="B307" s="177"/>
      <c r="C307" s="177"/>
      <c r="D307" s="177"/>
      <c r="E307" s="177"/>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8"/>
      <c r="AC307" s="178"/>
      <c r="AD307" s="178"/>
      <c r="AE307" s="178"/>
      <c r="AF307" s="179"/>
      <c r="AG307" s="179"/>
      <c r="AH307" s="179"/>
      <c r="AI307" s="179"/>
      <c r="AJ307" s="179"/>
      <c r="AK307" s="179"/>
      <c r="AL307" s="179"/>
    </row>
    <row r="308" spans="2:38">
      <c r="B308" s="177"/>
      <c r="C308" s="177"/>
      <c r="D308" s="177"/>
      <c r="E308" s="177"/>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8"/>
      <c r="AC308" s="178"/>
      <c r="AD308" s="178"/>
      <c r="AE308" s="178"/>
      <c r="AF308" s="179"/>
      <c r="AG308" s="179"/>
      <c r="AH308" s="179"/>
      <c r="AI308" s="179"/>
      <c r="AJ308" s="179"/>
      <c r="AK308" s="179"/>
      <c r="AL308" s="179"/>
    </row>
    <row r="309" spans="2:38">
      <c r="B309" s="177"/>
      <c r="C309" s="177"/>
      <c r="D309" s="177"/>
      <c r="E309" s="177"/>
      <c r="F309" s="177"/>
      <c r="G309" s="177"/>
      <c r="H309" s="177"/>
      <c r="I309" s="177"/>
      <c r="J309" s="177"/>
      <c r="K309" s="177"/>
      <c r="L309" s="177"/>
      <c r="M309" s="177"/>
      <c r="N309" s="177"/>
      <c r="O309" s="177"/>
      <c r="P309" s="177"/>
      <c r="Q309" s="177"/>
      <c r="R309" s="177"/>
      <c r="S309" s="177"/>
      <c r="T309" s="177"/>
      <c r="U309" s="177"/>
      <c r="V309" s="177"/>
      <c r="W309" s="177"/>
      <c r="X309" s="177"/>
      <c r="Y309" s="177"/>
      <c r="Z309" s="177"/>
      <c r="AA309" s="177"/>
      <c r="AB309" s="178"/>
      <c r="AC309" s="178"/>
      <c r="AD309" s="178"/>
      <c r="AE309" s="178"/>
      <c r="AF309" s="179"/>
      <c r="AG309" s="179"/>
      <c r="AH309" s="179"/>
      <c r="AI309" s="179"/>
      <c r="AJ309" s="179"/>
      <c r="AK309" s="179"/>
      <c r="AL309" s="179"/>
    </row>
    <row r="310" spans="2:38">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c r="AA310" s="177"/>
      <c r="AB310" s="178"/>
      <c r="AC310" s="178"/>
      <c r="AD310" s="178"/>
      <c r="AE310" s="178"/>
      <c r="AF310" s="179"/>
      <c r="AG310" s="179"/>
      <c r="AH310" s="179"/>
      <c r="AI310" s="179"/>
      <c r="AJ310" s="179"/>
      <c r="AK310" s="179"/>
      <c r="AL310" s="179"/>
    </row>
    <row r="311" spans="2:38">
      <c r="B311" s="177"/>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8"/>
      <c r="AC311" s="178"/>
      <c r="AD311" s="178"/>
      <c r="AE311" s="178"/>
      <c r="AF311" s="179"/>
      <c r="AG311" s="179"/>
      <c r="AH311" s="179"/>
      <c r="AI311" s="179"/>
      <c r="AJ311" s="179"/>
      <c r="AK311" s="179"/>
      <c r="AL311" s="179"/>
    </row>
    <row r="312" spans="2:38">
      <c r="B312" s="177"/>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c r="AA312" s="177"/>
      <c r="AB312" s="178"/>
      <c r="AC312" s="178"/>
      <c r="AD312" s="178"/>
      <c r="AE312" s="178"/>
      <c r="AF312" s="179"/>
      <c r="AG312" s="179"/>
      <c r="AH312" s="179"/>
      <c r="AI312" s="179"/>
      <c r="AJ312" s="179"/>
      <c r="AK312" s="179"/>
      <c r="AL312" s="179"/>
    </row>
    <row r="313" spans="2:38">
      <c r="B313" s="177"/>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c r="AA313" s="177"/>
      <c r="AB313" s="178"/>
      <c r="AC313" s="178"/>
      <c r="AD313" s="178"/>
      <c r="AE313" s="178"/>
      <c r="AF313" s="179"/>
      <c r="AG313" s="179"/>
      <c r="AH313" s="179"/>
      <c r="AI313" s="179"/>
      <c r="AJ313" s="179"/>
      <c r="AK313" s="179"/>
      <c r="AL313" s="179"/>
    </row>
    <row r="314" spans="2:38">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c r="AA314" s="177"/>
      <c r="AB314" s="178"/>
      <c r="AC314" s="178"/>
      <c r="AD314" s="178"/>
      <c r="AE314" s="178"/>
      <c r="AF314" s="179"/>
      <c r="AG314" s="179"/>
      <c r="AH314" s="179"/>
      <c r="AI314" s="179"/>
      <c r="AJ314" s="179"/>
      <c r="AK314" s="179"/>
      <c r="AL314" s="179"/>
    </row>
    <row r="315" spans="2:38">
      <c r="B315" s="177"/>
      <c r="C315" s="177"/>
      <c r="D315" s="177"/>
      <c r="E315" s="177"/>
      <c r="F315" s="177"/>
      <c r="G315" s="177"/>
      <c r="H315" s="177"/>
      <c r="I315" s="177"/>
      <c r="J315" s="177"/>
      <c r="K315" s="177"/>
      <c r="L315" s="177"/>
      <c r="M315" s="177"/>
      <c r="N315" s="177"/>
      <c r="O315" s="177"/>
      <c r="P315" s="177"/>
      <c r="Q315" s="177"/>
      <c r="R315" s="177"/>
      <c r="S315" s="177"/>
      <c r="T315" s="177"/>
      <c r="U315" s="177"/>
      <c r="V315" s="177"/>
      <c r="W315" s="177"/>
      <c r="X315" s="177"/>
      <c r="Y315" s="177"/>
      <c r="Z315" s="177"/>
      <c r="AA315" s="177"/>
      <c r="AB315" s="178"/>
      <c r="AC315" s="178"/>
      <c r="AD315" s="178"/>
      <c r="AE315" s="178"/>
      <c r="AF315" s="179"/>
      <c r="AG315" s="179"/>
      <c r="AH315" s="179"/>
      <c r="AI315" s="179"/>
      <c r="AJ315" s="179"/>
      <c r="AK315" s="179"/>
      <c r="AL315" s="179"/>
    </row>
    <row r="316" spans="2:38">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c r="AA316" s="177"/>
      <c r="AB316" s="178"/>
      <c r="AC316" s="178"/>
      <c r="AD316" s="178"/>
      <c r="AE316" s="178"/>
      <c r="AF316" s="179"/>
      <c r="AG316" s="179"/>
      <c r="AH316" s="179"/>
      <c r="AI316" s="179"/>
      <c r="AJ316" s="179"/>
      <c r="AK316" s="179"/>
      <c r="AL316" s="179"/>
    </row>
    <row r="317" spans="2:38">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c r="AA317" s="177"/>
      <c r="AB317" s="178"/>
      <c r="AC317" s="178"/>
      <c r="AD317" s="178"/>
      <c r="AE317" s="178"/>
      <c r="AF317" s="179"/>
      <c r="AG317" s="179"/>
      <c r="AH317" s="179"/>
      <c r="AI317" s="179"/>
      <c r="AJ317" s="179"/>
      <c r="AK317" s="179"/>
      <c r="AL317" s="179"/>
    </row>
    <row r="318" spans="2:38">
      <c r="B318" s="177"/>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c r="AA318" s="177"/>
      <c r="AB318" s="178"/>
      <c r="AC318" s="178"/>
      <c r="AD318" s="178"/>
      <c r="AE318" s="178"/>
      <c r="AF318" s="179"/>
      <c r="AG318" s="179"/>
      <c r="AH318" s="179"/>
      <c r="AI318" s="179"/>
      <c r="AJ318" s="179"/>
      <c r="AK318" s="179"/>
      <c r="AL318" s="179"/>
    </row>
    <row r="319" spans="2:38">
      <c r="B319" s="177"/>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c r="AA319" s="177"/>
      <c r="AB319" s="178"/>
      <c r="AC319" s="178"/>
      <c r="AD319" s="178"/>
      <c r="AE319" s="178"/>
      <c r="AF319" s="179"/>
      <c r="AG319" s="179"/>
      <c r="AH319" s="179"/>
      <c r="AI319" s="179"/>
      <c r="AJ319" s="179"/>
      <c r="AK319" s="179"/>
      <c r="AL319" s="179"/>
    </row>
    <row r="320" spans="2:38">
      <c r="B320" s="177"/>
      <c r="C320" s="177"/>
      <c r="D320" s="177"/>
      <c r="E320" s="177"/>
      <c r="F320" s="177"/>
      <c r="G320" s="177"/>
      <c r="H320" s="177"/>
      <c r="I320" s="177"/>
      <c r="J320" s="177"/>
      <c r="K320" s="177"/>
      <c r="L320" s="177"/>
      <c r="M320" s="177"/>
      <c r="N320" s="177"/>
      <c r="O320" s="177"/>
      <c r="P320" s="177"/>
      <c r="Q320" s="177"/>
      <c r="R320" s="177"/>
      <c r="S320" s="177"/>
      <c r="T320" s="177"/>
      <c r="U320" s="177"/>
      <c r="V320" s="177"/>
      <c r="W320" s="177"/>
      <c r="X320" s="177"/>
      <c r="Y320" s="177"/>
      <c r="Z320" s="177"/>
      <c r="AA320" s="177"/>
      <c r="AB320" s="178"/>
      <c r="AC320" s="178"/>
      <c r="AD320" s="178"/>
      <c r="AE320" s="178"/>
      <c r="AF320" s="179"/>
      <c r="AG320" s="179"/>
      <c r="AH320" s="179"/>
      <c r="AI320" s="179"/>
      <c r="AJ320" s="179"/>
      <c r="AK320" s="179"/>
      <c r="AL320" s="179"/>
    </row>
    <row r="321" spans="2:38">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c r="AA321" s="177"/>
      <c r="AB321" s="178"/>
      <c r="AC321" s="178"/>
      <c r="AD321" s="178"/>
      <c r="AE321" s="178"/>
      <c r="AF321" s="179"/>
      <c r="AG321" s="179"/>
      <c r="AH321" s="179"/>
      <c r="AI321" s="179"/>
      <c r="AJ321" s="179"/>
      <c r="AK321" s="179"/>
      <c r="AL321" s="179"/>
    </row>
    <row r="322" spans="2:38">
      <c r="B322" s="177"/>
      <c r="C322" s="177"/>
      <c r="D322" s="177"/>
      <c r="E322" s="177"/>
      <c r="F322" s="177"/>
      <c r="G322" s="177"/>
      <c r="H322" s="177"/>
      <c r="I322" s="177"/>
      <c r="J322" s="177"/>
      <c r="K322" s="177"/>
      <c r="L322" s="177"/>
      <c r="M322" s="177"/>
      <c r="N322" s="177"/>
      <c r="O322" s="177"/>
      <c r="P322" s="177"/>
      <c r="Q322" s="177"/>
      <c r="R322" s="177"/>
      <c r="S322" s="177"/>
      <c r="T322" s="177"/>
      <c r="U322" s="177"/>
      <c r="V322" s="177"/>
      <c r="W322" s="177"/>
      <c r="X322" s="177"/>
      <c r="Y322" s="177"/>
      <c r="Z322" s="177"/>
      <c r="AA322" s="177"/>
      <c r="AB322" s="178"/>
      <c r="AC322" s="178"/>
      <c r="AD322" s="178"/>
      <c r="AE322" s="178"/>
      <c r="AF322" s="179"/>
      <c r="AG322" s="179"/>
      <c r="AH322" s="179"/>
      <c r="AI322" s="179"/>
      <c r="AJ322" s="179"/>
      <c r="AK322" s="179"/>
      <c r="AL322" s="179"/>
    </row>
    <row r="323" spans="2:38">
      <c r="B323" s="177"/>
      <c r="C323" s="177"/>
      <c r="D323" s="177"/>
      <c r="E323" s="177"/>
      <c r="F323" s="177"/>
      <c r="G323" s="177"/>
      <c r="H323" s="177"/>
      <c r="I323" s="177"/>
      <c r="J323" s="177"/>
      <c r="K323" s="177"/>
      <c r="L323" s="177"/>
      <c r="M323" s="177"/>
      <c r="N323" s="177"/>
      <c r="O323" s="177"/>
      <c r="P323" s="177"/>
      <c r="Q323" s="177"/>
      <c r="R323" s="177"/>
      <c r="S323" s="177"/>
      <c r="T323" s="177"/>
      <c r="U323" s="177"/>
      <c r="V323" s="177"/>
      <c r="W323" s="177"/>
      <c r="X323" s="177"/>
      <c r="Y323" s="177"/>
      <c r="Z323" s="177"/>
      <c r="AA323" s="177"/>
      <c r="AB323" s="178"/>
      <c r="AC323" s="178"/>
      <c r="AD323" s="178"/>
      <c r="AE323" s="178"/>
      <c r="AF323" s="179"/>
      <c r="AG323" s="179"/>
      <c r="AH323" s="179"/>
      <c r="AI323" s="179"/>
      <c r="AJ323" s="179"/>
      <c r="AK323" s="179"/>
      <c r="AL323" s="179"/>
    </row>
    <row r="324" spans="2:38">
      <c r="B324" s="177"/>
      <c r="C324" s="177"/>
      <c r="D324" s="177"/>
      <c r="E324" s="177"/>
      <c r="F324" s="177"/>
      <c r="G324" s="177"/>
      <c r="H324" s="177"/>
      <c r="I324" s="177"/>
      <c r="J324" s="177"/>
      <c r="K324" s="177"/>
      <c r="L324" s="177"/>
      <c r="M324" s="177"/>
      <c r="N324" s="177"/>
      <c r="O324" s="177"/>
      <c r="P324" s="177"/>
      <c r="Q324" s="177"/>
      <c r="R324" s="177"/>
      <c r="S324" s="177"/>
      <c r="T324" s="177"/>
      <c r="U324" s="177"/>
      <c r="V324" s="177"/>
      <c r="W324" s="177"/>
      <c r="X324" s="177"/>
      <c r="Y324" s="177"/>
      <c r="Z324" s="177"/>
      <c r="AA324" s="177"/>
      <c r="AB324" s="178"/>
      <c r="AC324" s="178"/>
      <c r="AD324" s="178"/>
      <c r="AE324" s="178"/>
      <c r="AF324" s="179"/>
      <c r="AG324" s="179"/>
      <c r="AH324" s="179"/>
      <c r="AI324" s="179"/>
      <c r="AJ324" s="179"/>
      <c r="AK324" s="179"/>
      <c r="AL324" s="179"/>
    </row>
    <row r="325" spans="2:38">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c r="AA325" s="177"/>
      <c r="AB325" s="178"/>
      <c r="AC325" s="178"/>
      <c r="AD325" s="178"/>
      <c r="AE325" s="178"/>
      <c r="AF325" s="179"/>
      <c r="AG325" s="179"/>
      <c r="AH325" s="179"/>
      <c r="AI325" s="179"/>
      <c r="AJ325" s="179"/>
      <c r="AK325" s="179"/>
      <c r="AL325" s="179"/>
    </row>
    <row r="326" spans="2:38">
      <c r="B326" s="177"/>
      <c r="C326" s="177"/>
      <c r="D326" s="177"/>
      <c r="E326" s="177"/>
      <c r="F326" s="177"/>
      <c r="G326" s="177"/>
      <c r="H326" s="177"/>
      <c r="I326" s="177"/>
      <c r="J326" s="177"/>
      <c r="K326" s="177"/>
      <c r="L326" s="177"/>
      <c r="M326" s="177"/>
      <c r="N326" s="177"/>
      <c r="O326" s="177"/>
      <c r="P326" s="177"/>
      <c r="Q326" s="177"/>
      <c r="R326" s="177"/>
      <c r="S326" s="177"/>
      <c r="T326" s="177"/>
      <c r="U326" s="177"/>
      <c r="V326" s="177"/>
      <c r="W326" s="177"/>
      <c r="X326" s="177"/>
      <c r="Y326" s="177"/>
      <c r="Z326" s="177"/>
      <c r="AA326" s="177"/>
      <c r="AB326" s="178"/>
      <c r="AC326" s="178"/>
      <c r="AD326" s="178"/>
      <c r="AE326" s="178"/>
      <c r="AF326" s="179"/>
      <c r="AG326" s="179"/>
      <c r="AH326" s="179"/>
      <c r="AI326" s="179"/>
      <c r="AJ326" s="179"/>
      <c r="AK326" s="179"/>
      <c r="AL326" s="179"/>
    </row>
    <row r="327" spans="2:38">
      <c r="B327" s="177"/>
      <c r="C327" s="177"/>
      <c r="D327" s="177"/>
      <c r="E327" s="177"/>
      <c r="F327" s="177"/>
      <c r="G327" s="177"/>
      <c r="H327" s="177"/>
      <c r="I327" s="177"/>
      <c r="J327" s="177"/>
      <c r="K327" s="177"/>
      <c r="L327" s="177"/>
      <c r="M327" s="177"/>
      <c r="N327" s="177"/>
      <c r="O327" s="177"/>
      <c r="P327" s="177"/>
      <c r="Q327" s="177"/>
      <c r="R327" s="177"/>
      <c r="S327" s="177"/>
      <c r="T327" s="177"/>
      <c r="U327" s="177"/>
      <c r="V327" s="177"/>
      <c r="W327" s="177"/>
      <c r="X327" s="177"/>
      <c r="Y327" s="177"/>
      <c r="Z327" s="177"/>
      <c r="AA327" s="177"/>
      <c r="AB327" s="178"/>
      <c r="AC327" s="178"/>
      <c r="AD327" s="178"/>
      <c r="AE327" s="178"/>
      <c r="AF327" s="179"/>
      <c r="AG327" s="179"/>
      <c r="AH327" s="179"/>
      <c r="AI327" s="179"/>
      <c r="AJ327" s="179"/>
      <c r="AK327" s="179"/>
      <c r="AL327" s="179"/>
    </row>
    <row r="328" spans="2:38">
      <c r="B328" s="177"/>
      <c r="C328" s="177"/>
      <c r="D328" s="177"/>
      <c r="E328" s="177"/>
      <c r="F328" s="177"/>
      <c r="G328" s="177"/>
      <c r="H328" s="177"/>
      <c r="I328" s="177"/>
      <c r="J328" s="177"/>
      <c r="K328" s="177"/>
      <c r="L328" s="177"/>
      <c r="M328" s="177"/>
      <c r="N328" s="177"/>
      <c r="O328" s="177"/>
      <c r="P328" s="177"/>
      <c r="Q328" s="177"/>
      <c r="R328" s="177"/>
      <c r="S328" s="177"/>
      <c r="T328" s="177"/>
      <c r="U328" s="177"/>
      <c r="V328" s="177"/>
      <c r="W328" s="177"/>
      <c r="X328" s="177"/>
      <c r="Y328" s="177"/>
      <c r="Z328" s="177"/>
      <c r="AA328" s="177"/>
      <c r="AB328" s="178"/>
      <c r="AC328" s="178"/>
      <c r="AD328" s="178"/>
      <c r="AE328" s="178"/>
      <c r="AF328" s="179"/>
      <c r="AG328" s="179"/>
      <c r="AH328" s="179"/>
      <c r="AI328" s="179"/>
      <c r="AJ328" s="179"/>
      <c r="AK328" s="179"/>
      <c r="AL328" s="179"/>
    </row>
    <row r="329" spans="2:38">
      <c r="B329" s="177"/>
      <c r="C329" s="177"/>
      <c r="D329" s="177"/>
      <c r="E329" s="177"/>
      <c r="F329" s="177"/>
      <c r="G329" s="177"/>
      <c r="H329" s="177"/>
      <c r="I329" s="177"/>
      <c r="J329" s="177"/>
      <c r="K329" s="177"/>
      <c r="L329" s="177"/>
      <c r="M329" s="177"/>
      <c r="N329" s="177"/>
      <c r="O329" s="177"/>
      <c r="P329" s="177"/>
      <c r="Q329" s="177"/>
      <c r="R329" s="177"/>
      <c r="S329" s="177"/>
      <c r="T329" s="177"/>
      <c r="U329" s="177"/>
      <c r="V329" s="177"/>
      <c r="W329" s="177"/>
      <c r="X329" s="177"/>
      <c r="Y329" s="177"/>
      <c r="Z329" s="177"/>
      <c r="AA329" s="177"/>
      <c r="AB329" s="178"/>
      <c r="AC329" s="178"/>
      <c r="AD329" s="178"/>
      <c r="AE329" s="178"/>
      <c r="AF329" s="179"/>
      <c r="AG329" s="179"/>
      <c r="AH329" s="179"/>
      <c r="AI329" s="179"/>
      <c r="AJ329" s="179"/>
      <c r="AK329" s="179"/>
      <c r="AL329" s="179"/>
    </row>
    <row r="330" spans="2:38">
      <c r="B330" s="177"/>
      <c r="C330" s="177"/>
      <c r="D330" s="177"/>
      <c r="E330" s="177"/>
      <c r="F330" s="177"/>
      <c r="G330" s="177"/>
      <c r="H330" s="177"/>
      <c r="I330" s="177"/>
      <c r="J330" s="177"/>
      <c r="K330" s="177"/>
      <c r="L330" s="177"/>
      <c r="M330" s="177"/>
      <c r="N330" s="177"/>
      <c r="O330" s="177"/>
      <c r="P330" s="177"/>
      <c r="Q330" s="177"/>
      <c r="R330" s="177"/>
      <c r="S330" s="177"/>
      <c r="T330" s="177"/>
      <c r="U330" s="177"/>
      <c r="V330" s="177"/>
      <c r="W330" s="177"/>
      <c r="X330" s="177"/>
      <c r="Y330" s="177"/>
      <c r="Z330" s="177"/>
      <c r="AA330" s="177"/>
      <c r="AB330" s="178"/>
      <c r="AC330" s="178"/>
      <c r="AD330" s="178"/>
      <c r="AE330" s="178"/>
      <c r="AF330" s="179"/>
      <c r="AG330" s="179"/>
      <c r="AH330" s="179"/>
      <c r="AI330" s="179"/>
      <c r="AJ330" s="179"/>
      <c r="AK330" s="179"/>
      <c r="AL330" s="179"/>
    </row>
    <row r="331" spans="2:38">
      <c r="B331" s="177"/>
      <c r="C331" s="177"/>
      <c r="D331" s="177"/>
      <c r="E331" s="177"/>
      <c r="F331" s="177"/>
      <c r="G331" s="177"/>
      <c r="H331" s="177"/>
      <c r="I331" s="177"/>
      <c r="J331" s="177"/>
      <c r="K331" s="177"/>
      <c r="L331" s="177"/>
      <c r="M331" s="177"/>
      <c r="N331" s="177"/>
      <c r="O331" s="177"/>
      <c r="P331" s="177"/>
      <c r="Q331" s="177"/>
      <c r="R331" s="177"/>
      <c r="S331" s="177"/>
      <c r="T331" s="177"/>
      <c r="U331" s="177"/>
      <c r="V331" s="177"/>
      <c r="W331" s="177"/>
      <c r="X331" s="177"/>
      <c r="Y331" s="177"/>
      <c r="Z331" s="177"/>
      <c r="AA331" s="177"/>
      <c r="AB331" s="178"/>
      <c r="AC331" s="178"/>
      <c r="AD331" s="178"/>
      <c r="AE331" s="178"/>
      <c r="AF331" s="179"/>
      <c r="AG331" s="179"/>
      <c r="AH331" s="179"/>
      <c r="AI331" s="179"/>
      <c r="AJ331" s="179"/>
      <c r="AK331" s="179"/>
      <c r="AL331" s="179"/>
    </row>
    <row r="332" spans="2:38">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c r="AA332" s="177"/>
      <c r="AB332" s="178"/>
      <c r="AC332" s="178"/>
      <c r="AD332" s="178"/>
      <c r="AE332" s="178"/>
      <c r="AF332" s="179"/>
      <c r="AG332" s="179"/>
      <c r="AH332" s="179"/>
      <c r="AI332" s="179"/>
      <c r="AJ332" s="179"/>
      <c r="AK332" s="179"/>
      <c r="AL332" s="179"/>
    </row>
    <row r="333" spans="2:38">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c r="AA333" s="177"/>
      <c r="AB333" s="178"/>
      <c r="AC333" s="178"/>
      <c r="AD333" s="178"/>
      <c r="AE333" s="178"/>
      <c r="AF333" s="179"/>
      <c r="AG333" s="179"/>
      <c r="AH333" s="179"/>
      <c r="AI333" s="179"/>
      <c r="AJ333" s="179"/>
      <c r="AK333" s="179"/>
      <c r="AL333" s="179"/>
    </row>
    <row r="334" spans="2:38">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c r="AA334" s="177"/>
      <c r="AB334" s="178"/>
      <c r="AC334" s="178"/>
      <c r="AD334" s="178"/>
      <c r="AE334" s="178"/>
      <c r="AF334" s="179"/>
      <c r="AG334" s="179"/>
      <c r="AH334" s="179"/>
      <c r="AI334" s="179"/>
      <c r="AJ334" s="179"/>
      <c r="AK334" s="179"/>
      <c r="AL334" s="179"/>
    </row>
    <row r="335" spans="2:38">
      <c r="B335" s="177"/>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c r="AA335" s="177"/>
      <c r="AB335" s="178"/>
      <c r="AC335" s="178"/>
      <c r="AD335" s="178"/>
      <c r="AE335" s="178"/>
      <c r="AF335" s="179"/>
      <c r="AG335" s="179"/>
      <c r="AH335" s="179"/>
      <c r="AI335" s="179"/>
      <c r="AJ335" s="179"/>
      <c r="AK335" s="179"/>
      <c r="AL335" s="179"/>
    </row>
    <row r="336" spans="2:38">
      <c r="B336" s="177"/>
      <c r="C336" s="177"/>
      <c r="D336" s="177"/>
      <c r="E336" s="177"/>
      <c r="F336" s="177"/>
      <c r="G336" s="177"/>
      <c r="H336" s="177"/>
      <c r="I336" s="177"/>
      <c r="J336" s="177"/>
      <c r="K336" s="177"/>
      <c r="L336" s="177"/>
      <c r="M336" s="177"/>
      <c r="N336" s="177"/>
      <c r="O336" s="177"/>
      <c r="P336" s="177"/>
      <c r="Q336" s="177"/>
      <c r="R336" s="177"/>
      <c r="S336" s="177"/>
      <c r="T336" s="177"/>
      <c r="U336" s="177"/>
      <c r="V336" s="177"/>
      <c r="W336" s="177"/>
      <c r="X336" s="177"/>
      <c r="Y336" s="177"/>
      <c r="Z336" s="177"/>
      <c r="AA336" s="177"/>
      <c r="AB336" s="178"/>
      <c r="AC336" s="178"/>
      <c r="AD336" s="178"/>
      <c r="AE336" s="178"/>
      <c r="AF336" s="179"/>
      <c r="AG336" s="179"/>
      <c r="AH336" s="179"/>
      <c r="AI336" s="179"/>
      <c r="AJ336" s="179"/>
      <c r="AK336" s="179"/>
      <c r="AL336" s="179"/>
    </row>
    <row r="337" spans="2:38">
      <c r="B337" s="177"/>
      <c r="C337" s="177"/>
      <c r="D337" s="177"/>
      <c r="E337" s="177"/>
      <c r="F337" s="177"/>
      <c r="G337" s="177"/>
      <c r="H337" s="177"/>
      <c r="I337" s="177"/>
      <c r="J337" s="177"/>
      <c r="K337" s="177"/>
      <c r="L337" s="177"/>
      <c r="M337" s="177"/>
      <c r="N337" s="177"/>
      <c r="O337" s="177"/>
      <c r="P337" s="177"/>
      <c r="Q337" s="177"/>
      <c r="R337" s="177"/>
      <c r="S337" s="177"/>
      <c r="T337" s="177"/>
      <c r="U337" s="177"/>
      <c r="V337" s="177"/>
      <c r="W337" s="177"/>
      <c r="X337" s="177"/>
      <c r="Y337" s="177"/>
      <c r="Z337" s="177"/>
      <c r="AA337" s="177"/>
      <c r="AB337" s="178"/>
      <c r="AC337" s="178"/>
      <c r="AD337" s="178"/>
      <c r="AE337" s="178"/>
      <c r="AF337" s="179"/>
      <c r="AG337" s="179"/>
      <c r="AH337" s="179"/>
      <c r="AI337" s="179"/>
      <c r="AJ337" s="179"/>
      <c r="AK337" s="179"/>
      <c r="AL337" s="179"/>
    </row>
    <row r="338" spans="2:38">
      <c r="B338" s="177"/>
      <c r="C338" s="177"/>
      <c r="D338" s="177"/>
      <c r="E338" s="177"/>
      <c r="F338" s="177"/>
      <c r="G338" s="177"/>
      <c r="H338" s="177"/>
      <c r="I338" s="177"/>
      <c r="J338" s="177"/>
      <c r="K338" s="177"/>
      <c r="L338" s="177"/>
      <c r="M338" s="177"/>
      <c r="N338" s="177"/>
      <c r="O338" s="177"/>
      <c r="P338" s="177"/>
      <c r="Q338" s="177"/>
      <c r="R338" s="177"/>
      <c r="S338" s="177"/>
      <c r="T338" s="177"/>
      <c r="U338" s="177"/>
      <c r="V338" s="177"/>
      <c r="W338" s="177"/>
      <c r="X338" s="177"/>
      <c r="Y338" s="177"/>
      <c r="Z338" s="177"/>
      <c r="AA338" s="177"/>
      <c r="AB338" s="178"/>
      <c r="AC338" s="178"/>
      <c r="AD338" s="178"/>
      <c r="AE338" s="178"/>
      <c r="AF338" s="179"/>
      <c r="AG338" s="179"/>
      <c r="AH338" s="179"/>
      <c r="AI338" s="179"/>
      <c r="AJ338" s="179"/>
      <c r="AK338" s="179"/>
      <c r="AL338" s="179"/>
    </row>
    <row r="339" spans="2:38">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c r="AA339" s="177"/>
      <c r="AB339" s="178"/>
      <c r="AC339" s="178"/>
      <c r="AD339" s="178"/>
      <c r="AE339" s="178"/>
      <c r="AF339" s="179"/>
      <c r="AG339" s="179"/>
      <c r="AH339" s="179"/>
      <c r="AI339" s="179"/>
      <c r="AJ339" s="179"/>
      <c r="AK339" s="179"/>
      <c r="AL339" s="179"/>
    </row>
    <row r="340" spans="2:38">
      <c r="B340" s="177"/>
      <c r="C340" s="177"/>
      <c r="D340" s="177"/>
      <c r="E340" s="177"/>
      <c r="F340" s="177"/>
      <c r="G340" s="177"/>
      <c r="H340" s="177"/>
      <c r="I340" s="177"/>
      <c r="J340" s="177"/>
      <c r="K340" s="177"/>
      <c r="L340" s="177"/>
      <c r="M340" s="177"/>
      <c r="N340" s="177"/>
      <c r="O340" s="177"/>
      <c r="P340" s="177"/>
      <c r="Q340" s="177"/>
      <c r="R340" s="177"/>
      <c r="S340" s="177"/>
      <c r="T340" s="177"/>
      <c r="U340" s="177"/>
      <c r="V340" s="177"/>
      <c r="W340" s="177"/>
      <c r="X340" s="177"/>
      <c r="Y340" s="177"/>
      <c r="Z340" s="177"/>
      <c r="AA340" s="177"/>
      <c r="AB340" s="178"/>
      <c r="AC340" s="178"/>
      <c r="AD340" s="178"/>
      <c r="AE340" s="178"/>
      <c r="AF340" s="179"/>
      <c r="AG340" s="179"/>
      <c r="AH340" s="179"/>
      <c r="AI340" s="179"/>
      <c r="AJ340" s="179"/>
      <c r="AK340" s="179"/>
      <c r="AL340" s="179"/>
    </row>
    <row r="341" spans="2:38">
      <c r="B341" s="177"/>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8"/>
      <c r="AC341" s="178"/>
      <c r="AD341" s="178"/>
      <c r="AE341" s="178"/>
      <c r="AF341" s="179"/>
      <c r="AG341" s="179"/>
      <c r="AH341" s="179"/>
      <c r="AI341" s="179"/>
      <c r="AJ341" s="179"/>
      <c r="AK341" s="179"/>
      <c r="AL341" s="179"/>
    </row>
    <row r="342" spans="2:38">
      <c r="B342" s="177"/>
      <c r="C342" s="177"/>
      <c r="D342" s="177"/>
      <c r="E342" s="177"/>
      <c r="F342" s="177"/>
      <c r="G342" s="177"/>
      <c r="H342" s="177"/>
      <c r="I342" s="177"/>
      <c r="J342" s="177"/>
      <c r="K342" s="177"/>
      <c r="L342" s="177"/>
      <c r="M342" s="177"/>
      <c r="N342" s="177"/>
      <c r="O342" s="177"/>
      <c r="P342" s="177"/>
      <c r="Q342" s="177"/>
      <c r="R342" s="177"/>
      <c r="S342" s="177"/>
      <c r="T342" s="177"/>
      <c r="U342" s="177"/>
      <c r="V342" s="177"/>
      <c r="W342" s="177"/>
      <c r="X342" s="177"/>
      <c r="Y342" s="177"/>
      <c r="Z342" s="177"/>
      <c r="AA342" s="177"/>
      <c r="AB342" s="178"/>
      <c r="AC342" s="178"/>
      <c r="AD342" s="178"/>
      <c r="AE342" s="178"/>
      <c r="AF342" s="179"/>
      <c r="AG342" s="179"/>
      <c r="AH342" s="179"/>
      <c r="AI342" s="179"/>
      <c r="AJ342" s="179"/>
      <c r="AK342" s="179"/>
      <c r="AL342" s="179"/>
    </row>
    <row r="343" spans="2:38">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c r="AA343" s="177"/>
      <c r="AB343" s="178"/>
      <c r="AC343" s="178"/>
      <c r="AD343" s="178"/>
      <c r="AE343" s="178"/>
      <c r="AF343" s="179"/>
      <c r="AG343" s="179"/>
      <c r="AH343" s="179"/>
      <c r="AI343" s="179"/>
      <c r="AJ343" s="179"/>
      <c r="AK343" s="179"/>
      <c r="AL343" s="179"/>
    </row>
    <row r="344" spans="2:38">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c r="AA344" s="177"/>
      <c r="AB344" s="178"/>
      <c r="AC344" s="178"/>
      <c r="AD344" s="178"/>
      <c r="AE344" s="178"/>
      <c r="AF344" s="179"/>
      <c r="AG344" s="179"/>
      <c r="AH344" s="179"/>
      <c r="AI344" s="179"/>
      <c r="AJ344" s="179"/>
      <c r="AK344" s="179"/>
      <c r="AL344" s="179"/>
    </row>
    <row r="345" spans="2:38">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c r="AA345" s="177"/>
      <c r="AB345" s="178"/>
      <c r="AC345" s="178"/>
      <c r="AD345" s="178"/>
      <c r="AE345" s="178"/>
      <c r="AF345" s="179"/>
      <c r="AG345" s="179"/>
      <c r="AH345" s="179"/>
      <c r="AI345" s="179"/>
      <c r="AJ345" s="179"/>
      <c r="AK345" s="179"/>
      <c r="AL345" s="179"/>
    </row>
    <row r="346" spans="2:38">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c r="AA346" s="177"/>
      <c r="AB346" s="178"/>
      <c r="AC346" s="178"/>
      <c r="AD346" s="178"/>
      <c r="AE346" s="178"/>
      <c r="AF346" s="179"/>
      <c r="AG346" s="179"/>
      <c r="AH346" s="179"/>
      <c r="AI346" s="179"/>
      <c r="AJ346" s="179"/>
      <c r="AK346" s="179"/>
      <c r="AL346" s="179"/>
    </row>
    <row r="347" spans="2:38">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c r="AA347" s="177"/>
      <c r="AB347" s="178"/>
      <c r="AC347" s="178"/>
      <c r="AD347" s="178"/>
      <c r="AE347" s="178"/>
      <c r="AF347" s="179"/>
      <c r="AG347" s="179"/>
      <c r="AH347" s="179"/>
      <c r="AI347" s="179"/>
      <c r="AJ347" s="179"/>
      <c r="AK347" s="179"/>
      <c r="AL347" s="179"/>
    </row>
    <row r="348" spans="2:38">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c r="AA348" s="177"/>
      <c r="AB348" s="178"/>
      <c r="AC348" s="178"/>
      <c r="AD348" s="178"/>
      <c r="AE348" s="178"/>
      <c r="AF348" s="179"/>
      <c r="AG348" s="179"/>
      <c r="AH348" s="179"/>
      <c r="AI348" s="179"/>
      <c r="AJ348" s="179"/>
      <c r="AK348" s="179"/>
      <c r="AL348" s="179"/>
    </row>
    <row r="349" spans="2:38">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c r="AA349" s="177"/>
      <c r="AB349" s="178"/>
      <c r="AC349" s="178"/>
      <c r="AD349" s="178"/>
      <c r="AE349" s="178"/>
      <c r="AF349" s="179"/>
      <c r="AG349" s="179"/>
      <c r="AH349" s="179"/>
      <c r="AI349" s="179"/>
      <c r="AJ349" s="179"/>
      <c r="AK349" s="179"/>
      <c r="AL349" s="179"/>
    </row>
    <row r="350" spans="2:38">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c r="AA350" s="177"/>
      <c r="AB350" s="178"/>
      <c r="AC350" s="178"/>
      <c r="AD350" s="178"/>
      <c r="AE350" s="178"/>
      <c r="AF350" s="179"/>
      <c r="AG350" s="179"/>
      <c r="AH350" s="179"/>
      <c r="AI350" s="179"/>
      <c r="AJ350" s="179"/>
      <c r="AK350" s="179"/>
      <c r="AL350" s="179"/>
    </row>
    <row r="351" spans="2:38">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c r="AA351" s="177"/>
      <c r="AB351" s="178"/>
      <c r="AC351" s="178"/>
      <c r="AD351" s="178"/>
      <c r="AE351" s="178"/>
      <c r="AF351" s="179"/>
      <c r="AG351" s="179"/>
      <c r="AH351" s="179"/>
      <c r="AI351" s="179"/>
      <c r="AJ351" s="179"/>
      <c r="AK351" s="179"/>
      <c r="AL351" s="179"/>
    </row>
    <row r="352" spans="2:38">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c r="AA352" s="177"/>
      <c r="AB352" s="178"/>
      <c r="AC352" s="178"/>
      <c r="AD352" s="178"/>
      <c r="AE352" s="178"/>
      <c r="AF352" s="179"/>
      <c r="AG352" s="179"/>
      <c r="AH352" s="179"/>
      <c r="AI352" s="179"/>
      <c r="AJ352" s="179"/>
      <c r="AK352" s="179"/>
      <c r="AL352" s="179"/>
    </row>
    <row r="353" spans="2:38">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c r="AA353" s="177"/>
      <c r="AB353" s="178"/>
      <c r="AC353" s="178"/>
      <c r="AD353" s="178"/>
      <c r="AE353" s="178"/>
      <c r="AF353" s="179"/>
      <c r="AG353" s="179"/>
      <c r="AH353" s="179"/>
      <c r="AI353" s="179"/>
      <c r="AJ353" s="179"/>
      <c r="AK353" s="179"/>
      <c r="AL353" s="179"/>
    </row>
    <row r="354" spans="2:38">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c r="AA354" s="177"/>
      <c r="AB354" s="178"/>
      <c r="AC354" s="178"/>
      <c r="AD354" s="178"/>
      <c r="AE354" s="178"/>
      <c r="AF354" s="179"/>
      <c r="AG354" s="179"/>
      <c r="AH354" s="179"/>
      <c r="AI354" s="179"/>
      <c r="AJ354" s="179"/>
      <c r="AK354" s="179"/>
      <c r="AL354" s="179"/>
    </row>
    <row r="355" spans="2:38">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c r="AA355" s="177"/>
      <c r="AB355" s="178"/>
      <c r="AC355" s="178"/>
      <c r="AD355" s="178"/>
      <c r="AE355" s="178"/>
      <c r="AF355" s="179"/>
      <c r="AG355" s="179"/>
      <c r="AH355" s="179"/>
      <c r="AI355" s="179"/>
      <c r="AJ355" s="179"/>
      <c r="AK355" s="179"/>
      <c r="AL355" s="179"/>
    </row>
    <row r="356" spans="2:38">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c r="AA356" s="177"/>
      <c r="AB356" s="178"/>
      <c r="AC356" s="178"/>
      <c r="AD356" s="178"/>
      <c r="AE356" s="178"/>
      <c r="AF356" s="179"/>
      <c r="AG356" s="179"/>
      <c r="AH356" s="179"/>
      <c r="AI356" s="179"/>
      <c r="AJ356" s="179"/>
      <c r="AK356" s="179"/>
      <c r="AL356" s="179"/>
    </row>
    <row r="357" spans="2:38">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c r="AA357" s="177"/>
      <c r="AB357" s="178"/>
      <c r="AC357" s="178"/>
      <c r="AD357" s="178"/>
      <c r="AE357" s="178"/>
      <c r="AF357" s="179"/>
      <c r="AG357" s="179"/>
      <c r="AH357" s="179"/>
      <c r="AI357" s="179"/>
      <c r="AJ357" s="179"/>
      <c r="AK357" s="179"/>
      <c r="AL357" s="179"/>
    </row>
    <row r="358" spans="2:38">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c r="AA358" s="177"/>
      <c r="AB358" s="178"/>
      <c r="AC358" s="178"/>
      <c r="AD358" s="178"/>
      <c r="AE358" s="178"/>
      <c r="AF358" s="179"/>
      <c r="AG358" s="179"/>
      <c r="AH358" s="179"/>
      <c r="AI358" s="179"/>
      <c r="AJ358" s="179"/>
      <c r="AK358" s="179"/>
      <c r="AL358" s="179"/>
    </row>
    <row r="359" spans="2:38">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c r="AA359" s="177"/>
      <c r="AB359" s="178"/>
      <c r="AC359" s="178"/>
      <c r="AD359" s="178"/>
      <c r="AE359" s="178"/>
      <c r="AF359" s="179"/>
      <c r="AG359" s="179"/>
      <c r="AH359" s="179"/>
      <c r="AI359" s="179"/>
      <c r="AJ359" s="179"/>
      <c r="AK359" s="179"/>
      <c r="AL359" s="179"/>
    </row>
    <row r="360" spans="2:38">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c r="AA360" s="177"/>
      <c r="AB360" s="178"/>
      <c r="AC360" s="178"/>
      <c r="AD360" s="178"/>
      <c r="AE360" s="178"/>
      <c r="AF360" s="179"/>
      <c r="AG360" s="179"/>
      <c r="AH360" s="179"/>
      <c r="AI360" s="179"/>
      <c r="AJ360" s="179"/>
      <c r="AK360" s="179"/>
      <c r="AL360" s="179"/>
    </row>
    <row r="361" spans="2:38">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c r="AA361" s="177"/>
      <c r="AB361" s="178"/>
      <c r="AC361" s="178"/>
      <c r="AD361" s="178"/>
      <c r="AE361" s="178"/>
      <c r="AF361" s="179"/>
      <c r="AG361" s="179"/>
      <c r="AH361" s="179"/>
      <c r="AI361" s="179"/>
      <c r="AJ361" s="179"/>
      <c r="AK361" s="179"/>
      <c r="AL361" s="179"/>
    </row>
    <row r="362" spans="2:38">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c r="AA362" s="177"/>
      <c r="AB362" s="178"/>
      <c r="AC362" s="178"/>
      <c r="AD362" s="178"/>
      <c r="AE362" s="178"/>
      <c r="AF362" s="179"/>
      <c r="AG362" s="179"/>
      <c r="AH362" s="179"/>
      <c r="AI362" s="179"/>
      <c r="AJ362" s="179"/>
      <c r="AK362" s="179"/>
      <c r="AL362" s="179"/>
    </row>
    <row r="363" spans="2:38">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c r="AA363" s="177"/>
      <c r="AB363" s="178"/>
      <c r="AC363" s="178"/>
      <c r="AD363" s="178"/>
      <c r="AE363" s="178"/>
      <c r="AF363" s="179"/>
      <c r="AG363" s="179"/>
      <c r="AH363" s="179"/>
      <c r="AI363" s="179"/>
      <c r="AJ363" s="179"/>
      <c r="AK363" s="179"/>
      <c r="AL363" s="179"/>
    </row>
    <row r="364" spans="2:38">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c r="AA364" s="177"/>
      <c r="AB364" s="178"/>
      <c r="AC364" s="178"/>
      <c r="AD364" s="178"/>
      <c r="AE364" s="178"/>
      <c r="AF364" s="179"/>
      <c r="AG364" s="179"/>
      <c r="AH364" s="179"/>
      <c r="AI364" s="179"/>
      <c r="AJ364" s="179"/>
      <c r="AK364" s="179"/>
      <c r="AL364" s="179"/>
    </row>
    <row r="365" spans="2:38">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c r="AA365" s="177"/>
      <c r="AB365" s="178"/>
      <c r="AC365" s="178"/>
      <c r="AD365" s="178"/>
      <c r="AE365" s="178"/>
      <c r="AF365" s="179"/>
      <c r="AG365" s="179"/>
      <c r="AH365" s="179"/>
      <c r="AI365" s="179"/>
      <c r="AJ365" s="179"/>
      <c r="AK365" s="179"/>
      <c r="AL365" s="179"/>
    </row>
    <row r="366" spans="2:38">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c r="AA366" s="177"/>
      <c r="AB366" s="178"/>
      <c r="AC366" s="178"/>
      <c r="AD366" s="178"/>
      <c r="AE366" s="178"/>
      <c r="AF366" s="179"/>
      <c r="AG366" s="179"/>
      <c r="AH366" s="179"/>
      <c r="AI366" s="179"/>
      <c r="AJ366" s="179"/>
      <c r="AK366" s="179"/>
      <c r="AL366" s="179"/>
    </row>
    <row r="367" spans="2:38">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8"/>
      <c r="AC367" s="178"/>
      <c r="AD367" s="178"/>
      <c r="AE367" s="178"/>
      <c r="AF367" s="179"/>
      <c r="AG367" s="179"/>
      <c r="AH367" s="179"/>
      <c r="AI367" s="179"/>
      <c r="AJ367" s="179"/>
      <c r="AK367" s="179"/>
      <c r="AL367" s="179"/>
    </row>
    <row r="368" spans="2:38">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8"/>
      <c r="AC368" s="178"/>
      <c r="AD368" s="178"/>
      <c r="AE368" s="178"/>
      <c r="AF368" s="179"/>
      <c r="AG368" s="179"/>
      <c r="AH368" s="179"/>
      <c r="AI368" s="179"/>
      <c r="AJ368" s="179"/>
      <c r="AK368" s="179"/>
      <c r="AL368" s="179"/>
    </row>
    <row r="369" spans="2:38">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c r="AA369" s="177"/>
      <c r="AB369" s="178"/>
      <c r="AC369" s="178"/>
      <c r="AD369" s="178"/>
      <c r="AE369" s="178"/>
      <c r="AF369" s="179"/>
      <c r="AG369" s="179"/>
      <c r="AH369" s="179"/>
      <c r="AI369" s="179"/>
      <c r="AJ369" s="179"/>
      <c r="AK369" s="179"/>
      <c r="AL369" s="179"/>
    </row>
    <row r="370" spans="2:38">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c r="AA370" s="177"/>
      <c r="AB370" s="178"/>
      <c r="AC370" s="178"/>
      <c r="AD370" s="178"/>
      <c r="AE370" s="178"/>
      <c r="AF370" s="179"/>
      <c r="AG370" s="179"/>
      <c r="AH370" s="179"/>
      <c r="AI370" s="179"/>
      <c r="AJ370" s="179"/>
      <c r="AK370" s="179"/>
      <c r="AL370" s="179"/>
    </row>
    <row r="371" spans="2:38">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8"/>
      <c r="AC371" s="178"/>
      <c r="AD371" s="178"/>
      <c r="AE371" s="178"/>
      <c r="AF371" s="179"/>
      <c r="AG371" s="179"/>
      <c r="AH371" s="179"/>
      <c r="AI371" s="179"/>
      <c r="AJ371" s="179"/>
      <c r="AK371" s="179"/>
      <c r="AL371" s="179"/>
    </row>
    <row r="372" spans="2:38">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c r="AA372" s="177"/>
      <c r="AB372" s="178"/>
      <c r="AC372" s="178"/>
      <c r="AD372" s="178"/>
      <c r="AE372" s="178"/>
      <c r="AF372" s="179"/>
      <c r="AG372" s="179"/>
      <c r="AH372" s="179"/>
      <c r="AI372" s="179"/>
      <c r="AJ372" s="179"/>
      <c r="AK372" s="179"/>
      <c r="AL372" s="179"/>
    </row>
    <row r="373" spans="2:38">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c r="AA373" s="177"/>
      <c r="AB373" s="178"/>
      <c r="AC373" s="178"/>
      <c r="AD373" s="178"/>
      <c r="AE373" s="178"/>
      <c r="AF373" s="179"/>
      <c r="AG373" s="179"/>
      <c r="AH373" s="179"/>
      <c r="AI373" s="179"/>
      <c r="AJ373" s="179"/>
      <c r="AK373" s="179"/>
      <c r="AL373" s="179"/>
    </row>
    <row r="374" spans="2:38">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c r="AA374" s="177"/>
      <c r="AB374" s="178"/>
      <c r="AC374" s="178"/>
      <c r="AD374" s="178"/>
      <c r="AE374" s="178"/>
      <c r="AF374" s="179"/>
      <c r="AG374" s="179"/>
      <c r="AH374" s="179"/>
      <c r="AI374" s="179"/>
      <c r="AJ374" s="179"/>
      <c r="AK374" s="179"/>
      <c r="AL374" s="179"/>
    </row>
    <row r="375" spans="2:38">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c r="AA375" s="177"/>
      <c r="AB375" s="178"/>
      <c r="AC375" s="178"/>
      <c r="AD375" s="178"/>
      <c r="AE375" s="178"/>
      <c r="AF375" s="179"/>
      <c r="AG375" s="179"/>
      <c r="AH375" s="179"/>
      <c r="AI375" s="179"/>
      <c r="AJ375" s="179"/>
      <c r="AK375" s="179"/>
      <c r="AL375" s="179"/>
    </row>
    <row r="376" spans="2:38">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c r="AA376" s="177"/>
      <c r="AB376" s="178"/>
      <c r="AC376" s="178"/>
      <c r="AD376" s="178"/>
      <c r="AE376" s="178"/>
      <c r="AF376" s="179"/>
      <c r="AG376" s="179"/>
      <c r="AH376" s="179"/>
      <c r="AI376" s="179"/>
      <c r="AJ376" s="179"/>
      <c r="AK376" s="179"/>
      <c r="AL376" s="179"/>
    </row>
    <row r="377" spans="2:38">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c r="AA377" s="177"/>
      <c r="AB377" s="178"/>
      <c r="AC377" s="178"/>
      <c r="AD377" s="178"/>
      <c r="AE377" s="178"/>
      <c r="AF377" s="179"/>
      <c r="AG377" s="179"/>
      <c r="AH377" s="179"/>
      <c r="AI377" s="179"/>
      <c r="AJ377" s="179"/>
      <c r="AK377" s="179"/>
      <c r="AL377" s="179"/>
    </row>
    <row r="378" spans="2:38">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c r="AA378" s="177"/>
      <c r="AB378" s="178"/>
      <c r="AC378" s="178"/>
      <c r="AD378" s="178"/>
      <c r="AE378" s="178"/>
      <c r="AF378" s="179"/>
      <c r="AG378" s="179"/>
      <c r="AH378" s="179"/>
      <c r="AI378" s="179"/>
      <c r="AJ378" s="179"/>
      <c r="AK378" s="179"/>
      <c r="AL378" s="179"/>
    </row>
    <row r="379" spans="2:38">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c r="AA379" s="177"/>
      <c r="AB379" s="178"/>
      <c r="AC379" s="178"/>
      <c r="AD379" s="178"/>
      <c r="AE379" s="178"/>
      <c r="AF379" s="179"/>
      <c r="AG379" s="179"/>
      <c r="AH379" s="179"/>
      <c r="AI379" s="179"/>
      <c r="AJ379" s="179"/>
      <c r="AK379" s="179"/>
      <c r="AL379" s="179"/>
    </row>
    <row r="380" spans="2:38">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c r="AA380" s="177"/>
      <c r="AB380" s="178"/>
      <c r="AC380" s="178"/>
      <c r="AD380" s="178"/>
      <c r="AE380" s="178"/>
      <c r="AF380" s="179"/>
      <c r="AG380" s="179"/>
      <c r="AH380" s="179"/>
      <c r="AI380" s="179"/>
      <c r="AJ380" s="179"/>
      <c r="AK380" s="179"/>
      <c r="AL380" s="179"/>
    </row>
    <row r="381" spans="2:38">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c r="AA381" s="177"/>
      <c r="AB381" s="178"/>
      <c r="AC381" s="178"/>
      <c r="AD381" s="178"/>
      <c r="AE381" s="178"/>
      <c r="AF381" s="179"/>
      <c r="AG381" s="179"/>
      <c r="AH381" s="179"/>
      <c r="AI381" s="179"/>
      <c r="AJ381" s="179"/>
      <c r="AK381" s="179"/>
      <c r="AL381" s="179"/>
    </row>
    <row r="382" spans="2:38">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c r="AA382" s="177"/>
      <c r="AB382" s="178"/>
      <c r="AC382" s="178"/>
      <c r="AD382" s="178"/>
      <c r="AE382" s="178"/>
      <c r="AF382" s="179"/>
      <c r="AG382" s="179"/>
      <c r="AH382" s="179"/>
      <c r="AI382" s="179"/>
      <c r="AJ382" s="179"/>
      <c r="AK382" s="179"/>
      <c r="AL382" s="179"/>
    </row>
    <row r="383" spans="2:38">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c r="AA383" s="177"/>
      <c r="AB383" s="178"/>
      <c r="AC383" s="178"/>
      <c r="AD383" s="178"/>
      <c r="AE383" s="178"/>
      <c r="AF383" s="179"/>
      <c r="AG383" s="179"/>
      <c r="AH383" s="179"/>
      <c r="AI383" s="179"/>
      <c r="AJ383" s="179"/>
      <c r="AK383" s="179"/>
      <c r="AL383" s="179"/>
    </row>
    <row r="384" spans="2:38">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c r="AA384" s="177"/>
      <c r="AB384" s="178"/>
      <c r="AC384" s="178"/>
      <c r="AD384" s="178"/>
      <c r="AE384" s="178"/>
      <c r="AF384" s="179"/>
      <c r="AG384" s="179"/>
      <c r="AH384" s="179"/>
      <c r="AI384" s="179"/>
      <c r="AJ384" s="179"/>
      <c r="AK384" s="179"/>
      <c r="AL384" s="179"/>
    </row>
    <row r="385" spans="2:38">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c r="AA385" s="177"/>
      <c r="AB385" s="178"/>
      <c r="AC385" s="178"/>
      <c r="AD385" s="178"/>
      <c r="AE385" s="178"/>
      <c r="AF385" s="179"/>
      <c r="AG385" s="179"/>
      <c r="AH385" s="179"/>
      <c r="AI385" s="179"/>
      <c r="AJ385" s="179"/>
      <c r="AK385" s="179"/>
      <c r="AL385" s="179"/>
    </row>
    <row r="386" spans="2:38">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c r="AA386" s="177"/>
      <c r="AB386" s="178"/>
      <c r="AC386" s="178"/>
      <c r="AD386" s="178"/>
      <c r="AE386" s="178"/>
      <c r="AF386" s="179"/>
      <c r="AG386" s="179"/>
      <c r="AH386" s="179"/>
      <c r="AI386" s="179"/>
      <c r="AJ386" s="179"/>
      <c r="AK386" s="179"/>
      <c r="AL386" s="179"/>
    </row>
    <row r="387" spans="2:38">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c r="AA387" s="177"/>
      <c r="AB387" s="178"/>
      <c r="AC387" s="178"/>
      <c r="AD387" s="178"/>
      <c r="AE387" s="178"/>
      <c r="AF387" s="179"/>
      <c r="AG387" s="179"/>
      <c r="AH387" s="179"/>
      <c r="AI387" s="179"/>
      <c r="AJ387" s="179"/>
      <c r="AK387" s="179"/>
      <c r="AL387" s="179"/>
    </row>
    <row r="388" spans="2:38">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c r="AA388" s="177"/>
      <c r="AB388" s="178"/>
      <c r="AC388" s="178"/>
      <c r="AD388" s="178"/>
      <c r="AE388" s="178"/>
      <c r="AF388" s="179"/>
      <c r="AG388" s="179"/>
      <c r="AH388" s="179"/>
      <c r="AI388" s="179"/>
      <c r="AJ388" s="179"/>
      <c r="AK388" s="179"/>
      <c r="AL388" s="179"/>
    </row>
    <row r="389" spans="2:38">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c r="AA389" s="177"/>
      <c r="AB389" s="178"/>
      <c r="AC389" s="178"/>
      <c r="AD389" s="178"/>
      <c r="AE389" s="178"/>
      <c r="AF389" s="179"/>
      <c r="AG389" s="179"/>
      <c r="AH389" s="179"/>
      <c r="AI389" s="179"/>
      <c r="AJ389" s="179"/>
      <c r="AK389" s="179"/>
      <c r="AL389" s="179"/>
    </row>
    <row r="390" spans="2:38">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c r="AA390" s="177"/>
      <c r="AB390" s="178"/>
      <c r="AC390" s="178"/>
      <c r="AD390" s="178"/>
      <c r="AE390" s="178"/>
      <c r="AF390" s="179"/>
      <c r="AG390" s="179"/>
      <c r="AH390" s="179"/>
      <c r="AI390" s="179"/>
      <c r="AJ390" s="179"/>
      <c r="AK390" s="179"/>
      <c r="AL390" s="179"/>
    </row>
    <row r="391" spans="2:38">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c r="AA391" s="177"/>
      <c r="AB391" s="178"/>
      <c r="AC391" s="178"/>
      <c r="AD391" s="178"/>
      <c r="AE391" s="178"/>
      <c r="AF391" s="179"/>
      <c r="AG391" s="179"/>
      <c r="AH391" s="179"/>
      <c r="AI391" s="179"/>
      <c r="AJ391" s="179"/>
      <c r="AK391" s="179"/>
      <c r="AL391" s="179"/>
    </row>
    <row r="392" spans="2:38">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c r="AA392" s="177"/>
      <c r="AB392" s="178"/>
      <c r="AC392" s="178"/>
      <c r="AD392" s="178"/>
      <c r="AE392" s="178"/>
      <c r="AF392" s="179"/>
      <c r="AG392" s="179"/>
      <c r="AH392" s="179"/>
      <c r="AI392" s="179"/>
      <c r="AJ392" s="179"/>
      <c r="AK392" s="179"/>
      <c r="AL392" s="179"/>
    </row>
    <row r="393" spans="2:38">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c r="AA393" s="177"/>
      <c r="AB393" s="178"/>
      <c r="AC393" s="178"/>
      <c r="AD393" s="178"/>
      <c r="AE393" s="178"/>
      <c r="AF393" s="179"/>
      <c r="AG393" s="179"/>
      <c r="AH393" s="179"/>
      <c r="AI393" s="179"/>
      <c r="AJ393" s="179"/>
      <c r="AK393" s="179"/>
      <c r="AL393" s="179"/>
    </row>
    <row r="394" spans="2:38">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c r="AA394" s="177"/>
      <c r="AB394" s="178"/>
      <c r="AC394" s="178"/>
      <c r="AD394" s="178"/>
      <c r="AE394" s="178"/>
      <c r="AF394" s="179"/>
      <c r="AG394" s="179"/>
      <c r="AH394" s="179"/>
      <c r="AI394" s="179"/>
      <c r="AJ394" s="179"/>
      <c r="AK394" s="179"/>
      <c r="AL394" s="179"/>
    </row>
    <row r="395" spans="2:38">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c r="AA395" s="177"/>
      <c r="AB395" s="178"/>
      <c r="AC395" s="178"/>
      <c r="AD395" s="178"/>
      <c r="AE395" s="178"/>
      <c r="AF395" s="179"/>
      <c r="AG395" s="179"/>
      <c r="AH395" s="179"/>
      <c r="AI395" s="179"/>
      <c r="AJ395" s="179"/>
      <c r="AK395" s="179"/>
      <c r="AL395" s="179"/>
    </row>
    <row r="396" spans="2:38">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c r="AA396" s="177"/>
      <c r="AB396" s="178"/>
      <c r="AC396" s="178"/>
      <c r="AD396" s="178"/>
      <c r="AE396" s="178"/>
      <c r="AF396" s="179"/>
      <c r="AG396" s="179"/>
      <c r="AH396" s="179"/>
      <c r="AI396" s="179"/>
      <c r="AJ396" s="179"/>
      <c r="AK396" s="179"/>
      <c r="AL396" s="179"/>
    </row>
    <row r="397" spans="2:38">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c r="AA397" s="177"/>
      <c r="AB397" s="178"/>
      <c r="AC397" s="178"/>
      <c r="AD397" s="178"/>
      <c r="AE397" s="178"/>
      <c r="AF397" s="179"/>
      <c r="AG397" s="179"/>
      <c r="AH397" s="179"/>
      <c r="AI397" s="179"/>
      <c r="AJ397" s="179"/>
      <c r="AK397" s="179"/>
      <c r="AL397" s="179"/>
    </row>
    <row r="398" spans="2:38">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c r="AA398" s="177"/>
      <c r="AB398" s="178"/>
      <c r="AC398" s="178"/>
      <c r="AD398" s="178"/>
      <c r="AE398" s="178"/>
      <c r="AF398" s="179"/>
      <c r="AG398" s="179"/>
      <c r="AH398" s="179"/>
      <c r="AI398" s="179"/>
      <c r="AJ398" s="179"/>
      <c r="AK398" s="179"/>
      <c r="AL398" s="179"/>
    </row>
    <row r="399" spans="2:38">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c r="AA399" s="177"/>
      <c r="AB399" s="178"/>
      <c r="AC399" s="178"/>
      <c r="AD399" s="178"/>
      <c r="AE399" s="178"/>
      <c r="AF399" s="179"/>
      <c r="AG399" s="179"/>
      <c r="AH399" s="179"/>
      <c r="AI399" s="179"/>
      <c r="AJ399" s="179"/>
      <c r="AK399" s="179"/>
      <c r="AL399" s="179"/>
    </row>
    <row r="400" spans="2:38">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c r="AA400" s="177"/>
      <c r="AB400" s="178"/>
      <c r="AC400" s="178"/>
      <c r="AD400" s="178"/>
      <c r="AE400" s="178"/>
      <c r="AF400" s="179"/>
      <c r="AG400" s="179"/>
      <c r="AH400" s="179"/>
      <c r="AI400" s="179"/>
      <c r="AJ400" s="179"/>
      <c r="AK400" s="179"/>
      <c r="AL400" s="179"/>
    </row>
    <row r="401" spans="2:38">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c r="AA401" s="177"/>
      <c r="AB401" s="178"/>
      <c r="AC401" s="178"/>
      <c r="AD401" s="178"/>
      <c r="AE401" s="178"/>
      <c r="AF401" s="179"/>
      <c r="AG401" s="179"/>
      <c r="AH401" s="179"/>
      <c r="AI401" s="179"/>
      <c r="AJ401" s="179"/>
      <c r="AK401" s="179"/>
      <c r="AL401" s="179"/>
    </row>
    <row r="402" spans="2:38">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c r="AA402" s="177"/>
      <c r="AB402" s="178"/>
      <c r="AC402" s="178"/>
      <c r="AD402" s="178"/>
      <c r="AE402" s="178"/>
      <c r="AF402" s="179"/>
      <c r="AG402" s="179"/>
      <c r="AH402" s="179"/>
      <c r="AI402" s="179"/>
      <c r="AJ402" s="179"/>
      <c r="AK402" s="179"/>
      <c r="AL402" s="179"/>
    </row>
    <row r="403" spans="2:38">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c r="AA403" s="177"/>
      <c r="AB403" s="178"/>
      <c r="AC403" s="178"/>
      <c r="AD403" s="178"/>
      <c r="AE403" s="178"/>
      <c r="AF403" s="179"/>
      <c r="AG403" s="179"/>
      <c r="AH403" s="179"/>
      <c r="AI403" s="179"/>
      <c r="AJ403" s="179"/>
      <c r="AK403" s="179"/>
      <c r="AL403" s="179"/>
    </row>
    <row r="404" spans="2:38">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c r="AA404" s="177"/>
      <c r="AB404" s="178"/>
      <c r="AC404" s="178"/>
      <c r="AD404" s="178"/>
      <c r="AE404" s="178"/>
      <c r="AF404" s="179"/>
      <c r="AG404" s="179"/>
      <c r="AH404" s="179"/>
      <c r="AI404" s="179"/>
      <c r="AJ404" s="179"/>
      <c r="AK404" s="179"/>
      <c r="AL404" s="179"/>
    </row>
    <row r="405" spans="2:38">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c r="AA405" s="177"/>
      <c r="AB405" s="178"/>
      <c r="AC405" s="178"/>
      <c r="AD405" s="178"/>
      <c r="AE405" s="178"/>
      <c r="AF405" s="179"/>
      <c r="AG405" s="179"/>
      <c r="AH405" s="179"/>
      <c r="AI405" s="179"/>
      <c r="AJ405" s="179"/>
      <c r="AK405" s="179"/>
      <c r="AL405" s="179"/>
    </row>
    <row r="406" spans="2:38">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c r="AA406" s="177"/>
      <c r="AB406" s="178"/>
      <c r="AC406" s="178"/>
      <c r="AD406" s="178"/>
      <c r="AE406" s="178"/>
      <c r="AF406" s="179"/>
      <c r="AG406" s="179"/>
      <c r="AH406" s="179"/>
      <c r="AI406" s="179"/>
      <c r="AJ406" s="179"/>
      <c r="AK406" s="179"/>
      <c r="AL406" s="179"/>
    </row>
    <row r="407" spans="2:38">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c r="AA407" s="177"/>
      <c r="AB407" s="178"/>
      <c r="AC407" s="178"/>
      <c r="AD407" s="178"/>
      <c r="AE407" s="178"/>
      <c r="AF407" s="179"/>
      <c r="AG407" s="179"/>
      <c r="AH407" s="179"/>
      <c r="AI407" s="179"/>
      <c r="AJ407" s="179"/>
      <c r="AK407" s="179"/>
      <c r="AL407" s="179"/>
    </row>
    <row r="408" spans="2:38">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c r="AA408" s="177"/>
      <c r="AB408" s="178"/>
      <c r="AC408" s="178"/>
      <c r="AD408" s="178"/>
      <c r="AE408" s="178"/>
      <c r="AF408" s="179"/>
      <c r="AG408" s="179"/>
      <c r="AH408" s="179"/>
      <c r="AI408" s="179"/>
      <c r="AJ408" s="179"/>
      <c r="AK408" s="179"/>
      <c r="AL408" s="179"/>
    </row>
    <row r="409" spans="2:38">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c r="AA409" s="177"/>
      <c r="AB409" s="178"/>
      <c r="AC409" s="178"/>
      <c r="AD409" s="178"/>
      <c r="AE409" s="178"/>
      <c r="AF409" s="179"/>
      <c r="AG409" s="179"/>
      <c r="AH409" s="179"/>
      <c r="AI409" s="179"/>
      <c r="AJ409" s="179"/>
      <c r="AK409" s="179"/>
      <c r="AL409" s="179"/>
    </row>
    <row r="410" spans="2:38">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c r="AA410" s="177"/>
      <c r="AB410" s="178"/>
      <c r="AC410" s="178"/>
      <c r="AD410" s="178"/>
      <c r="AE410" s="178"/>
      <c r="AF410" s="179"/>
      <c r="AG410" s="179"/>
      <c r="AH410" s="179"/>
      <c r="AI410" s="179"/>
      <c r="AJ410" s="179"/>
      <c r="AK410" s="179"/>
      <c r="AL410" s="179"/>
    </row>
    <row r="411" spans="2:38">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c r="AA411" s="177"/>
      <c r="AB411" s="178"/>
      <c r="AC411" s="178"/>
      <c r="AD411" s="178"/>
      <c r="AE411" s="178"/>
      <c r="AF411" s="179"/>
      <c r="AG411" s="179"/>
      <c r="AH411" s="179"/>
      <c r="AI411" s="179"/>
      <c r="AJ411" s="179"/>
      <c r="AK411" s="179"/>
      <c r="AL411" s="179"/>
    </row>
    <row r="412" spans="2:38">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c r="AA412" s="177"/>
      <c r="AB412" s="178"/>
      <c r="AC412" s="178"/>
      <c r="AD412" s="178"/>
      <c r="AE412" s="178"/>
      <c r="AF412" s="179"/>
      <c r="AG412" s="179"/>
      <c r="AH412" s="179"/>
      <c r="AI412" s="179"/>
      <c r="AJ412" s="179"/>
      <c r="AK412" s="179"/>
      <c r="AL412" s="179"/>
    </row>
    <row r="413" spans="2:38">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c r="AA413" s="177"/>
      <c r="AB413" s="178"/>
      <c r="AC413" s="178"/>
      <c r="AD413" s="178"/>
      <c r="AE413" s="178"/>
      <c r="AF413" s="179"/>
      <c r="AG413" s="179"/>
      <c r="AH413" s="179"/>
      <c r="AI413" s="179"/>
      <c r="AJ413" s="179"/>
      <c r="AK413" s="179"/>
      <c r="AL413" s="179"/>
    </row>
    <row r="414" spans="2:38">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c r="AA414" s="177"/>
      <c r="AB414" s="178"/>
      <c r="AC414" s="178"/>
      <c r="AD414" s="178"/>
      <c r="AE414" s="178"/>
      <c r="AF414" s="179"/>
      <c r="AG414" s="179"/>
      <c r="AH414" s="179"/>
      <c r="AI414" s="179"/>
      <c r="AJ414" s="179"/>
      <c r="AK414" s="179"/>
      <c r="AL414" s="179"/>
    </row>
    <row r="415" spans="2:38">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c r="AA415" s="177"/>
      <c r="AB415" s="178"/>
      <c r="AC415" s="178"/>
      <c r="AD415" s="178"/>
      <c r="AE415" s="178"/>
      <c r="AF415" s="179"/>
      <c r="AG415" s="179"/>
      <c r="AH415" s="179"/>
      <c r="AI415" s="179"/>
      <c r="AJ415" s="179"/>
      <c r="AK415" s="179"/>
      <c r="AL415" s="179"/>
    </row>
    <row r="416" spans="2:38">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c r="AA416" s="177"/>
      <c r="AB416" s="178"/>
      <c r="AC416" s="178"/>
      <c r="AD416" s="178"/>
      <c r="AE416" s="178"/>
      <c r="AF416" s="179"/>
      <c r="AG416" s="179"/>
      <c r="AH416" s="179"/>
      <c r="AI416" s="179"/>
      <c r="AJ416" s="179"/>
      <c r="AK416" s="179"/>
      <c r="AL416" s="179"/>
    </row>
    <row r="417" spans="2:38">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c r="AA417" s="177"/>
      <c r="AB417" s="178"/>
      <c r="AC417" s="178"/>
      <c r="AD417" s="178"/>
      <c r="AE417" s="178"/>
      <c r="AF417" s="179"/>
      <c r="AG417" s="179"/>
      <c r="AH417" s="179"/>
      <c r="AI417" s="179"/>
      <c r="AJ417" s="179"/>
      <c r="AK417" s="179"/>
      <c r="AL417" s="179"/>
    </row>
    <row r="418" spans="2:38">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c r="AA418" s="177"/>
      <c r="AB418" s="178"/>
      <c r="AC418" s="178"/>
      <c r="AD418" s="178"/>
      <c r="AE418" s="178"/>
      <c r="AF418" s="179"/>
      <c r="AG418" s="179"/>
      <c r="AH418" s="179"/>
      <c r="AI418" s="179"/>
      <c r="AJ418" s="179"/>
      <c r="AK418" s="179"/>
      <c r="AL418" s="179"/>
    </row>
    <row r="419" spans="2:38">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c r="AA419" s="177"/>
      <c r="AB419" s="178"/>
      <c r="AC419" s="178"/>
      <c r="AD419" s="178"/>
      <c r="AE419" s="178"/>
      <c r="AF419" s="179"/>
      <c r="AG419" s="179"/>
      <c r="AH419" s="179"/>
      <c r="AI419" s="179"/>
      <c r="AJ419" s="179"/>
      <c r="AK419" s="179"/>
      <c r="AL419" s="179"/>
    </row>
    <row r="420" spans="2:38">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c r="AA420" s="177"/>
      <c r="AB420" s="178"/>
      <c r="AC420" s="178"/>
      <c r="AD420" s="178"/>
      <c r="AE420" s="178"/>
      <c r="AF420" s="179"/>
      <c r="AG420" s="179"/>
      <c r="AH420" s="179"/>
      <c r="AI420" s="179"/>
      <c r="AJ420" s="179"/>
      <c r="AK420" s="179"/>
      <c r="AL420" s="179"/>
    </row>
    <row r="421" spans="2:38">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c r="AA421" s="177"/>
      <c r="AB421" s="178"/>
      <c r="AC421" s="178"/>
      <c r="AD421" s="178"/>
      <c r="AE421" s="178"/>
      <c r="AF421" s="179"/>
      <c r="AG421" s="179"/>
      <c r="AH421" s="179"/>
      <c r="AI421" s="179"/>
      <c r="AJ421" s="179"/>
      <c r="AK421" s="179"/>
      <c r="AL421" s="179"/>
    </row>
    <row r="422" spans="2:38">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c r="AA422" s="177"/>
      <c r="AB422" s="178"/>
      <c r="AC422" s="178"/>
      <c r="AD422" s="178"/>
      <c r="AE422" s="178"/>
      <c r="AF422" s="179"/>
      <c r="AG422" s="179"/>
      <c r="AH422" s="179"/>
      <c r="AI422" s="179"/>
      <c r="AJ422" s="179"/>
      <c r="AK422" s="179"/>
      <c r="AL422" s="179"/>
    </row>
    <row r="423" spans="2:38">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c r="AA423" s="177"/>
      <c r="AB423" s="178"/>
      <c r="AC423" s="178"/>
      <c r="AD423" s="178"/>
      <c r="AE423" s="178"/>
      <c r="AF423" s="179"/>
      <c r="AG423" s="179"/>
      <c r="AH423" s="179"/>
      <c r="AI423" s="179"/>
      <c r="AJ423" s="179"/>
      <c r="AK423" s="179"/>
      <c r="AL423" s="179"/>
    </row>
    <row r="424" spans="2:38">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c r="AA424" s="177"/>
      <c r="AB424" s="178"/>
      <c r="AC424" s="178"/>
      <c r="AD424" s="178"/>
      <c r="AE424" s="178"/>
      <c r="AF424" s="179"/>
      <c r="AG424" s="179"/>
      <c r="AH424" s="179"/>
      <c r="AI424" s="179"/>
      <c r="AJ424" s="179"/>
      <c r="AK424" s="179"/>
      <c r="AL424" s="179"/>
    </row>
    <row r="425" spans="2:38">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c r="AA425" s="177"/>
      <c r="AB425" s="178"/>
      <c r="AC425" s="178"/>
      <c r="AD425" s="178"/>
      <c r="AE425" s="178"/>
      <c r="AF425" s="179"/>
      <c r="AG425" s="179"/>
      <c r="AH425" s="179"/>
      <c r="AI425" s="179"/>
      <c r="AJ425" s="179"/>
      <c r="AK425" s="179"/>
      <c r="AL425" s="179"/>
    </row>
    <row r="426" spans="2:38">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c r="AA426" s="177"/>
      <c r="AB426" s="178"/>
      <c r="AC426" s="178"/>
      <c r="AD426" s="178"/>
      <c r="AE426" s="178"/>
      <c r="AF426" s="179"/>
      <c r="AG426" s="179"/>
      <c r="AH426" s="179"/>
      <c r="AI426" s="179"/>
      <c r="AJ426" s="179"/>
      <c r="AK426" s="179"/>
      <c r="AL426" s="179"/>
    </row>
    <row r="427" spans="2:38">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8"/>
      <c r="AC427" s="178"/>
      <c r="AD427" s="178"/>
      <c r="AE427" s="178"/>
      <c r="AF427" s="179"/>
      <c r="AG427" s="179"/>
      <c r="AH427" s="179"/>
      <c r="AI427" s="179"/>
      <c r="AJ427" s="179"/>
      <c r="AK427" s="179"/>
      <c r="AL427" s="179"/>
    </row>
    <row r="428" spans="2:38">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8"/>
      <c r="AC428" s="178"/>
      <c r="AD428" s="178"/>
      <c r="AE428" s="178"/>
      <c r="AF428" s="179"/>
      <c r="AG428" s="179"/>
      <c r="AH428" s="179"/>
      <c r="AI428" s="179"/>
      <c r="AJ428" s="179"/>
      <c r="AK428" s="179"/>
      <c r="AL428" s="179"/>
    </row>
    <row r="429" spans="2:38">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8"/>
      <c r="AC429" s="178"/>
      <c r="AD429" s="178"/>
      <c r="AE429" s="178"/>
      <c r="AF429" s="179"/>
      <c r="AG429" s="179"/>
      <c r="AH429" s="179"/>
      <c r="AI429" s="179"/>
      <c r="AJ429" s="179"/>
      <c r="AK429" s="179"/>
      <c r="AL429" s="179"/>
    </row>
    <row r="430" spans="2:38">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c r="AA430" s="177"/>
      <c r="AB430" s="178"/>
      <c r="AC430" s="178"/>
      <c r="AD430" s="178"/>
      <c r="AE430" s="178"/>
      <c r="AF430" s="179"/>
      <c r="AG430" s="179"/>
      <c r="AH430" s="179"/>
      <c r="AI430" s="179"/>
      <c r="AJ430" s="179"/>
      <c r="AK430" s="179"/>
      <c r="AL430" s="179"/>
    </row>
    <row r="431" spans="2:38">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c r="AA431" s="177"/>
      <c r="AB431" s="178"/>
      <c r="AC431" s="178"/>
      <c r="AD431" s="178"/>
      <c r="AE431" s="178"/>
      <c r="AF431" s="179"/>
      <c r="AG431" s="179"/>
      <c r="AH431" s="179"/>
      <c r="AI431" s="179"/>
      <c r="AJ431" s="179"/>
      <c r="AK431" s="179"/>
      <c r="AL431" s="179"/>
    </row>
    <row r="432" spans="2:38">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c r="AA432" s="177"/>
      <c r="AB432" s="178"/>
      <c r="AC432" s="178"/>
      <c r="AD432" s="178"/>
      <c r="AE432" s="178"/>
      <c r="AF432" s="179"/>
      <c r="AG432" s="179"/>
      <c r="AH432" s="179"/>
      <c r="AI432" s="179"/>
      <c r="AJ432" s="179"/>
      <c r="AK432" s="179"/>
      <c r="AL432" s="179"/>
    </row>
    <row r="433" spans="2:38">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c r="AA433" s="177"/>
      <c r="AB433" s="178"/>
      <c r="AC433" s="178"/>
      <c r="AD433" s="178"/>
      <c r="AE433" s="178"/>
      <c r="AF433" s="179"/>
      <c r="AG433" s="179"/>
      <c r="AH433" s="179"/>
      <c r="AI433" s="179"/>
      <c r="AJ433" s="179"/>
      <c r="AK433" s="179"/>
      <c r="AL433" s="179"/>
    </row>
    <row r="434" spans="2:38">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c r="AA434" s="177"/>
      <c r="AB434" s="178"/>
      <c r="AC434" s="178"/>
      <c r="AD434" s="178"/>
      <c r="AE434" s="178"/>
      <c r="AF434" s="179"/>
      <c r="AG434" s="179"/>
      <c r="AH434" s="179"/>
      <c r="AI434" s="179"/>
      <c r="AJ434" s="179"/>
      <c r="AK434" s="179"/>
      <c r="AL434" s="179"/>
    </row>
    <row r="435" spans="2:38">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c r="AA435" s="177"/>
      <c r="AB435" s="178"/>
      <c r="AC435" s="178"/>
      <c r="AD435" s="178"/>
      <c r="AE435" s="178"/>
      <c r="AF435" s="179"/>
      <c r="AG435" s="179"/>
      <c r="AH435" s="179"/>
      <c r="AI435" s="179"/>
      <c r="AJ435" s="179"/>
      <c r="AK435" s="179"/>
      <c r="AL435" s="179"/>
    </row>
    <row r="436" spans="2:38">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c r="AA436" s="177"/>
      <c r="AB436" s="178"/>
      <c r="AC436" s="178"/>
      <c r="AD436" s="178"/>
      <c r="AE436" s="178"/>
      <c r="AF436" s="179"/>
      <c r="AG436" s="179"/>
      <c r="AH436" s="179"/>
      <c r="AI436" s="179"/>
      <c r="AJ436" s="179"/>
      <c r="AK436" s="179"/>
      <c r="AL436" s="179"/>
    </row>
    <row r="437" spans="2:38">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c r="AA437" s="177"/>
      <c r="AB437" s="178"/>
      <c r="AC437" s="178"/>
      <c r="AD437" s="178"/>
      <c r="AE437" s="178"/>
      <c r="AF437" s="179"/>
      <c r="AG437" s="179"/>
      <c r="AH437" s="179"/>
      <c r="AI437" s="179"/>
      <c r="AJ437" s="179"/>
      <c r="AK437" s="179"/>
      <c r="AL437" s="179"/>
    </row>
    <row r="438" spans="2:38">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c r="AA438" s="177"/>
      <c r="AB438" s="178"/>
      <c r="AC438" s="178"/>
      <c r="AD438" s="178"/>
      <c r="AE438" s="178"/>
      <c r="AF438" s="179"/>
      <c r="AG438" s="179"/>
      <c r="AH438" s="179"/>
      <c r="AI438" s="179"/>
      <c r="AJ438" s="179"/>
      <c r="AK438" s="179"/>
      <c r="AL438" s="179"/>
    </row>
    <row r="439" spans="2:38">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c r="AA439" s="177"/>
      <c r="AB439" s="178"/>
      <c r="AC439" s="178"/>
      <c r="AD439" s="178"/>
      <c r="AE439" s="178"/>
      <c r="AF439" s="179"/>
      <c r="AG439" s="179"/>
      <c r="AH439" s="179"/>
      <c r="AI439" s="179"/>
      <c r="AJ439" s="179"/>
      <c r="AK439" s="179"/>
      <c r="AL439" s="179"/>
    </row>
    <row r="440" spans="2:38">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c r="AA440" s="177"/>
      <c r="AB440" s="178"/>
      <c r="AC440" s="178"/>
      <c r="AD440" s="178"/>
      <c r="AE440" s="178"/>
      <c r="AF440" s="179"/>
      <c r="AG440" s="179"/>
      <c r="AH440" s="179"/>
      <c r="AI440" s="179"/>
      <c r="AJ440" s="179"/>
      <c r="AK440" s="179"/>
      <c r="AL440" s="179"/>
    </row>
    <row r="441" spans="2:38">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c r="AA441" s="177"/>
      <c r="AB441" s="178"/>
      <c r="AC441" s="178"/>
      <c r="AD441" s="178"/>
      <c r="AE441" s="178"/>
      <c r="AF441" s="179"/>
      <c r="AG441" s="179"/>
      <c r="AH441" s="179"/>
      <c r="AI441" s="179"/>
      <c r="AJ441" s="179"/>
      <c r="AK441" s="179"/>
      <c r="AL441" s="179"/>
    </row>
    <row r="442" spans="2:38">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c r="AA442" s="177"/>
      <c r="AB442" s="178"/>
      <c r="AC442" s="178"/>
      <c r="AD442" s="178"/>
      <c r="AE442" s="178"/>
      <c r="AF442" s="179"/>
      <c r="AG442" s="179"/>
      <c r="AH442" s="179"/>
      <c r="AI442" s="179"/>
      <c r="AJ442" s="179"/>
      <c r="AK442" s="179"/>
      <c r="AL442" s="179"/>
    </row>
    <row r="443" spans="2:38">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c r="AA443" s="177"/>
      <c r="AB443" s="178"/>
      <c r="AC443" s="178"/>
      <c r="AD443" s="178"/>
      <c r="AE443" s="178"/>
      <c r="AF443" s="179"/>
      <c r="AG443" s="179"/>
      <c r="AH443" s="179"/>
      <c r="AI443" s="179"/>
      <c r="AJ443" s="179"/>
      <c r="AK443" s="179"/>
      <c r="AL443" s="179"/>
    </row>
    <row r="444" spans="2:38">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c r="AA444" s="177"/>
      <c r="AB444" s="178"/>
      <c r="AC444" s="178"/>
      <c r="AD444" s="178"/>
      <c r="AE444" s="178"/>
      <c r="AF444" s="179"/>
      <c r="AG444" s="179"/>
      <c r="AH444" s="179"/>
      <c r="AI444" s="179"/>
      <c r="AJ444" s="179"/>
      <c r="AK444" s="179"/>
      <c r="AL444" s="179"/>
    </row>
    <row r="445" spans="2:38">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c r="AA445" s="177"/>
      <c r="AB445" s="178"/>
      <c r="AC445" s="178"/>
      <c r="AD445" s="178"/>
      <c r="AE445" s="178"/>
      <c r="AF445" s="179"/>
      <c r="AG445" s="179"/>
      <c r="AH445" s="179"/>
      <c r="AI445" s="179"/>
      <c r="AJ445" s="179"/>
      <c r="AK445" s="179"/>
      <c r="AL445" s="179"/>
    </row>
    <row r="446" spans="2:38">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c r="AA446" s="177"/>
      <c r="AB446" s="178"/>
      <c r="AC446" s="178"/>
      <c r="AD446" s="178"/>
      <c r="AE446" s="178"/>
      <c r="AF446" s="179"/>
      <c r="AG446" s="179"/>
      <c r="AH446" s="179"/>
      <c r="AI446" s="179"/>
      <c r="AJ446" s="179"/>
      <c r="AK446" s="179"/>
      <c r="AL446" s="179"/>
    </row>
    <row r="447" spans="2:38">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c r="AA447" s="177"/>
      <c r="AB447" s="178"/>
      <c r="AC447" s="178"/>
      <c r="AD447" s="178"/>
      <c r="AE447" s="178"/>
      <c r="AF447" s="179"/>
      <c r="AG447" s="179"/>
      <c r="AH447" s="179"/>
      <c r="AI447" s="179"/>
      <c r="AJ447" s="179"/>
      <c r="AK447" s="179"/>
      <c r="AL447" s="179"/>
    </row>
    <row r="448" spans="2:38">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c r="AA448" s="177"/>
      <c r="AB448" s="178"/>
      <c r="AC448" s="178"/>
      <c r="AD448" s="178"/>
      <c r="AE448" s="178"/>
      <c r="AF448" s="179"/>
      <c r="AG448" s="179"/>
      <c r="AH448" s="179"/>
      <c r="AI448" s="179"/>
      <c r="AJ448" s="179"/>
      <c r="AK448" s="179"/>
      <c r="AL448" s="179"/>
    </row>
    <row r="449" spans="2:38">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c r="AA449" s="177"/>
      <c r="AB449" s="178"/>
      <c r="AC449" s="178"/>
      <c r="AD449" s="178"/>
      <c r="AE449" s="178"/>
      <c r="AF449" s="179"/>
      <c r="AG449" s="179"/>
      <c r="AH449" s="179"/>
      <c r="AI449" s="179"/>
      <c r="AJ449" s="179"/>
      <c r="AK449" s="179"/>
      <c r="AL449" s="179"/>
    </row>
    <row r="450" spans="2:38">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c r="AA450" s="177"/>
      <c r="AB450" s="178"/>
      <c r="AC450" s="178"/>
      <c r="AD450" s="178"/>
      <c r="AE450" s="178"/>
      <c r="AF450" s="179"/>
      <c r="AG450" s="179"/>
      <c r="AH450" s="179"/>
      <c r="AI450" s="179"/>
      <c r="AJ450" s="179"/>
      <c r="AK450" s="179"/>
      <c r="AL450" s="179"/>
    </row>
    <row r="451" spans="2:38">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c r="AA451" s="177"/>
      <c r="AB451" s="178"/>
      <c r="AC451" s="178"/>
      <c r="AD451" s="178"/>
      <c r="AE451" s="178"/>
      <c r="AF451" s="179"/>
      <c r="AG451" s="179"/>
      <c r="AH451" s="179"/>
      <c r="AI451" s="179"/>
      <c r="AJ451" s="179"/>
      <c r="AK451" s="179"/>
      <c r="AL451" s="179"/>
    </row>
    <row r="452" spans="2:38">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c r="AA452" s="177"/>
      <c r="AB452" s="178"/>
      <c r="AC452" s="178"/>
      <c r="AD452" s="178"/>
      <c r="AE452" s="178"/>
      <c r="AF452" s="179"/>
      <c r="AG452" s="179"/>
      <c r="AH452" s="179"/>
      <c r="AI452" s="179"/>
      <c r="AJ452" s="179"/>
      <c r="AK452" s="179"/>
      <c r="AL452" s="179"/>
    </row>
    <row r="453" spans="2:38">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c r="AA453" s="177"/>
      <c r="AB453" s="178"/>
      <c r="AC453" s="178"/>
      <c r="AD453" s="178"/>
      <c r="AE453" s="178"/>
      <c r="AF453" s="179"/>
      <c r="AG453" s="179"/>
      <c r="AH453" s="179"/>
      <c r="AI453" s="179"/>
      <c r="AJ453" s="179"/>
      <c r="AK453" s="179"/>
      <c r="AL453" s="179"/>
    </row>
    <row r="454" spans="2:38">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c r="AA454" s="177"/>
      <c r="AB454" s="178"/>
      <c r="AC454" s="178"/>
      <c r="AD454" s="178"/>
      <c r="AE454" s="178"/>
      <c r="AF454" s="179"/>
      <c r="AG454" s="179"/>
      <c r="AH454" s="179"/>
      <c r="AI454" s="179"/>
      <c r="AJ454" s="179"/>
      <c r="AK454" s="179"/>
      <c r="AL454" s="179"/>
    </row>
    <row r="455" spans="2:38">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c r="AA455" s="177"/>
      <c r="AB455" s="178"/>
      <c r="AC455" s="178"/>
      <c r="AD455" s="178"/>
      <c r="AE455" s="178"/>
      <c r="AF455" s="179"/>
      <c r="AG455" s="179"/>
      <c r="AH455" s="179"/>
      <c r="AI455" s="179"/>
      <c r="AJ455" s="179"/>
      <c r="AK455" s="179"/>
      <c r="AL455" s="179"/>
    </row>
    <row r="456" spans="2:38">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c r="AA456" s="177"/>
      <c r="AB456" s="178"/>
      <c r="AC456" s="178"/>
      <c r="AD456" s="178"/>
      <c r="AE456" s="178"/>
      <c r="AF456" s="179"/>
      <c r="AG456" s="179"/>
      <c r="AH456" s="179"/>
      <c r="AI456" s="179"/>
      <c r="AJ456" s="179"/>
      <c r="AK456" s="179"/>
      <c r="AL456" s="179"/>
    </row>
    <row r="457" spans="2:38">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c r="AA457" s="177"/>
      <c r="AB457" s="178"/>
      <c r="AC457" s="178"/>
      <c r="AD457" s="178"/>
      <c r="AE457" s="178"/>
      <c r="AF457" s="179"/>
      <c r="AG457" s="179"/>
      <c r="AH457" s="179"/>
      <c r="AI457" s="179"/>
      <c r="AJ457" s="179"/>
      <c r="AK457" s="179"/>
      <c r="AL457" s="179"/>
    </row>
    <row r="458" spans="2:38">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c r="AA458" s="177"/>
      <c r="AB458" s="178"/>
      <c r="AC458" s="178"/>
      <c r="AD458" s="178"/>
      <c r="AE458" s="178"/>
      <c r="AF458" s="179"/>
      <c r="AG458" s="179"/>
      <c r="AH458" s="179"/>
      <c r="AI458" s="179"/>
      <c r="AJ458" s="179"/>
      <c r="AK458" s="179"/>
      <c r="AL458" s="179"/>
    </row>
    <row r="459" spans="2:38">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c r="AA459" s="177"/>
      <c r="AB459" s="178"/>
      <c r="AC459" s="178"/>
      <c r="AD459" s="178"/>
      <c r="AE459" s="178"/>
      <c r="AF459" s="179"/>
      <c r="AG459" s="179"/>
      <c r="AH459" s="179"/>
      <c r="AI459" s="179"/>
      <c r="AJ459" s="179"/>
      <c r="AK459" s="179"/>
      <c r="AL459" s="179"/>
    </row>
    <row r="460" spans="2:38">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c r="AA460" s="177"/>
      <c r="AB460" s="178"/>
      <c r="AC460" s="178"/>
      <c r="AD460" s="178"/>
      <c r="AE460" s="178"/>
      <c r="AF460" s="179"/>
      <c r="AG460" s="179"/>
      <c r="AH460" s="179"/>
      <c r="AI460" s="179"/>
      <c r="AJ460" s="179"/>
      <c r="AK460" s="179"/>
      <c r="AL460" s="179"/>
    </row>
    <row r="461" spans="2:38">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c r="AA461" s="177"/>
      <c r="AB461" s="178"/>
      <c r="AC461" s="178"/>
      <c r="AD461" s="178"/>
      <c r="AE461" s="178"/>
      <c r="AF461" s="179"/>
      <c r="AG461" s="179"/>
      <c r="AH461" s="179"/>
      <c r="AI461" s="179"/>
      <c r="AJ461" s="179"/>
      <c r="AK461" s="179"/>
      <c r="AL461" s="179"/>
    </row>
    <row r="462" spans="2:38">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c r="AA462" s="177"/>
      <c r="AB462" s="178"/>
      <c r="AC462" s="178"/>
      <c r="AD462" s="178"/>
      <c r="AE462" s="178"/>
      <c r="AF462" s="179"/>
      <c r="AG462" s="179"/>
      <c r="AH462" s="179"/>
      <c r="AI462" s="179"/>
      <c r="AJ462" s="179"/>
      <c r="AK462" s="179"/>
      <c r="AL462" s="179"/>
    </row>
    <row r="463" spans="2:38">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c r="AA463" s="177"/>
      <c r="AB463" s="178"/>
      <c r="AC463" s="178"/>
      <c r="AD463" s="178"/>
      <c r="AE463" s="178"/>
      <c r="AF463" s="179"/>
      <c r="AG463" s="179"/>
      <c r="AH463" s="179"/>
      <c r="AI463" s="179"/>
      <c r="AJ463" s="179"/>
      <c r="AK463" s="179"/>
      <c r="AL463" s="179"/>
    </row>
    <row r="464" spans="2:38">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c r="AA464" s="177"/>
      <c r="AB464" s="178"/>
      <c r="AC464" s="178"/>
      <c r="AD464" s="178"/>
      <c r="AE464" s="178"/>
      <c r="AF464" s="179"/>
      <c r="AG464" s="179"/>
      <c r="AH464" s="179"/>
      <c r="AI464" s="179"/>
      <c r="AJ464" s="179"/>
      <c r="AK464" s="179"/>
      <c r="AL464" s="179"/>
    </row>
    <row r="465" spans="11:38">
      <c r="K465" s="177"/>
      <c r="L465" s="177"/>
      <c r="M465" s="177"/>
      <c r="N465" s="177"/>
      <c r="O465" s="177"/>
      <c r="P465" s="177"/>
      <c r="Q465" s="177"/>
      <c r="R465" s="177"/>
      <c r="S465" s="177"/>
      <c r="T465" s="177"/>
      <c r="U465" s="177"/>
      <c r="V465" s="177"/>
      <c r="W465" s="177"/>
      <c r="X465" s="177"/>
      <c r="Y465" s="177"/>
      <c r="Z465" s="177"/>
      <c r="AA465" s="177"/>
      <c r="AB465" s="178"/>
      <c r="AC465" s="178"/>
      <c r="AD465" s="178"/>
      <c r="AE465" s="178"/>
      <c r="AF465" s="179"/>
      <c r="AG465" s="179"/>
      <c r="AH465" s="179"/>
      <c r="AI465" s="179"/>
      <c r="AJ465" s="179"/>
      <c r="AK465" s="179"/>
      <c r="AL465" s="179"/>
    </row>
    <row r="466" spans="11:38">
      <c r="K466" s="177"/>
      <c r="L466" s="177"/>
      <c r="M466" s="177"/>
      <c r="N466" s="177"/>
      <c r="O466" s="177"/>
      <c r="P466" s="177"/>
      <c r="Q466" s="177"/>
      <c r="R466" s="177"/>
      <c r="S466" s="177"/>
      <c r="T466" s="177"/>
      <c r="U466" s="177"/>
      <c r="V466" s="177"/>
      <c r="W466" s="177"/>
      <c r="X466" s="177"/>
      <c r="Y466" s="177"/>
      <c r="Z466" s="177"/>
      <c r="AA466" s="177"/>
      <c r="AB466" s="178"/>
      <c r="AC466" s="178"/>
      <c r="AD466" s="178"/>
      <c r="AE466" s="178"/>
      <c r="AF466" s="179"/>
      <c r="AG466" s="179"/>
      <c r="AH466" s="179"/>
      <c r="AI466" s="179"/>
      <c r="AJ466" s="179"/>
      <c r="AK466" s="179"/>
      <c r="AL466" s="179"/>
    </row>
    <row r="467" spans="11:38">
      <c r="K467" s="177"/>
      <c r="L467" s="177"/>
      <c r="M467" s="177"/>
      <c r="N467" s="177"/>
      <c r="O467" s="177"/>
      <c r="P467" s="177"/>
      <c r="Q467" s="177"/>
      <c r="R467" s="177"/>
      <c r="S467" s="177"/>
      <c r="T467" s="177"/>
      <c r="U467" s="177"/>
      <c r="V467" s="177"/>
      <c r="W467" s="177"/>
      <c r="X467" s="177"/>
      <c r="Y467" s="177"/>
      <c r="Z467" s="177"/>
      <c r="AA467" s="177"/>
      <c r="AB467" s="178"/>
      <c r="AC467" s="178"/>
      <c r="AD467" s="178"/>
      <c r="AE467" s="178"/>
      <c r="AF467" s="179"/>
      <c r="AG467" s="179"/>
      <c r="AH467" s="179"/>
      <c r="AI467" s="179"/>
      <c r="AJ467" s="179"/>
      <c r="AK467" s="179"/>
      <c r="AL467" s="179"/>
    </row>
    <row r="468" spans="11:38">
      <c r="K468" s="177"/>
      <c r="L468" s="177"/>
      <c r="M468" s="177"/>
      <c r="N468" s="177"/>
      <c r="O468" s="177"/>
      <c r="P468" s="177"/>
      <c r="Q468" s="177"/>
      <c r="R468" s="177"/>
      <c r="S468" s="177"/>
      <c r="T468" s="177"/>
      <c r="U468" s="177"/>
      <c r="V468" s="177"/>
      <c r="W468" s="177"/>
      <c r="X468" s="177"/>
      <c r="Y468" s="177"/>
      <c r="Z468" s="177"/>
      <c r="AA468" s="177"/>
      <c r="AB468" s="178"/>
      <c r="AC468" s="178"/>
      <c r="AD468" s="178"/>
      <c r="AE468" s="178"/>
      <c r="AF468" s="179"/>
      <c r="AG468" s="179"/>
      <c r="AH468" s="179"/>
      <c r="AI468" s="179"/>
      <c r="AJ468" s="179"/>
      <c r="AK468" s="179"/>
      <c r="AL468" s="179"/>
    </row>
    <row r="469" spans="11:38">
      <c r="K469" s="177"/>
      <c r="L469" s="177"/>
      <c r="M469" s="177"/>
      <c r="N469" s="177"/>
      <c r="O469" s="177"/>
      <c r="P469" s="177"/>
      <c r="Q469" s="177"/>
      <c r="R469" s="177"/>
      <c r="S469" s="177"/>
      <c r="T469" s="177"/>
      <c r="U469" s="177"/>
      <c r="V469" s="177"/>
      <c r="W469" s="177"/>
      <c r="X469" s="177"/>
      <c r="Y469" s="177"/>
      <c r="Z469" s="177"/>
      <c r="AA469" s="177"/>
      <c r="AB469" s="178"/>
      <c r="AC469" s="178"/>
      <c r="AD469" s="178"/>
      <c r="AE469" s="178"/>
      <c r="AF469" s="179"/>
      <c r="AG469" s="179"/>
      <c r="AH469" s="179"/>
      <c r="AI469" s="179"/>
      <c r="AJ469" s="179"/>
      <c r="AK469" s="179"/>
      <c r="AL469" s="179"/>
    </row>
    <row r="470" spans="11:38">
      <c r="K470" s="177"/>
      <c r="L470" s="177"/>
      <c r="M470" s="177"/>
      <c r="N470" s="177"/>
      <c r="O470" s="177"/>
      <c r="P470" s="177"/>
      <c r="Q470" s="177"/>
      <c r="R470" s="177"/>
      <c r="S470" s="177"/>
      <c r="T470" s="177"/>
      <c r="U470" s="177"/>
      <c r="V470" s="177"/>
      <c r="W470" s="177"/>
      <c r="X470" s="177"/>
      <c r="Y470" s="177"/>
      <c r="Z470" s="177"/>
      <c r="AA470" s="177"/>
      <c r="AB470" s="178"/>
      <c r="AC470" s="178"/>
      <c r="AD470" s="178"/>
      <c r="AE470" s="178"/>
      <c r="AF470" s="179"/>
      <c r="AG470" s="179"/>
      <c r="AH470" s="179"/>
      <c r="AI470" s="179"/>
      <c r="AJ470" s="179"/>
      <c r="AK470" s="179"/>
      <c r="AL470" s="179"/>
    </row>
    <row r="471" spans="11:38">
      <c r="K471" s="177"/>
      <c r="L471" s="177"/>
      <c r="M471" s="177"/>
      <c r="N471" s="177"/>
      <c r="O471" s="177"/>
      <c r="P471" s="177"/>
      <c r="Q471" s="177"/>
      <c r="R471" s="177"/>
      <c r="S471" s="177"/>
      <c r="T471" s="177"/>
      <c r="U471" s="177"/>
      <c r="V471" s="177"/>
      <c r="W471" s="177"/>
      <c r="X471" s="177"/>
      <c r="Y471" s="177"/>
      <c r="Z471" s="177"/>
      <c r="AA471" s="177"/>
      <c r="AB471" s="178"/>
      <c r="AC471" s="178"/>
      <c r="AD471" s="178"/>
      <c r="AE471" s="178"/>
      <c r="AF471" s="179"/>
      <c r="AG471" s="179"/>
      <c r="AH471" s="179"/>
      <c r="AI471" s="179"/>
      <c r="AJ471" s="179"/>
      <c r="AK471" s="179"/>
      <c r="AL471" s="179"/>
    </row>
    <row r="472" spans="11:38">
      <c r="K472" s="177"/>
      <c r="L472" s="177"/>
      <c r="M472" s="177"/>
      <c r="N472" s="177"/>
      <c r="O472" s="177"/>
      <c r="P472" s="177"/>
      <c r="Q472" s="177"/>
      <c r="R472" s="177"/>
      <c r="S472" s="177"/>
      <c r="T472" s="177"/>
      <c r="U472" s="177"/>
      <c r="V472" s="177"/>
      <c r="W472" s="177"/>
      <c r="X472" s="177"/>
      <c r="Y472" s="177"/>
      <c r="Z472" s="177"/>
      <c r="AA472" s="177"/>
      <c r="AB472" s="178"/>
      <c r="AC472" s="178"/>
      <c r="AD472" s="178"/>
      <c r="AE472" s="178"/>
      <c r="AF472" s="179"/>
      <c r="AG472" s="179"/>
      <c r="AH472" s="179"/>
      <c r="AI472" s="179"/>
      <c r="AJ472" s="179"/>
      <c r="AK472" s="179"/>
      <c r="AL472" s="179"/>
    </row>
    <row r="473" spans="11:38">
      <c r="K473" s="177"/>
      <c r="L473" s="177"/>
      <c r="M473" s="177"/>
      <c r="N473" s="177"/>
      <c r="O473" s="177"/>
      <c r="P473" s="177"/>
      <c r="Q473" s="177"/>
      <c r="R473" s="177"/>
      <c r="S473" s="177"/>
      <c r="T473" s="177"/>
      <c r="U473" s="177"/>
      <c r="V473" s="177"/>
      <c r="W473" s="177"/>
      <c r="X473" s="177"/>
      <c r="Y473" s="177"/>
      <c r="Z473" s="177"/>
      <c r="AA473" s="177"/>
      <c r="AB473" s="178"/>
      <c r="AC473" s="178"/>
      <c r="AD473" s="178"/>
      <c r="AE473" s="178"/>
      <c r="AF473" s="179"/>
      <c r="AG473" s="179"/>
      <c r="AH473" s="179"/>
      <c r="AI473" s="179"/>
      <c r="AJ473" s="179"/>
      <c r="AK473" s="179"/>
      <c r="AL473" s="179"/>
    </row>
    <row r="474" spans="11:38">
      <c r="K474" s="177"/>
      <c r="L474" s="177"/>
      <c r="M474" s="177"/>
      <c r="N474" s="177"/>
      <c r="O474" s="177"/>
      <c r="P474" s="177"/>
      <c r="Q474" s="177"/>
      <c r="R474" s="177"/>
      <c r="S474" s="177"/>
      <c r="T474" s="177"/>
      <c r="U474" s="177"/>
      <c r="V474" s="177"/>
      <c r="W474" s="177"/>
      <c r="X474" s="177"/>
      <c r="Y474" s="177"/>
      <c r="Z474" s="177"/>
      <c r="AA474" s="177"/>
      <c r="AB474" s="178"/>
      <c r="AC474" s="178"/>
      <c r="AD474" s="178"/>
      <c r="AE474" s="178"/>
      <c r="AF474" s="179"/>
      <c r="AG474" s="179"/>
      <c r="AH474" s="179"/>
      <c r="AI474" s="179"/>
      <c r="AJ474" s="179"/>
      <c r="AK474" s="179"/>
      <c r="AL474" s="179"/>
    </row>
    <row r="475" spans="11:38">
      <c r="K475" s="177"/>
      <c r="L475" s="177"/>
      <c r="M475" s="177"/>
      <c r="N475" s="177"/>
      <c r="O475" s="177"/>
      <c r="P475" s="177"/>
      <c r="Q475" s="177"/>
      <c r="R475" s="177"/>
      <c r="S475" s="177"/>
      <c r="T475" s="177"/>
      <c r="U475" s="177"/>
      <c r="V475" s="177"/>
      <c r="W475" s="177"/>
      <c r="X475" s="177"/>
      <c r="Y475" s="177"/>
      <c r="Z475" s="177"/>
      <c r="AA475" s="177"/>
      <c r="AB475" s="178"/>
      <c r="AC475" s="178"/>
      <c r="AD475" s="178"/>
      <c r="AE475" s="178"/>
      <c r="AF475" s="179"/>
      <c r="AG475" s="179"/>
      <c r="AH475" s="179"/>
      <c r="AI475" s="179"/>
      <c r="AJ475" s="179"/>
      <c r="AK475" s="179"/>
      <c r="AL475" s="179"/>
    </row>
    <row r="476" spans="11:38">
      <c r="K476" s="177"/>
      <c r="L476" s="177"/>
      <c r="M476" s="177"/>
      <c r="N476" s="177"/>
      <c r="O476" s="177"/>
      <c r="P476" s="177"/>
      <c r="Q476" s="177"/>
      <c r="R476" s="177"/>
      <c r="S476" s="177"/>
      <c r="T476" s="177"/>
      <c r="U476" s="177"/>
      <c r="V476" s="177"/>
      <c r="W476" s="177"/>
      <c r="X476" s="177"/>
      <c r="Y476" s="177"/>
      <c r="Z476" s="177"/>
      <c r="AA476" s="177"/>
      <c r="AB476" s="178"/>
      <c r="AC476" s="178"/>
      <c r="AD476" s="178"/>
      <c r="AE476" s="178"/>
      <c r="AF476" s="179"/>
      <c r="AG476" s="179"/>
      <c r="AH476" s="179"/>
      <c r="AI476" s="179"/>
      <c r="AJ476" s="179"/>
      <c r="AK476" s="179"/>
      <c r="AL476" s="179"/>
    </row>
    <row r="477" spans="11:38">
      <c r="K477" s="177"/>
      <c r="L477" s="177"/>
      <c r="M477" s="177"/>
      <c r="N477" s="177"/>
      <c r="O477" s="177"/>
      <c r="P477" s="177"/>
      <c r="Q477" s="177"/>
      <c r="R477" s="177"/>
      <c r="S477" s="177"/>
      <c r="T477" s="177"/>
      <c r="U477" s="177"/>
      <c r="V477" s="177"/>
      <c r="W477" s="177"/>
      <c r="X477" s="177"/>
      <c r="Y477" s="177"/>
      <c r="Z477" s="177"/>
      <c r="AA477" s="177"/>
      <c r="AB477" s="178"/>
      <c r="AC477" s="178"/>
      <c r="AD477" s="178"/>
      <c r="AE477" s="178"/>
      <c r="AF477" s="179"/>
      <c r="AG477" s="179"/>
      <c r="AH477" s="179"/>
      <c r="AI477" s="179"/>
      <c r="AJ477" s="179"/>
      <c r="AK477" s="179"/>
      <c r="AL477" s="179"/>
    </row>
    <row r="478" spans="11:38">
      <c r="K478" s="177"/>
      <c r="L478" s="177"/>
      <c r="M478" s="177"/>
      <c r="N478" s="177"/>
      <c r="O478" s="177"/>
      <c r="P478" s="177"/>
      <c r="Q478" s="177"/>
      <c r="R478" s="177"/>
      <c r="S478" s="177"/>
      <c r="T478" s="177"/>
      <c r="U478" s="177"/>
      <c r="V478" s="177"/>
      <c r="W478" s="177"/>
      <c r="X478" s="177"/>
      <c r="Y478" s="177"/>
      <c r="Z478" s="177"/>
      <c r="AA478" s="177"/>
      <c r="AB478" s="178"/>
      <c r="AC478" s="178"/>
      <c r="AD478" s="178"/>
      <c r="AE478" s="178"/>
      <c r="AF478" s="179"/>
      <c r="AG478" s="179"/>
      <c r="AH478" s="179"/>
      <c r="AI478" s="179"/>
      <c r="AJ478" s="179"/>
      <c r="AK478" s="179"/>
      <c r="AL478" s="179"/>
    </row>
    <row r="479" spans="11:38">
      <c r="K479" s="177"/>
      <c r="L479" s="177"/>
      <c r="M479" s="177"/>
      <c r="N479" s="177"/>
      <c r="O479" s="177"/>
      <c r="P479" s="177"/>
      <c r="Q479" s="177"/>
      <c r="R479" s="177"/>
      <c r="S479" s="177"/>
      <c r="T479" s="177"/>
      <c r="U479" s="177"/>
      <c r="V479" s="177"/>
      <c r="W479" s="177"/>
      <c r="X479" s="177"/>
      <c r="Y479" s="177"/>
      <c r="Z479" s="177"/>
      <c r="AA479" s="177"/>
      <c r="AB479" s="178"/>
      <c r="AC479" s="178"/>
      <c r="AD479" s="178"/>
      <c r="AE479" s="178"/>
      <c r="AF479" s="179"/>
      <c r="AG479" s="179"/>
      <c r="AH479" s="179"/>
      <c r="AI479" s="179"/>
      <c r="AJ479" s="179"/>
      <c r="AK479" s="179"/>
      <c r="AL479" s="179"/>
    </row>
    <row r="480" spans="11:38">
      <c r="K480" s="177"/>
      <c r="L480" s="177"/>
      <c r="M480" s="177"/>
      <c r="N480" s="177"/>
      <c r="O480" s="177"/>
      <c r="P480" s="177"/>
      <c r="Q480" s="177"/>
      <c r="R480" s="177"/>
      <c r="S480" s="177"/>
      <c r="T480" s="177"/>
      <c r="U480" s="177"/>
      <c r="V480" s="177"/>
      <c r="W480" s="177"/>
      <c r="X480" s="177"/>
      <c r="Y480" s="177"/>
      <c r="Z480" s="177"/>
      <c r="AA480" s="177"/>
      <c r="AB480" s="178"/>
      <c r="AC480" s="178"/>
      <c r="AD480" s="178"/>
      <c r="AE480" s="178"/>
      <c r="AF480" s="179"/>
      <c r="AG480" s="179"/>
      <c r="AH480" s="179"/>
      <c r="AI480" s="179"/>
      <c r="AJ480" s="179"/>
      <c r="AK480" s="179"/>
      <c r="AL480" s="179"/>
    </row>
    <row r="481" spans="11:38">
      <c r="K481" s="177"/>
      <c r="L481" s="177"/>
      <c r="M481" s="177"/>
      <c r="N481" s="177"/>
      <c r="O481" s="177"/>
      <c r="P481" s="177"/>
      <c r="Q481" s="177"/>
      <c r="R481" s="177"/>
      <c r="S481" s="177"/>
      <c r="T481" s="177"/>
      <c r="U481" s="177"/>
      <c r="V481" s="177"/>
      <c r="W481" s="177"/>
      <c r="X481" s="177"/>
      <c r="Y481" s="177"/>
      <c r="Z481" s="177"/>
      <c r="AA481" s="177"/>
      <c r="AB481" s="178"/>
      <c r="AC481" s="178"/>
      <c r="AD481" s="178"/>
      <c r="AE481" s="178"/>
      <c r="AF481" s="179"/>
      <c r="AG481" s="179"/>
      <c r="AH481" s="179"/>
      <c r="AI481" s="179"/>
      <c r="AJ481" s="179"/>
      <c r="AK481" s="179"/>
      <c r="AL481" s="179"/>
    </row>
    <row r="482" spans="11:38">
      <c r="K482" s="177"/>
      <c r="L482" s="177"/>
      <c r="M482" s="177"/>
      <c r="N482" s="177"/>
      <c r="O482" s="177"/>
      <c r="P482" s="177"/>
      <c r="Q482" s="177"/>
      <c r="R482" s="177"/>
      <c r="S482" s="177"/>
      <c r="T482" s="177"/>
      <c r="U482" s="177"/>
      <c r="V482" s="177"/>
      <c r="W482" s="177"/>
      <c r="X482" s="177"/>
      <c r="Y482" s="177"/>
      <c r="Z482" s="177"/>
      <c r="AA482" s="177"/>
      <c r="AB482" s="178"/>
      <c r="AC482" s="178"/>
      <c r="AD482" s="178"/>
      <c r="AE482" s="178"/>
      <c r="AF482" s="179"/>
      <c r="AG482" s="179"/>
      <c r="AH482" s="179"/>
      <c r="AI482" s="179"/>
      <c r="AJ482" s="179"/>
      <c r="AK482" s="179"/>
      <c r="AL482" s="179"/>
    </row>
    <row r="483" spans="11:38">
      <c r="K483" s="177"/>
      <c r="L483" s="177"/>
      <c r="M483" s="177"/>
      <c r="N483" s="177"/>
      <c r="O483" s="177"/>
      <c r="P483" s="177"/>
      <c r="Q483" s="177"/>
      <c r="R483" s="177"/>
      <c r="S483" s="177"/>
      <c r="T483" s="177"/>
      <c r="U483" s="177"/>
      <c r="V483" s="177"/>
      <c r="W483" s="177"/>
      <c r="X483" s="177"/>
      <c r="Y483" s="177"/>
      <c r="Z483" s="177"/>
      <c r="AA483" s="177"/>
      <c r="AB483" s="178"/>
      <c r="AC483" s="178"/>
      <c r="AD483" s="178"/>
      <c r="AE483" s="178"/>
      <c r="AF483" s="179"/>
      <c r="AG483" s="179"/>
      <c r="AH483" s="179"/>
      <c r="AI483" s="179"/>
      <c r="AJ483" s="179"/>
      <c r="AK483" s="179"/>
      <c r="AL483" s="179"/>
    </row>
    <row r="484" spans="11:38">
      <c r="K484" s="177"/>
      <c r="L484" s="177"/>
      <c r="M484" s="177"/>
      <c r="N484" s="177"/>
      <c r="O484" s="177"/>
      <c r="P484" s="177"/>
      <c r="Q484" s="177"/>
      <c r="R484" s="177"/>
      <c r="S484" s="177"/>
      <c r="T484" s="177"/>
      <c r="U484" s="177"/>
      <c r="V484" s="177"/>
      <c r="W484" s="177"/>
      <c r="X484" s="177"/>
      <c r="Y484" s="177"/>
      <c r="Z484" s="177"/>
      <c r="AA484" s="177"/>
      <c r="AB484" s="178"/>
      <c r="AC484" s="178"/>
      <c r="AD484" s="178"/>
      <c r="AE484" s="178"/>
      <c r="AF484" s="179"/>
      <c r="AG484" s="179"/>
      <c r="AH484" s="179"/>
      <c r="AI484" s="179"/>
      <c r="AJ484" s="179"/>
      <c r="AK484" s="179"/>
      <c r="AL484" s="179"/>
    </row>
    <row r="485" spans="11:38">
      <c r="K485" s="177"/>
      <c r="L485" s="177"/>
      <c r="M485" s="177"/>
      <c r="N485" s="177"/>
      <c r="O485" s="177"/>
      <c r="P485" s="177"/>
      <c r="Q485" s="177"/>
      <c r="R485" s="177"/>
      <c r="S485" s="177"/>
      <c r="T485" s="177"/>
      <c r="U485" s="177"/>
      <c r="V485" s="177"/>
      <c r="W485" s="177"/>
      <c r="X485" s="177"/>
      <c r="Y485" s="177"/>
      <c r="Z485" s="177"/>
      <c r="AA485" s="177"/>
      <c r="AB485" s="178"/>
      <c r="AC485" s="178"/>
      <c r="AD485" s="178"/>
      <c r="AE485" s="178"/>
      <c r="AF485" s="179"/>
      <c r="AG485" s="179"/>
      <c r="AH485" s="179"/>
      <c r="AI485" s="179"/>
      <c r="AJ485" s="179"/>
      <c r="AK485" s="179"/>
      <c r="AL485" s="179"/>
    </row>
    <row r="486" spans="11:38">
      <c r="K486" s="177"/>
      <c r="L486" s="177"/>
      <c r="M486" s="177"/>
      <c r="N486" s="177"/>
      <c r="O486" s="177"/>
      <c r="P486" s="177"/>
      <c r="Q486" s="177"/>
      <c r="R486" s="177"/>
      <c r="S486" s="177"/>
      <c r="T486" s="177"/>
      <c r="U486" s="177"/>
      <c r="V486" s="177"/>
      <c r="W486" s="177"/>
      <c r="X486" s="177"/>
      <c r="Y486" s="177"/>
      <c r="Z486" s="177"/>
      <c r="AA486" s="177"/>
      <c r="AB486" s="178"/>
      <c r="AC486" s="178"/>
      <c r="AD486" s="178"/>
      <c r="AE486" s="178"/>
      <c r="AF486" s="179"/>
      <c r="AG486" s="179"/>
      <c r="AH486" s="179"/>
      <c r="AI486" s="179"/>
      <c r="AJ486" s="179"/>
      <c r="AK486" s="179"/>
      <c r="AL486" s="179"/>
    </row>
    <row r="487" spans="11:38">
      <c r="K487" s="177"/>
      <c r="L487" s="177"/>
      <c r="M487" s="177"/>
      <c r="N487" s="177"/>
      <c r="O487" s="177"/>
      <c r="P487" s="177"/>
      <c r="Q487" s="177"/>
      <c r="R487" s="177"/>
      <c r="S487" s="177"/>
      <c r="T487" s="177"/>
      <c r="U487" s="177"/>
      <c r="V487" s="177"/>
      <c r="W487" s="177"/>
      <c r="X487" s="177"/>
      <c r="Y487" s="177"/>
      <c r="Z487" s="177"/>
      <c r="AA487" s="177"/>
      <c r="AB487" s="178"/>
      <c r="AC487" s="178"/>
      <c r="AD487" s="178"/>
      <c r="AE487" s="178"/>
      <c r="AF487" s="179"/>
      <c r="AG487" s="179"/>
      <c r="AH487" s="179"/>
      <c r="AI487" s="179"/>
      <c r="AJ487" s="179"/>
      <c r="AK487" s="179"/>
      <c r="AL487" s="179"/>
    </row>
    <row r="488" spans="11:38">
      <c r="K488" s="177"/>
      <c r="L488" s="177"/>
      <c r="M488" s="177"/>
      <c r="N488" s="177"/>
      <c r="O488" s="177"/>
      <c r="P488" s="177"/>
      <c r="Q488" s="177"/>
      <c r="R488" s="177"/>
      <c r="S488" s="177"/>
      <c r="T488" s="177"/>
      <c r="U488" s="177"/>
      <c r="V488" s="177"/>
      <c r="W488" s="177"/>
      <c r="X488" s="177"/>
      <c r="Y488" s="177"/>
      <c r="Z488" s="177"/>
      <c r="AA488" s="177"/>
      <c r="AB488" s="178"/>
      <c r="AC488" s="178"/>
      <c r="AD488" s="178"/>
      <c r="AE488" s="178"/>
      <c r="AF488" s="179"/>
      <c r="AG488" s="179"/>
      <c r="AH488" s="179"/>
      <c r="AI488" s="179"/>
      <c r="AJ488" s="179"/>
      <c r="AK488" s="179"/>
      <c r="AL488" s="179"/>
    </row>
    <row r="489" spans="11:38">
      <c r="K489" s="177"/>
      <c r="L489" s="177"/>
      <c r="M489" s="177"/>
      <c r="N489" s="177"/>
      <c r="O489" s="177"/>
      <c r="P489" s="177"/>
      <c r="Q489" s="177"/>
      <c r="R489" s="177"/>
      <c r="S489" s="177"/>
      <c r="T489" s="177"/>
      <c r="U489" s="177"/>
      <c r="V489" s="177"/>
      <c r="W489" s="177"/>
      <c r="X489" s="177"/>
      <c r="Y489" s="177"/>
      <c r="Z489" s="177"/>
      <c r="AA489" s="177"/>
      <c r="AB489" s="178"/>
      <c r="AC489" s="178"/>
      <c r="AD489" s="178"/>
      <c r="AE489" s="178"/>
      <c r="AF489" s="179"/>
      <c r="AG489" s="179"/>
      <c r="AH489" s="179"/>
      <c r="AI489" s="179"/>
      <c r="AJ489" s="179"/>
      <c r="AK489" s="179"/>
      <c r="AL489" s="179"/>
    </row>
    <row r="490" spans="11:38">
      <c r="K490" s="177"/>
      <c r="L490" s="177"/>
      <c r="M490" s="177"/>
      <c r="N490" s="177"/>
      <c r="O490" s="177"/>
      <c r="P490" s="177"/>
      <c r="Q490" s="177"/>
      <c r="R490" s="177"/>
      <c r="S490" s="177"/>
      <c r="T490" s="177"/>
      <c r="U490" s="177"/>
      <c r="V490" s="177"/>
      <c r="W490" s="177"/>
      <c r="X490" s="177"/>
      <c r="Y490" s="177"/>
      <c r="Z490" s="177"/>
      <c r="AA490" s="177"/>
      <c r="AB490" s="178"/>
      <c r="AC490" s="178"/>
      <c r="AD490" s="178"/>
      <c r="AE490" s="178"/>
      <c r="AF490" s="179"/>
      <c r="AG490" s="179"/>
      <c r="AH490" s="179"/>
      <c r="AI490" s="179"/>
      <c r="AJ490" s="179"/>
      <c r="AK490" s="179"/>
      <c r="AL490" s="179"/>
    </row>
    <row r="491" spans="11:38">
      <c r="K491" s="177"/>
      <c r="L491" s="177"/>
      <c r="M491" s="177"/>
      <c r="N491" s="177"/>
      <c r="O491" s="177"/>
      <c r="P491" s="177"/>
      <c r="Q491" s="177"/>
      <c r="R491" s="177"/>
      <c r="S491" s="177"/>
      <c r="T491" s="177"/>
      <c r="U491" s="177"/>
      <c r="V491" s="177"/>
      <c r="W491" s="177"/>
      <c r="X491" s="177"/>
      <c r="Y491" s="177"/>
      <c r="Z491" s="177"/>
      <c r="AA491" s="177"/>
      <c r="AB491" s="178"/>
      <c r="AC491" s="178"/>
      <c r="AD491" s="178"/>
      <c r="AE491" s="178"/>
      <c r="AF491" s="179"/>
      <c r="AG491" s="179"/>
      <c r="AH491" s="179"/>
      <c r="AI491" s="179"/>
      <c r="AJ491" s="179"/>
      <c r="AK491" s="179"/>
      <c r="AL491" s="179"/>
    </row>
    <row r="492" spans="11:38">
      <c r="K492" s="177"/>
      <c r="L492" s="177"/>
      <c r="M492" s="177"/>
      <c r="N492" s="177"/>
      <c r="O492" s="177"/>
      <c r="P492" s="177"/>
      <c r="Q492" s="177"/>
      <c r="R492" s="177"/>
      <c r="S492" s="177"/>
      <c r="T492" s="177"/>
      <c r="U492" s="177"/>
      <c r="V492" s="177"/>
      <c r="W492" s="177"/>
      <c r="X492" s="177"/>
      <c r="Y492" s="177"/>
      <c r="Z492" s="177"/>
      <c r="AA492" s="177"/>
      <c r="AB492" s="178"/>
      <c r="AC492" s="178"/>
      <c r="AD492" s="178"/>
      <c r="AE492" s="178"/>
      <c r="AF492" s="179"/>
      <c r="AG492" s="179"/>
      <c r="AH492" s="179"/>
      <c r="AI492" s="179"/>
      <c r="AJ492" s="179"/>
      <c r="AK492" s="179"/>
      <c r="AL492" s="179"/>
    </row>
    <row r="493" spans="11:38">
      <c r="K493" s="177"/>
      <c r="L493" s="177"/>
      <c r="M493" s="177"/>
      <c r="N493" s="177"/>
      <c r="O493" s="177"/>
      <c r="P493" s="177"/>
      <c r="Q493" s="177"/>
      <c r="R493" s="177"/>
      <c r="S493" s="177"/>
      <c r="T493" s="177"/>
      <c r="U493" s="177"/>
      <c r="V493" s="177"/>
      <c r="W493" s="177"/>
      <c r="X493" s="177"/>
      <c r="Y493" s="177"/>
      <c r="Z493" s="177"/>
      <c r="AA493" s="177"/>
      <c r="AB493" s="178"/>
      <c r="AC493" s="178"/>
      <c r="AD493" s="178"/>
      <c r="AE493" s="178"/>
      <c r="AF493" s="179"/>
      <c r="AG493" s="179"/>
      <c r="AH493" s="179"/>
      <c r="AI493" s="179"/>
      <c r="AJ493" s="179"/>
      <c r="AK493" s="179"/>
      <c r="AL493" s="179"/>
    </row>
    <row r="494" spans="11:38">
      <c r="K494" s="177"/>
      <c r="L494" s="177"/>
      <c r="M494" s="177"/>
      <c r="N494" s="177"/>
      <c r="O494" s="177"/>
      <c r="P494" s="177"/>
      <c r="Q494" s="177"/>
      <c r="R494" s="177"/>
      <c r="S494" s="177"/>
      <c r="T494" s="177"/>
      <c r="U494" s="177"/>
      <c r="V494" s="177"/>
      <c r="W494" s="177"/>
      <c r="X494" s="177"/>
      <c r="Y494" s="177"/>
      <c r="Z494" s="177"/>
      <c r="AA494" s="177"/>
      <c r="AB494" s="178"/>
      <c r="AC494" s="178"/>
      <c r="AD494" s="178"/>
      <c r="AE494" s="178"/>
      <c r="AF494" s="179"/>
      <c r="AG494" s="179"/>
      <c r="AH494" s="179"/>
      <c r="AI494" s="179"/>
      <c r="AJ494" s="179"/>
      <c r="AK494" s="179"/>
      <c r="AL494" s="179"/>
    </row>
    <row r="495" spans="11:38">
      <c r="K495" s="177"/>
      <c r="L495" s="177"/>
      <c r="M495" s="177"/>
      <c r="N495" s="177"/>
      <c r="O495" s="177"/>
      <c r="P495" s="177"/>
      <c r="Q495" s="177"/>
      <c r="R495" s="177"/>
      <c r="S495" s="177"/>
      <c r="T495" s="177"/>
      <c r="U495" s="177"/>
      <c r="V495" s="177"/>
      <c r="W495" s="177"/>
      <c r="X495" s="177"/>
      <c r="Y495" s="177"/>
      <c r="Z495" s="177"/>
      <c r="AA495" s="177"/>
      <c r="AB495" s="178"/>
      <c r="AC495" s="178"/>
      <c r="AD495" s="178"/>
      <c r="AE495" s="178"/>
      <c r="AF495" s="179"/>
      <c r="AG495" s="179"/>
      <c r="AH495" s="179"/>
      <c r="AI495" s="179"/>
      <c r="AJ495" s="179"/>
      <c r="AK495" s="179"/>
      <c r="AL495" s="179"/>
    </row>
    <row r="496" spans="11:38">
      <c r="K496" s="177"/>
      <c r="L496" s="177"/>
      <c r="M496" s="177"/>
      <c r="N496" s="177"/>
      <c r="O496" s="177"/>
      <c r="P496" s="177"/>
      <c r="Q496" s="177"/>
      <c r="R496" s="177"/>
      <c r="S496" s="177"/>
      <c r="T496" s="177"/>
      <c r="U496" s="177"/>
      <c r="V496" s="177"/>
      <c r="W496" s="177"/>
      <c r="X496" s="177"/>
      <c r="Y496" s="177"/>
      <c r="Z496" s="177"/>
      <c r="AA496" s="177"/>
      <c r="AB496" s="178"/>
      <c r="AC496" s="178"/>
      <c r="AD496" s="178"/>
      <c r="AE496" s="178"/>
      <c r="AF496" s="179"/>
      <c r="AG496" s="179"/>
      <c r="AH496" s="179"/>
      <c r="AI496" s="179"/>
      <c r="AJ496" s="179"/>
      <c r="AK496" s="179"/>
      <c r="AL496" s="179"/>
    </row>
    <row r="497" spans="11:38">
      <c r="K497" s="177"/>
      <c r="L497" s="177"/>
      <c r="M497" s="177"/>
      <c r="N497" s="177"/>
      <c r="O497" s="177"/>
      <c r="P497" s="177"/>
      <c r="Q497" s="177"/>
      <c r="R497" s="177"/>
      <c r="S497" s="177"/>
      <c r="T497" s="177"/>
      <c r="U497" s="177"/>
      <c r="V497" s="177"/>
      <c r="W497" s="177"/>
      <c r="X497" s="177"/>
      <c r="Y497" s="177"/>
      <c r="Z497" s="177"/>
      <c r="AA497" s="177"/>
      <c r="AB497" s="178"/>
      <c r="AC497" s="178"/>
      <c r="AD497" s="178"/>
      <c r="AE497" s="178"/>
      <c r="AF497" s="179"/>
      <c r="AG497" s="179"/>
      <c r="AH497" s="179"/>
      <c r="AI497" s="179"/>
      <c r="AJ497" s="179"/>
      <c r="AK497" s="179"/>
      <c r="AL497" s="179"/>
    </row>
    <row r="498" spans="11:38">
      <c r="K498" s="177"/>
      <c r="L498" s="177"/>
      <c r="M498" s="177"/>
      <c r="N498" s="177"/>
      <c r="O498" s="177"/>
      <c r="P498" s="177"/>
      <c r="Q498" s="177"/>
      <c r="R498" s="177"/>
      <c r="S498" s="177"/>
      <c r="T498" s="177"/>
      <c r="U498" s="177"/>
      <c r="V498" s="177"/>
      <c r="W498" s="177"/>
      <c r="X498" s="177"/>
      <c r="Y498" s="177"/>
      <c r="Z498" s="177"/>
      <c r="AA498" s="177"/>
      <c r="AB498" s="178"/>
      <c r="AC498" s="178"/>
      <c r="AD498" s="178"/>
      <c r="AE498" s="178"/>
      <c r="AF498" s="179"/>
      <c r="AG498" s="179"/>
      <c r="AH498" s="179"/>
      <c r="AI498" s="179"/>
      <c r="AJ498" s="179"/>
      <c r="AK498" s="179"/>
      <c r="AL498" s="179"/>
    </row>
    <row r="499" spans="11:38">
      <c r="K499" s="177"/>
      <c r="L499" s="177"/>
      <c r="M499" s="177"/>
      <c r="N499" s="177"/>
      <c r="O499" s="177"/>
      <c r="P499" s="177"/>
      <c r="Q499" s="177"/>
      <c r="R499" s="177"/>
      <c r="S499" s="177"/>
      <c r="T499" s="177"/>
      <c r="U499" s="177"/>
      <c r="V499" s="177"/>
      <c r="W499" s="177"/>
      <c r="X499" s="177"/>
      <c r="Y499" s="177"/>
      <c r="Z499" s="177"/>
      <c r="AA499" s="177"/>
      <c r="AB499" s="178"/>
      <c r="AC499" s="178"/>
      <c r="AD499" s="178"/>
      <c r="AE499" s="178"/>
      <c r="AF499" s="179"/>
      <c r="AG499" s="179"/>
      <c r="AH499" s="179"/>
      <c r="AI499" s="179"/>
      <c r="AJ499" s="179"/>
      <c r="AK499" s="179"/>
      <c r="AL499" s="179"/>
    </row>
    <row r="500" spans="11:38">
      <c r="K500" s="177"/>
      <c r="L500" s="177"/>
      <c r="M500" s="177"/>
      <c r="N500" s="177"/>
      <c r="O500" s="177"/>
      <c r="P500" s="177"/>
      <c r="Q500" s="177"/>
      <c r="R500" s="177"/>
      <c r="S500" s="177"/>
      <c r="T500" s="177"/>
      <c r="U500" s="177"/>
      <c r="V500" s="177"/>
      <c r="W500" s="177"/>
      <c r="X500" s="177"/>
      <c r="Y500" s="177"/>
      <c r="Z500" s="177"/>
      <c r="AA500" s="177"/>
      <c r="AB500" s="178"/>
      <c r="AC500" s="178"/>
      <c r="AD500" s="178"/>
      <c r="AE500" s="178"/>
      <c r="AF500" s="179"/>
      <c r="AG500" s="179"/>
      <c r="AH500" s="179"/>
      <c r="AI500" s="179"/>
      <c r="AJ500" s="179"/>
      <c r="AK500" s="179"/>
      <c r="AL500" s="179"/>
    </row>
    <row r="501" spans="11:38">
      <c r="K501" s="177"/>
      <c r="L501" s="177"/>
      <c r="M501" s="177"/>
      <c r="N501" s="177"/>
      <c r="O501" s="177"/>
      <c r="P501" s="177"/>
      <c r="Q501" s="177"/>
      <c r="R501" s="177"/>
      <c r="S501" s="177"/>
      <c r="T501" s="177"/>
      <c r="U501" s="177"/>
      <c r="V501" s="177"/>
      <c r="W501" s="177"/>
      <c r="X501" s="177"/>
      <c r="Y501" s="177"/>
      <c r="Z501" s="177"/>
      <c r="AA501" s="177"/>
      <c r="AB501" s="178"/>
      <c r="AC501" s="178"/>
      <c r="AD501" s="178"/>
      <c r="AE501" s="178"/>
      <c r="AF501" s="179"/>
      <c r="AG501" s="179"/>
      <c r="AH501" s="179"/>
      <c r="AI501" s="179"/>
      <c r="AJ501" s="179"/>
      <c r="AK501" s="179"/>
      <c r="AL501" s="179"/>
    </row>
    <row r="502" spans="11:38">
      <c r="K502" s="177"/>
      <c r="L502" s="177"/>
      <c r="M502" s="177"/>
      <c r="N502" s="177"/>
      <c r="O502" s="177"/>
      <c r="P502" s="177"/>
      <c r="Q502" s="177"/>
      <c r="R502" s="177"/>
      <c r="S502" s="177"/>
      <c r="T502" s="177"/>
      <c r="U502" s="177"/>
      <c r="V502" s="177"/>
      <c r="W502" s="177"/>
      <c r="X502" s="177"/>
      <c r="Y502" s="177"/>
      <c r="Z502" s="177"/>
      <c r="AA502" s="177"/>
      <c r="AB502" s="178"/>
      <c r="AC502" s="178"/>
      <c r="AD502" s="178"/>
      <c r="AE502" s="178"/>
      <c r="AF502" s="179"/>
      <c r="AG502" s="179"/>
      <c r="AH502" s="179"/>
      <c r="AI502" s="179"/>
      <c r="AJ502" s="179"/>
      <c r="AK502" s="179"/>
      <c r="AL502" s="179"/>
    </row>
    <row r="503" spans="11:38">
      <c r="K503" s="177"/>
      <c r="L503" s="177"/>
      <c r="M503" s="177"/>
      <c r="N503" s="177"/>
      <c r="O503" s="177"/>
      <c r="P503" s="177"/>
      <c r="Q503" s="177"/>
      <c r="R503" s="177"/>
      <c r="S503" s="177"/>
      <c r="T503" s="177"/>
      <c r="U503" s="177"/>
      <c r="V503" s="177"/>
      <c r="W503" s="177"/>
      <c r="X503" s="177"/>
      <c r="Y503" s="177"/>
      <c r="Z503" s="177"/>
      <c r="AA503" s="177"/>
      <c r="AB503" s="178"/>
      <c r="AC503" s="178"/>
      <c r="AD503" s="178"/>
      <c r="AE503" s="178"/>
      <c r="AF503" s="179"/>
      <c r="AG503" s="179"/>
      <c r="AH503" s="179"/>
      <c r="AI503" s="179"/>
      <c r="AJ503" s="179"/>
      <c r="AK503" s="179"/>
      <c r="AL503" s="179"/>
    </row>
    <row r="504" spans="11:38">
      <c r="K504" s="177"/>
      <c r="L504" s="177"/>
      <c r="M504" s="177"/>
      <c r="N504" s="177"/>
      <c r="O504" s="177"/>
      <c r="P504" s="177"/>
      <c r="Q504" s="177"/>
      <c r="R504" s="177"/>
      <c r="S504" s="177"/>
      <c r="T504" s="177"/>
      <c r="U504" s="177"/>
      <c r="V504" s="177"/>
      <c r="W504" s="177"/>
      <c r="X504" s="177"/>
      <c r="Y504" s="177"/>
      <c r="Z504" s="177"/>
      <c r="AA504" s="177"/>
      <c r="AB504" s="178"/>
      <c r="AC504" s="178"/>
      <c r="AD504" s="178"/>
      <c r="AE504" s="178"/>
      <c r="AF504" s="179"/>
      <c r="AG504" s="179"/>
      <c r="AH504" s="179"/>
      <c r="AI504" s="179"/>
      <c r="AJ504" s="179"/>
      <c r="AK504" s="179"/>
      <c r="AL504" s="179"/>
    </row>
    <row r="505" spans="11:38">
      <c r="K505" s="177"/>
      <c r="L505" s="177"/>
      <c r="M505" s="177"/>
      <c r="N505" s="177"/>
      <c r="O505" s="177"/>
      <c r="P505" s="177"/>
      <c r="Q505" s="177"/>
      <c r="R505" s="177"/>
      <c r="S505" s="177"/>
      <c r="T505" s="177"/>
      <c r="U505" s="177"/>
      <c r="V505" s="177"/>
      <c r="W505" s="177"/>
      <c r="X505" s="177"/>
      <c r="Y505" s="177"/>
      <c r="Z505" s="177"/>
      <c r="AA505" s="177"/>
      <c r="AB505" s="178"/>
      <c r="AC505" s="178"/>
      <c r="AD505" s="178"/>
      <c r="AE505" s="178"/>
      <c r="AF505" s="179"/>
      <c r="AG505" s="179"/>
      <c r="AH505" s="179"/>
      <c r="AI505" s="179"/>
      <c r="AJ505" s="179"/>
      <c r="AK505" s="179"/>
      <c r="AL505" s="179"/>
    </row>
    <row r="506" spans="11:38">
      <c r="K506" s="177"/>
      <c r="L506" s="177"/>
      <c r="M506" s="177"/>
      <c r="N506" s="177"/>
      <c r="O506" s="177"/>
      <c r="P506" s="177"/>
      <c r="Q506" s="177"/>
      <c r="R506" s="177"/>
      <c r="S506" s="177"/>
      <c r="T506" s="177"/>
      <c r="U506" s="177"/>
      <c r="V506" s="177"/>
      <c r="W506" s="177"/>
      <c r="X506" s="177"/>
      <c r="Y506" s="177"/>
      <c r="Z506" s="177"/>
      <c r="AA506" s="177"/>
      <c r="AB506" s="178"/>
      <c r="AC506" s="178"/>
      <c r="AD506" s="178"/>
      <c r="AE506" s="178"/>
      <c r="AF506" s="179"/>
      <c r="AG506" s="179"/>
      <c r="AH506" s="179"/>
      <c r="AI506" s="179"/>
      <c r="AJ506" s="179"/>
      <c r="AK506" s="179"/>
      <c r="AL506" s="179"/>
    </row>
    <row r="507" spans="11:38">
      <c r="K507" s="177"/>
      <c r="L507" s="177"/>
      <c r="M507" s="177"/>
      <c r="N507" s="177"/>
      <c r="O507" s="177"/>
      <c r="P507" s="177"/>
      <c r="Q507" s="177"/>
      <c r="R507" s="177"/>
      <c r="S507" s="177"/>
      <c r="T507" s="177"/>
      <c r="U507" s="177"/>
      <c r="V507" s="177"/>
      <c r="W507" s="177"/>
      <c r="X507" s="177"/>
      <c r="Y507" s="177"/>
      <c r="Z507" s="177"/>
      <c r="AA507" s="177"/>
      <c r="AB507" s="178"/>
      <c r="AC507" s="178"/>
      <c r="AD507" s="178"/>
      <c r="AE507" s="178"/>
      <c r="AF507" s="179"/>
      <c r="AG507" s="179"/>
      <c r="AH507" s="179"/>
      <c r="AI507" s="179"/>
      <c r="AJ507" s="179"/>
      <c r="AK507" s="179"/>
      <c r="AL507" s="179"/>
    </row>
    <row r="508" spans="11:38">
      <c r="K508" s="177"/>
      <c r="L508" s="177"/>
      <c r="M508" s="177"/>
      <c r="N508" s="177"/>
      <c r="O508" s="177"/>
      <c r="P508" s="177"/>
      <c r="Q508" s="177"/>
      <c r="R508" s="177"/>
      <c r="S508" s="177"/>
      <c r="T508" s="177"/>
      <c r="U508" s="177"/>
      <c r="V508" s="177"/>
      <c r="W508" s="177"/>
      <c r="X508" s="177"/>
      <c r="Y508" s="177"/>
      <c r="Z508" s="177"/>
      <c r="AA508" s="177"/>
      <c r="AB508" s="178"/>
      <c r="AC508" s="178"/>
      <c r="AD508" s="178"/>
      <c r="AE508" s="178"/>
      <c r="AF508" s="179"/>
      <c r="AG508" s="179"/>
      <c r="AH508" s="179"/>
      <c r="AI508" s="179"/>
      <c r="AJ508" s="179"/>
      <c r="AK508" s="179"/>
      <c r="AL508" s="179"/>
    </row>
    <row r="509" spans="11:38">
      <c r="K509" s="177"/>
      <c r="L509" s="177"/>
      <c r="M509" s="177"/>
      <c r="N509" s="177"/>
      <c r="O509" s="177"/>
      <c r="P509" s="177"/>
      <c r="Q509" s="177"/>
      <c r="R509" s="177"/>
      <c r="S509" s="177"/>
      <c r="T509" s="177"/>
      <c r="U509" s="177"/>
      <c r="V509" s="177"/>
      <c r="W509" s="177"/>
      <c r="X509" s="177"/>
      <c r="Y509" s="177"/>
      <c r="Z509" s="177"/>
      <c r="AA509" s="177"/>
      <c r="AB509" s="178"/>
      <c r="AC509" s="178"/>
      <c r="AD509" s="178"/>
      <c r="AE509" s="178"/>
      <c r="AF509" s="179"/>
      <c r="AG509" s="179"/>
      <c r="AH509" s="179"/>
      <c r="AI509" s="179"/>
      <c r="AJ509" s="179"/>
      <c r="AK509" s="179"/>
      <c r="AL509" s="179"/>
    </row>
    <row r="510" spans="11:38">
      <c r="K510" s="177"/>
      <c r="L510" s="177"/>
      <c r="M510" s="177"/>
      <c r="N510" s="177"/>
      <c r="O510" s="177"/>
      <c r="P510" s="177"/>
      <c r="Q510" s="177"/>
      <c r="R510" s="177"/>
      <c r="S510" s="177"/>
      <c r="T510" s="177"/>
      <c r="U510" s="177"/>
      <c r="V510" s="177"/>
      <c r="W510" s="177"/>
      <c r="X510" s="177"/>
      <c r="Y510" s="177"/>
      <c r="Z510" s="177"/>
      <c r="AA510" s="177"/>
      <c r="AB510" s="178"/>
      <c r="AC510" s="178"/>
      <c r="AD510" s="178"/>
      <c r="AE510" s="178"/>
      <c r="AF510" s="179"/>
      <c r="AG510" s="179"/>
      <c r="AH510" s="179"/>
      <c r="AI510" s="179"/>
      <c r="AJ510" s="179"/>
      <c r="AK510" s="179"/>
      <c r="AL510" s="179"/>
    </row>
    <row r="511" spans="11:38">
      <c r="K511" s="177"/>
      <c r="L511" s="177"/>
      <c r="M511" s="177"/>
      <c r="N511" s="177"/>
      <c r="O511" s="177"/>
      <c r="P511" s="177"/>
      <c r="Q511" s="177"/>
      <c r="R511" s="177"/>
      <c r="S511" s="177"/>
      <c r="T511" s="177"/>
      <c r="U511" s="177"/>
      <c r="V511" s="177"/>
      <c r="W511" s="177"/>
      <c r="X511" s="177"/>
      <c r="Y511" s="177"/>
      <c r="Z511" s="177"/>
      <c r="AA511" s="177"/>
      <c r="AB511" s="178"/>
      <c r="AC511" s="178"/>
      <c r="AD511" s="178"/>
      <c r="AE511" s="178"/>
      <c r="AF511" s="179"/>
      <c r="AG511" s="179"/>
      <c r="AH511" s="179"/>
      <c r="AI511" s="179"/>
      <c r="AJ511" s="179"/>
      <c r="AK511" s="179"/>
      <c r="AL511" s="179"/>
    </row>
    <row r="512" spans="11:38">
      <c r="K512" s="177"/>
      <c r="L512" s="177"/>
      <c r="M512" s="177"/>
      <c r="N512" s="177"/>
      <c r="O512" s="177"/>
      <c r="P512" s="177"/>
      <c r="Q512" s="177"/>
      <c r="R512" s="177"/>
      <c r="S512" s="177"/>
      <c r="T512" s="177"/>
      <c r="U512" s="177"/>
      <c r="V512" s="177"/>
      <c r="W512" s="177"/>
      <c r="X512" s="177"/>
      <c r="Y512" s="177"/>
      <c r="Z512" s="177"/>
      <c r="AA512" s="177"/>
      <c r="AB512" s="178"/>
      <c r="AC512" s="178"/>
      <c r="AD512" s="178"/>
      <c r="AE512" s="178"/>
      <c r="AF512" s="179"/>
      <c r="AG512" s="179"/>
      <c r="AH512" s="179"/>
      <c r="AI512" s="179"/>
      <c r="AJ512" s="179"/>
      <c r="AK512" s="179"/>
      <c r="AL512" s="179"/>
    </row>
    <row r="513" spans="11:38">
      <c r="K513" s="177"/>
      <c r="L513" s="177"/>
      <c r="M513" s="177"/>
      <c r="N513" s="177"/>
      <c r="O513" s="177"/>
      <c r="P513" s="177"/>
      <c r="Q513" s="177"/>
      <c r="R513" s="177"/>
      <c r="S513" s="177"/>
      <c r="T513" s="177"/>
      <c r="U513" s="177"/>
      <c r="V513" s="177"/>
      <c r="W513" s="177"/>
      <c r="X513" s="177"/>
      <c r="Y513" s="177"/>
      <c r="Z513" s="177"/>
      <c r="AA513" s="177"/>
      <c r="AB513" s="178"/>
      <c r="AC513" s="178"/>
      <c r="AD513" s="178"/>
      <c r="AE513" s="178"/>
      <c r="AF513" s="179"/>
      <c r="AG513" s="179"/>
      <c r="AH513" s="179"/>
      <c r="AI513" s="179"/>
      <c r="AJ513" s="179"/>
      <c r="AK513" s="179"/>
      <c r="AL513" s="179"/>
    </row>
    <row r="514" spans="11:38">
      <c r="K514" s="177"/>
      <c r="L514" s="177"/>
      <c r="M514" s="177"/>
      <c r="N514" s="177"/>
      <c r="O514" s="177"/>
      <c r="P514" s="177"/>
      <c r="Q514" s="177"/>
      <c r="R514" s="177"/>
      <c r="S514" s="177"/>
      <c r="T514" s="177"/>
      <c r="U514" s="177"/>
      <c r="V514" s="177"/>
      <c r="W514" s="177"/>
      <c r="X514" s="177"/>
      <c r="Y514" s="177"/>
      <c r="Z514" s="177"/>
      <c r="AA514" s="177"/>
      <c r="AB514" s="178"/>
      <c r="AC514" s="178"/>
      <c r="AD514" s="178"/>
      <c r="AE514" s="178"/>
      <c r="AF514" s="179"/>
      <c r="AG514" s="179"/>
      <c r="AH514" s="179"/>
      <c r="AI514" s="179"/>
      <c r="AJ514" s="179"/>
      <c r="AK514" s="179"/>
      <c r="AL514" s="179"/>
    </row>
    <row r="515" spans="11:38">
      <c r="K515" s="177"/>
      <c r="L515" s="177"/>
      <c r="M515" s="177"/>
      <c r="N515" s="177"/>
      <c r="O515" s="177"/>
      <c r="P515" s="177"/>
      <c r="Q515" s="177"/>
      <c r="R515" s="177"/>
      <c r="S515" s="177"/>
      <c r="T515" s="177"/>
      <c r="U515" s="177"/>
      <c r="V515" s="177"/>
      <c r="W515" s="177"/>
      <c r="X515" s="177"/>
      <c r="Y515" s="177"/>
      <c r="Z515" s="177"/>
      <c r="AA515" s="177"/>
      <c r="AB515" s="178"/>
      <c r="AC515" s="178"/>
      <c r="AD515" s="178"/>
      <c r="AE515" s="178"/>
      <c r="AF515" s="179"/>
      <c r="AG515" s="179"/>
      <c r="AH515" s="179"/>
      <c r="AI515" s="179"/>
      <c r="AJ515" s="179"/>
      <c r="AK515" s="179"/>
      <c r="AL515" s="179"/>
    </row>
    <row r="516" spans="11:38">
      <c r="K516" s="177"/>
      <c r="L516" s="177"/>
      <c r="M516" s="177"/>
      <c r="N516" s="177"/>
      <c r="O516" s="177"/>
      <c r="P516" s="177"/>
      <c r="Q516" s="177"/>
      <c r="R516" s="177"/>
      <c r="S516" s="177"/>
      <c r="T516" s="177"/>
      <c r="U516" s="177"/>
      <c r="V516" s="177"/>
      <c r="W516" s="177"/>
      <c r="X516" s="177"/>
      <c r="Y516" s="177"/>
      <c r="Z516" s="177"/>
      <c r="AA516" s="177"/>
      <c r="AB516" s="178"/>
      <c r="AC516" s="178"/>
      <c r="AD516" s="178"/>
      <c r="AE516" s="178"/>
      <c r="AF516" s="179"/>
      <c r="AG516" s="179"/>
      <c r="AH516" s="179"/>
      <c r="AI516" s="179"/>
      <c r="AJ516" s="179"/>
      <c r="AK516" s="179"/>
      <c r="AL516" s="179"/>
    </row>
    <row r="517" spans="11:38">
      <c r="K517" s="177"/>
      <c r="L517" s="177"/>
      <c r="M517" s="177"/>
      <c r="N517" s="177"/>
      <c r="O517" s="177"/>
      <c r="P517" s="177"/>
      <c r="Q517" s="177"/>
      <c r="R517" s="177"/>
      <c r="S517" s="177"/>
      <c r="T517" s="177"/>
      <c r="U517" s="177"/>
      <c r="V517" s="177"/>
      <c r="W517" s="177"/>
      <c r="X517" s="177"/>
      <c r="Y517" s="177"/>
      <c r="Z517" s="177"/>
      <c r="AA517" s="177"/>
      <c r="AB517" s="178"/>
      <c r="AC517" s="178"/>
      <c r="AD517" s="178"/>
      <c r="AE517" s="178"/>
      <c r="AF517" s="179"/>
      <c r="AG517" s="179"/>
      <c r="AH517" s="179"/>
      <c r="AI517" s="179"/>
      <c r="AJ517" s="179"/>
      <c r="AK517" s="179"/>
      <c r="AL517" s="179"/>
    </row>
    <row r="518" spans="11:38">
      <c r="K518" s="177"/>
      <c r="L518" s="177"/>
      <c r="M518" s="177"/>
      <c r="N518" s="177"/>
      <c r="O518" s="177"/>
      <c r="P518" s="177"/>
      <c r="Q518" s="177"/>
      <c r="R518" s="177"/>
      <c r="S518" s="177"/>
      <c r="T518" s="177"/>
      <c r="U518" s="177"/>
      <c r="V518" s="177"/>
      <c r="W518" s="177"/>
      <c r="X518" s="177"/>
      <c r="Y518" s="177"/>
      <c r="Z518" s="177"/>
      <c r="AA518" s="177"/>
      <c r="AB518" s="178"/>
      <c r="AC518" s="178"/>
      <c r="AD518" s="178"/>
      <c r="AE518" s="178"/>
      <c r="AF518" s="179"/>
      <c r="AG518" s="179"/>
      <c r="AH518" s="179"/>
      <c r="AI518" s="179"/>
      <c r="AJ518" s="179"/>
      <c r="AK518" s="179"/>
      <c r="AL518" s="179"/>
    </row>
    <row r="519" spans="11:38">
      <c r="K519" s="177"/>
      <c r="L519" s="177"/>
      <c r="M519" s="177"/>
      <c r="N519" s="177"/>
      <c r="O519" s="177"/>
      <c r="P519" s="177"/>
      <c r="Q519" s="177"/>
      <c r="R519" s="177"/>
      <c r="S519" s="177"/>
      <c r="T519" s="177"/>
      <c r="U519" s="177"/>
      <c r="V519" s="177"/>
      <c r="W519" s="177"/>
      <c r="X519" s="177"/>
      <c r="Y519" s="177"/>
      <c r="Z519" s="177"/>
      <c r="AA519" s="177"/>
      <c r="AB519" s="178"/>
      <c r="AC519" s="178"/>
      <c r="AD519" s="178"/>
      <c r="AE519" s="178"/>
      <c r="AF519" s="179"/>
      <c r="AG519" s="179"/>
      <c r="AH519" s="179"/>
      <c r="AI519" s="179"/>
      <c r="AJ519" s="179"/>
      <c r="AK519" s="179"/>
      <c r="AL519" s="179"/>
    </row>
    <row r="520" spans="11:38">
      <c r="K520" s="177"/>
      <c r="L520" s="177"/>
      <c r="M520" s="177"/>
      <c r="N520" s="177"/>
      <c r="O520" s="177"/>
      <c r="P520" s="177"/>
      <c r="Q520" s="177"/>
      <c r="R520" s="177"/>
      <c r="S520" s="177"/>
      <c r="T520" s="177"/>
      <c r="U520" s="177"/>
      <c r="V520" s="177"/>
      <c r="W520" s="177"/>
      <c r="X520" s="177"/>
      <c r="Y520" s="177"/>
      <c r="Z520" s="177"/>
      <c r="AA520" s="177"/>
      <c r="AB520" s="178"/>
      <c r="AC520" s="178"/>
      <c r="AD520" s="178"/>
      <c r="AE520" s="178"/>
      <c r="AF520" s="179"/>
      <c r="AG520" s="179"/>
      <c r="AH520" s="179"/>
      <c r="AI520" s="179"/>
      <c r="AJ520" s="179"/>
      <c r="AK520" s="179"/>
      <c r="AL520" s="179"/>
    </row>
    <row r="521" spans="11:38">
      <c r="K521" s="177"/>
      <c r="L521" s="177"/>
      <c r="M521" s="177"/>
      <c r="N521" s="177"/>
      <c r="O521" s="177"/>
      <c r="P521" s="177"/>
      <c r="Q521" s="177"/>
      <c r="R521" s="177"/>
      <c r="S521" s="177"/>
      <c r="T521" s="177"/>
      <c r="U521" s="177"/>
      <c r="V521" s="177"/>
      <c r="W521" s="177"/>
      <c r="X521" s="177"/>
      <c r="Y521" s="177"/>
      <c r="Z521" s="177"/>
      <c r="AA521" s="177"/>
      <c r="AB521" s="178"/>
      <c r="AC521" s="178"/>
      <c r="AD521" s="178"/>
      <c r="AE521" s="178"/>
      <c r="AF521" s="179"/>
      <c r="AG521" s="179"/>
      <c r="AH521" s="179"/>
      <c r="AI521" s="179"/>
      <c r="AJ521" s="179"/>
      <c r="AK521" s="179"/>
      <c r="AL521" s="179"/>
    </row>
    <row r="522" spans="11:38">
      <c r="K522" s="177"/>
      <c r="L522" s="177"/>
      <c r="M522" s="177"/>
      <c r="N522" s="177"/>
      <c r="O522" s="177"/>
      <c r="P522" s="177"/>
      <c r="Q522" s="177"/>
      <c r="R522" s="177"/>
      <c r="S522" s="177"/>
      <c r="T522" s="177"/>
      <c r="U522" s="177"/>
      <c r="V522" s="177"/>
      <c r="W522" s="177"/>
      <c r="X522" s="177"/>
      <c r="Y522" s="177"/>
      <c r="Z522" s="177"/>
      <c r="AA522" s="177"/>
      <c r="AB522" s="178"/>
      <c r="AC522" s="178"/>
      <c r="AD522" s="178"/>
      <c r="AE522" s="178"/>
      <c r="AF522" s="179"/>
      <c r="AG522" s="179"/>
      <c r="AH522" s="179"/>
      <c r="AI522" s="179"/>
      <c r="AJ522" s="179"/>
      <c r="AK522" s="179"/>
      <c r="AL522" s="179"/>
    </row>
    <row r="523" spans="11:38">
      <c r="K523" s="177"/>
      <c r="L523" s="177"/>
      <c r="M523" s="177"/>
      <c r="N523" s="177"/>
      <c r="O523" s="177"/>
      <c r="P523" s="177"/>
      <c r="Q523" s="177"/>
      <c r="R523" s="177"/>
      <c r="S523" s="177"/>
      <c r="T523" s="177"/>
      <c r="U523" s="177"/>
      <c r="V523" s="177"/>
      <c r="W523" s="177"/>
      <c r="X523" s="177"/>
      <c r="Y523" s="177"/>
      <c r="Z523" s="177"/>
      <c r="AA523" s="177"/>
      <c r="AB523" s="178"/>
      <c r="AC523" s="178"/>
      <c r="AD523" s="178"/>
      <c r="AE523" s="178"/>
      <c r="AF523" s="179"/>
      <c r="AG523" s="179"/>
      <c r="AH523" s="179"/>
      <c r="AI523" s="179"/>
      <c r="AJ523" s="179"/>
      <c r="AK523" s="179"/>
      <c r="AL523" s="179"/>
    </row>
    <row r="524" spans="11:38">
      <c r="K524" s="177"/>
      <c r="L524" s="177"/>
      <c r="M524" s="177"/>
      <c r="N524" s="177"/>
      <c r="O524" s="177"/>
      <c r="P524" s="177"/>
      <c r="Q524" s="177"/>
      <c r="R524" s="177"/>
      <c r="S524" s="177"/>
      <c r="T524" s="177"/>
      <c r="U524" s="177"/>
      <c r="V524" s="177"/>
      <c r="W524" s="177"/>
      <c r="X524" s="177"/>
      <c r="Y524" s="177"/>
      <c r="Z524" s="177"/>
      <c r="AA524" s="177"/>
      <c r="AB524" s="178"/>
      <c r="AC524" s="178"/>
      <c r="AD524" s="178"/>
      <c r="AE524" s="178"/>
      <c r="AF524" s="179"/>
      <c r="AG524" s="179"/>
      <c r="AH524" s="179"/>
      <c r="AI524" s="179"/>
      <c r="AJ524" s="179"/>
      <c r="AK524" s="179"/>
      <c r="AL524" s="179"/>
    </row>
    <row r="525" spans="11:38">
      <c r="K525" s="177"/>
      <c r="L525" s="177"/>
      <c r="M525" s="177"/>
      <c r="N525" s="177"/>
      <c r="O525" s="177"/>
      <c r="P525" s="177"/>
      <c r="Q525" s="177"/>
      <c r="R525" s="177"/>
      <c r="S525" s="177"/>
      <c r="T525" s="177"/>
      <c r="U525" s="177"/>
      <c r="V525" s="177"/>
      <c r="W525" s="177"/>
      <c r="X525" s="177"/>
      <c r="Y525" s="177"/>
      <c r="Z525" s="177"/>
      <c r="AA525" s="177"/>
      <c r="AB525" s="178"/>
      <c r="AC525" s="178"/>
      <c r="AD525" s="178"/>
      <c r="AE525" s="178"/>
      <c r="AF525" s="179"/>
      <c r="AG525" s="179"/>
      <c r="AH525" s="179"/>
      <c r="AI525" s="179"/>
      <c r="AJ525" s="179"/>
      <c r="AK525" s="179"/>
      <c r="AL525" s="179"/>
    </row>
    <row r="526" spans="11:38">
      <c r="K526" s="177"/>
      <c r="L526" s="177"/>
      <c r="M526" s="177"/>
      <c r="N526" s="177"/>
      <c r="O526" s="177"/>
      <c r="P526" s="177"/>
      <c r="Q526" s="177"/>
      <c r="R526" s="177"/>
      <c r="S526" s="177"/>
      <c r="T526" s="177"/>
      <c r="U526" s="177"/>
      <c r="V526" s="177"/>
      <c r="W526" s="177"/>
      <c r="X526" s="177"/>
      <c r="Y526" s="177"/>
      <c r="Z526" s="177"/>
      <c r="AA526" s="177"/>
      <c r="AB526" s="178"/>
      <c r="AC526" s="178"/>
      <c r="AD526" s="178"/>
      <c r="AE526" s="178"/>
      <c r="AF526" s="179"/>
      <c r="AG526" s="179"/>
      <c r="AH526" s="179"/>
      <c r="AI526" s="179"/>
      <c r="AJ526" s="179"/>
      <c r="AK526" s="179"/>
      <c r="AL526" s="179"/>
    </row>
    <row r="527" spans="11:38">
      <c r="K527" s="177"/>
      <c r="L527" s="177"/>
      <c r="M527" s="177"/>
      <c r="N527" s="177"/>
      <c r="O527" s="177"/>
      <c r="P527" s="177"/>
      <c r="Q527" s="177"/>
      <c r="R527" s="177"/>
      <c r="S527" s="177"/>
      <c r="T527" s="177"/>
      <c r="U527" s="177"/>
      <c r="V527" s="177"/>
      <c r="W527" s="177"/>
      <c r="X527" s="177"/>
      <c r="Y527" s="177"/>
      <c r="Z527" s="177"/>
      <c r="AA527" s="177"/>
      <c r="AB527" s="178"/>
      <c r="AC527" s="178"/>
      <c r="AD527" s="178"/>
      <c r="AE527" s="178"/>
      <c r="AF527" s="179"/>
      <c r="AG527" s="179"/>
      <c r="AH527" s="179"/>
      <c r="AI527" s="179"/>
      <c r="AJ527" s="179"/>
      <c r="AK527" s="179"/>
      <c r="AL527" s="179"/>
    </row>
    <row r="528" spans="11:38">
      <c r="K528" s="177"/>
      <c r="L528" s="177"/>
      <c r="M528" s="177"/>
      <c r="N528" s="177"/>
      <c r="O528" s="177"/>
      <c r="P528" s="177"/>
      <c r="Q528" s="177"/>
      <c r="R528" s="177"/>
      <c r="S528" s="177"/>
      <c r="T528" s="177"/>
      <c r="U528" s="177"/>
      <c r="V528" s="177"/>
      <c r="W528" s="177"/>
      <c r="X528" s="177"/>
      <c r="Y528" s="177"/>
      <c r="Z528" s="177"/>
      <c r="AA528" s="177"/>
      <c r="AB528" s="178"/>
      <c r="AC528" s="178"/>
      <c r="AD528" s="178"/>
      <c r="AE528" s="178"/>
      <c r="AF528" s="179"/>
      <c r="AG528" s="179"/>
      <c r="AH528" s="179"/>
      <c r="AI528" s="179"/>
      <c r="AJ528" s="179"/>
      <c r="AK528" s="179"/>
      <c r="AL528" s="179"/>
    </row>
    <row r="529" spans="11:38">
      <c r="K529" s="177"/>
      <c r="L529" s="177"/>
      <c r="M529" s="177"/>
      <c r="N529" s="177"/>
      <c r="O529" s="177"/>
      <c r="P529" s="177"/>
      <c r="Q529" s="177"/>
      <c r="R529" s="177"/>
      <c r="S529" s="177"/>
      <c r="T529" s="177"/>
      <c r="U529" s="177"/>
      <c r="V529" s="177"/>
      <c r="W529" s="177"/>
      <c r="X529" s="177"/>
      <c r="Y529" s="177"/>
      <c r="Z529" s="177"/>
      <c r="AA529" s="177"/>
      <c r="AB529" s="178"/>
      <c r="AC529" s="178"/>
      <c r="AD529" s="178"/>
      <c r="AE529" s="178"/>
      <c r="AF529" s="179"/>
      <c r="AG529" s="179"/>
      <c r="AH529" s="179"/>
      <c r="AI529" s="179"/>
      <c r="AJ529" s="179"/>
      <c r="AK529" s="179"/>
      <c r="AL529" s="179"/>
    </row>
    <row r="530" spans="11:38">
      <c r="K530" s="177"/>
      <c r="L530" s="177"/>
      <c r="M530" s="177"/>
      <c r="N530" s="177"/>
      <c r="O530" s="177"/>
      <c r="P530" s="177"/>
      <c r="Q530" s="177"/>
      <c r="R530" s="177"/>
      <c r="S530" s="177"/>
      <c r="T530" s="177"/>
      <c r="U530" s="177"/>
      <c r="V530" s="177"/>
      <c r="W530" s="177"/>
      <c r="X530" s="177"/>
      <c r="Y530" s="177"/>
      <c r="Z530" s="177"/>
      <c r="AA530" s="177"/>
      <c r="AB530" s="178"/>
      <c r="AC530" s="178"/>
      <c r="AD530" s="178"/>
      <c r="AE530" s="178"/>
      <c r="AF530" s="179"/>
      <c r="AG530" s="179"/>
      <c r="AH530" s="179"/>
      <c r="AI530" s="179"/>
      <c r="AJ530" s="179"/>
      <c r="AK530" s="179"/>
      <c r="AL530" s="179"/>
    </row>
    <row r="531" spans="11:38">
      <c r="K531" s="177"/>
      <c r="L531" s="177"/>
      <c r="M531" s="177"/>
      <c r="N531" s="177"/>
      <c r="O531" s="177"/>
      <c r="P531" s="177"/>
      <c r="Q531" s="177"/>
      <c r="R531" s="177"/>
      <c r="S531" s="177"/>
      <c r="T531" s="177"/>
      <c r="U531" s="177"/>
      <c r="V531" s="177"/>
      <c r="W531" s="177"/>
      <c r="X531" s="177"/>
      <c r="Y531" s="177"/>
      <c r="Z531" s="177"/>
      <c r="AA531" s="177"/>
      <c r="AB531" s="178"/>
      <c r="AC531" s="178"/>
      <c r="AD531" s="178"/>
      <c r="AE531" s="178"/>
      <c r="AF531" s="179"/>
      <c r="AG531" s="179"/>
      <c r="AH531" s="179"/>
      <c r="AI531" s="179"/>
      <c r="AJ531" s="179"/>
      <c r="AK531" s="179"/>
      <c r="AL531" s="179"/>
    </row>
    <row r="532" spans="11:38">
      <c r="K532" s="177"/>
      <c r="L532" s="177"/>
      <c r="M532" s="177"/>
      <c r="N532" s="177"/>
      <c r="O532" s="177"/>
      <c r="P532" s="177"/>
      <c r="Q532" s="177"/>
      <c r="R532" s="177"/>
      <c r="S532" s="177"/>
      <c r="T532" s="177"/>
      <c r="U532" s="177"/>
      <c r="V532" s="177"/>
      <c r="W532" s="177"/>
      <c r="X532" s="177"/>
      <c r="Y532" s="177"/>
      <c r="Z532" s="177"/>
      <c r="AA532" s="177"/>
      <c r="AB532" s="178"/>
      <c r="AC532" s="178"/>
      <c r="AD532" s="178"/>
      <c r="AE532" s="178"/>
      <c r="AF532" s="179"/>
      <c r="AG532" s="179"/>
      <c r="AH532" s="179"/>
      <c r="AI532" s="179"/>
      <c r="AJ532" s="179"/>
      <c r="AK532" s="179"/>
      <c r="AL532" s="179"/>
    </row>
    <row r="533" spans="11:38">
      <c r="K533" s="177"/>
      <c r="L533" s="177"/>
      <c r="M533" s="177"/>
      <c r="N533" s="177"/>
      <c r="O533" s="177"/>
      <c r="P533" s="177"/>
      <c r="Q533" s="177"/>
      <c r="R533" s="177"/>
      <c r="S533" s="177"/>
      <c r="T533" s="177"/>
      <c r="U533" s="177"/>
      <c r="V533" s="177"/>
      <c r="W533" s="177"/>
      <c r="X533" s="177"/>
      <c r="Y533" s="177"/>
      <c r="Z533" s="177"/>
      <c r="AA533" s="177"/>
      <c r="AB533" s="178"/>
      <c r="AC533" s="178"/>
      <c r="AD533" s="178"/>
      <c r="AE533" s="178"/>
      <c r="AF533" s="179"/>
      <c r="AG533" s="179"/>
      <c r="AH533" s="179"/>
      <c r="AI533" s="179"/>
      <c r="AJ533" s="179"/>
      <c r="AK533" s="179"/>
      <c r="AL533" s="179"/>
    </row>
    <row r="534" spans="11:38">
      <c r="K534" s="177"/>
      <c r="L534" s="177"/>
      <c r="M534" s="177"/>
      <c r="N534" s="177"/>
      <c r="O534" s="177"/>
      <c r="P534" s="177"/>
      <c r="Q534" s="177"/>
      <c r="R534" s="177"/>
      <c r="S534" s="177"/>
      <c r="T534" s="177"/>
      <c r="U534" s="177"/>
      <c r="V534" s="177"/>
      <c r="W534" s="177"/>
      <c r="X534" s="177"/>
      <c r="Y534" s="177"/>
      <c r="Z534" s="177"/>
      <c r="AA534" s="177"/>
      <c r="AB534" s="178"/>
      <c r="AC534" s="178"/>
      <c r="AD534" s="178"/>
      <c r="AE534" s="178"/>
      <c r="AF534" s="179"/>
      <c r="AG534" s="179"/>
      <c r="AH534" s="179"/>
      <c r="AI534" s="179"/>
      <c r="AJ534" s="179"/>
      <c r="AK534" s="179"/>
      <c r="AL534" s="179"/>
    </row>
    <row r="535" spans="11:38">
      <c r="K535" s="177"/>
      <c r="L535" s="177"/>
      <c r="M535" s="177"/>
      <c r="N535" s="177"/>
      <c r="O535" s="177"/>
      <c r="P535" s="177"/>
      <c r="Q535" s="177"/>
      <c r="R535" s="177"/>
      <c r="S535" s="177"/>
      <c r="T535" s="177"/>
      <c r="U535" s="177"/>
      <c r="V535" s="177"/>
      <c r="W535" s="177"/>
      <c r="X535" s="177"/>
      <c r="Y535" s="177"/>
      <c r="Z535" s="177"/>
      <c r="AA535" s="177"/>
      <c r="AB535" s="178"/>
      <c r="AC535" s="178"/>
      <c r="AD535" s="178"/>
      <c r="AE535" s="178"/>
      <c r="AF535" s="179"/>
      <c r="AG535" s="179"/>
      <c r="AH535" s="179"/>
      <c r="AI535" s="179"/>
      <c r="AJ535" s="179"/>
      <c r="AK535" s="179"/>
      <c r="AL535" s="179"/>
    </row>
    <row r="536" spans="11:38">
      <c r="K536" s="177"/>
      <c r="L536" s="177"/>
      <c r="M536" s="177"/>
      <c r="N536" s="177"/>
      <c r="O536" s="177"/>
      <c r="P536" s="177"/>
      <c r="Q536" s="177"/>
      <c r="R536" s="177"/>
      <c r="S536" s="177"/>
      <c r="T536" s="177"/>
      <c r="U536" s="177"/>
      <c r="V536" s="177"/>
      <c r="W536" s="177"/>
      <c r="X536" s="177"/>
      <c r="Y536" s="177"/>
      <c r="Z536" s="177"/>
      <c r="AA536" s="177"/>
      <c r="AB536" s="178"/>
      <c r="AC536" s="178"/>
      <c r="AD536" s="178"/>
      <c r="AE536" s="178"/>
      <c r="AF536" s="179"/>
      <c r="AG536" s="179"/>
      <c r="AH536" s="179"/>
      <c r="AI536" s="179"/>
      <c r="AJ536" s="179"/>
      <c r="AK536" s="179"/>
      <c r="AL536" s="179"/>
    </row>
    <row r="537" spans="11:38">
      <c r="K537" s="177"/>
      <c r="L537" s="177"/>
      <c r="M537" s="177"/>
      <c r="N537" s="177"/>
      <c r="O537" s="177"/>
      <c r="P537" s="177"/>
      <c r="Q537" s="177"/>
      <c r="R537" s="177"/>
      <c r="S537" s="177"/>
      <c r="T537" s="177"/>
      <c r="U537" s="177"/>
      <c r="V537" s="177"/>
      <c r="W537" s="177"/>
      <c r="X537" s="177"/>
      <c r="Y537" s="177"/>
      <c r="Z537" s="177"/>
      <c r="AA537" s="177"/>
      <c r="AB537" s="178"/>
      <c r="AC537" s="178"/>
      <c r="AD537" s="178"/>
      <c r="AE537" s="178"/>
      <c r="AF537" s="179"/>
      <c r="AG537" s="179"/>
      <c r="AH537" s="179"/>
      <c r="AI537" s="179"/>
      <c r="AJ537" s="179"/>
      <c r="AK537" s="179"/>
      <c r="AL537" s="179"/>
    </row>
    <row r="538" spans="11:38">
      <c r="K538" s="177"/>
      <c r="L538" s="177"/>
      <c r="M538" s="177"/>
      <c r="N538" s="177"/>
      <c r="O538" s="177"/>
      <c r="P538" s="177"/>
      <c r="Q538" s="177"/>
      <c r="R538" s="177"/>
      <c r="S538" s="177"/>
      <c r="T538" s="177"/>
      <c r="U538" s="177"/>
      <c r="V538" s="177"/>
      <c r="W538" s="177"/>
      <c r="X538" s="177"/>
      <c r="Y538" s="177"/>
      <c r="Z538" s="177"/>
      <c r="AA538" s="177"/>
      <c r="AB538" s="178"/>
      <c r="AC538" s="178"/>
      <c r="AD538" s="178"/>
      <c r="AE538" s="178"/>
      <c r="AF538" s="179"/>
      <c r="AG538" s="179"/>
      <c r="AH538" s="179"/>
      <c r="AI538" s="179"/>
      <c r="AJ538" s="179"/>
      <c r="AK538" s="179"/>
      <c r="AL538" s="179"/>
    </row>
    <row r="539" spans="11:38">
      <c r="K539" s="177"/>
      <c r="L539" s="177"/>
      <c r="M539" s="177"/>
      <c r="N539" s="177"/>
      <c r="O539" s="177"/>
      <c r="P539" s="177"/>
      <c r="Q539" s="177"/>
      <c r="R539" s="177"/>
      <c r="S539" s="177"/>
      <c r="T539" s="177"/>
      <c r="U539" s="177"/>
      <c r="V539" s="177"/>
      <c r="W539" s="177"/>
      <c r="X539" s="177"/>
      <c r="Y539" s="177"/>
      <c r="Z539" s="177"/>
      <c r="AA539" s="177"/>
      <c r="AB539" s="178"/>
      <c r="AC539" s="178"/>
      <c r="AD539" s="178"/>
      <c r="AE539" s="178"/>
      <c r="AF539" s="179"/>
      <c r="AG539" s="179"/>
      <c r="AH539" s="179"/>
      <c r="AI539" s="179"/>
      <c r="AJ539" s="179"/>
      <c r="AK539" s="179"/>
      <c r="AL539" s="179"/>
    </row>
    <row r="540" spans="11:38">
      <c r="K540" s="177"/>
      <c r="L540" s="177"/>
      <c r="M540" s="177"/>
      <c r="N540" s="177"/>
      <c r="O540" s="177"/>
      <c r="P540" s="177"/>
      <c r="Q540" s="177"/>
      <c r="R540" s="177"/>
      <c r="S540" s="177"/>
      <c r="T540" s="177"/>
      <c r="U540" s="177"/>
      <c r="V540" s="177"/>
      <c r="W540" s="177"/>
      <c r="X540" s="177"/>
      <c r="Y540" s="177"/>
      <c r="Z540" s="177"/>
      <c r="AA540" s="177"/>
      <c r="AB540" s="178"/>
      <c r="AC540" s="178"/>
      <c r="AD540" s="178"/>
      <c r="AE540" s="178"/>
      <c r="AF540" s="179"/>
      <c r="AG540" s="179"/>
      <c r="AH540" s="179"/>
      <c r="AI540" s="179"/>
      <c r="AJ540" s="179"/>
      <c r="AK540" s="179"/>
      <c r="AL540" s="179"/>
    </row>
    <row r="541" spans="11:38">
      <c r="K541" s="177"/>
      <c r="L541" s="177"/>
      <c r="M541" s="177"/>
      <c r="N541" s="177"/>
      <c r="O541" s="177"/>
      <c r="P541" s="177"/>
      <c r="Q541" s="177"/>
      <c r="R541" s="177"/>
      <c r="S541" s="177"/>
      <c r="T541" s="177"/>
      <c r="U541" s="177"/>
      <c r="V541" s="177"/>
      <c r="W541" s="177"/>
      <c r="X541" s="177"/>
      <c r="Y541" s="177"/>
      <c r="Z541" s="177"/>
      <c r="AA541" s="177"/>
      <c r="AB541" s="178"/>
      <c r="AC541" s="178"/>
      <c r="AD541" s="178"/>
      <c r="AE541" s="178"/>
      <c r="AF541" s="179"/>
      <c r="AG541" s="179"/>
      <c r="AH541" s="179"/>
      <c r="AI541" s="179"/>
      <c r="AJ541" s="179"/>
      <c r="AK541" s="179"/>
      <c r="AL541" s="179"/>
    </row>
    <row r="542" spans="11:38">
      <c r="K542" s="177"/>
      <c r="L542" s="177"/>
      <c r="M542" s="177"/>
      <c r="N542" s="177"/>
      <c r="O542" s="177"/>
      <c r="P542" s="177"/>
      <c r="Q542" s="177"/>
      <c r="R542" s="177"/>
      <c r="S542" s="177"/>
      <c r="T542" s="177"/>
      <c r="U542" s="177"/>
      <c r="V542" s="177"/>
      <c r="W542" s="177"/>
      <c r="X542" s="177"/>
      <c r="Y542" s="177"/>
      <c r="Z542" s="177"/>
      <c r="AA542" s="177"/>
      <c r="AB542" s="178"/>
      <c r="AC542" s="178"/>
      <c r="AD542" s="178"/>
      <c r="AE542" s="178"/>
      <c r="AF542" s="179"/>
      <c r="AG542" s="179"/>
      <c r="AH542" s="179"/>
      <c r="AI542" s="179"/>
      <c r="AJ542" s="179"/>
      <c r="AK542" s="179"/>
      <c r="AL542" s="179"/>
    </row>
    <row r="543" spans="11:38">
      <c r="K543" s="177"/>
      <c r="L543" s="177"/>
      <c r="M543" s="177"/>
      <c r="N543" s="177"/>
      <c r="O543" s="177"/>
      <c r="P543" s="177"/>
      <c r="Q543" s="177"/>
      <c r="R543" s="177"/>
      <c r="S543" s="177"/>
      <c r="T543" s="177"/>
      <c r="U543" s="177"/>
      <c r="V543" s="177"/>
      <c r="W543" s="177"/>
      <c r="X543" s="177"/>
      <c r="Y543" s="177"/>
      <c r="Z543" s="177"/>
      <c r="AA543" s="177"/>
      <c r="AB543" s="178"/>
      <c r="AC543" s="178"/>
      <c r="AD543" s="178"/>
      <c r="AE543" s="178"/>
      <c r="AF543" s="179"/>
      <c r="AG543" s="179"/>
      <c r="AH543" s="179"/>
      <c r="AI543" s="179"/>
      <c r="AJ543" s="179"/>
      <c r="AK543" s="179"/>
      <c r="AL543" s="179"/>
    </row>
    <row r="544" spans="11:38">
      <c r="K544" s="177"/>
      <c r="L544" s="177"/>
      <c r="M544" s="177"/>
      <c r="N544" s="177"/>
      <c r="O544" s="177"/>
      <c r="P544" s="177"/>
      <c r="Q544" s="177"/>
      <c r="R544" s="177"/>
      <c r="S544" s="177"/>
      <c r="T544" s="177"/>
      <c r="U544" s="177"/>
      <c r="V544" s="177"/>
      <c r="W544" s="177"/>
      <c r="X544" s="177"/>
      <c r="Y544" s="177"/>
      <c r="Z544" s="177"/>
      <c r="AA544" s="177"/>
      <c r="AB544" s="178"/>
      <c r="AC544" s="178"/>
      <c r="AD544" s="178"/>
      <c r="AE544" s="178"/>
      <c r="AF544" s="179"/>
      <c r="AG544" s="179"/>
      <c r="AH544" s="179"/>
      <c r="AI544" s="179"/>
      <c r="AJ544" s="179"/>
      <c r="AK544" s="179"/>
      <c r="AL544" s="179"/>
    </row>
    <row r="545" spans="11:38">
      <c r="K545" s="177"/>
      <c r="L545" s="177"/>
      <c r="M545" s="177"/>
      <c r="N545" s="177"/>
      <c r="O545" s="177"/>
      <c r="P545" s="177"/>
      <c r="Q545" s="177"/>
      <c r="R545" s="177"/>
      <c r="S545" s="177"/>
      <c r="T545" s="177"/>
      <c r="U545" s="177"/>
      <c r="V545" s="177"/>
      <c r="W545" s="177"/>
      <c r="X545" s="177"/>
      <c r="Y545" s="177"/>
      <c r="Z545" s="177"/>
      <c r="AA545" s="177"/>
      <c r="AB545" s="178"/>
      <c r="AC545" s="178"/>
      <c r="AD545" s="178"/>
      <c r="AE545" s="178"/>
      <c r="AF545" s="179"/>
      <c r="AG545" s="179"/>
      <c r="AH545" s="179"/>
      <c r="AI545" s="179"/>
      <c r="AJ545" s="179"/>
      <c r="AK545" s="179"/>
      <c r="AL545" s="179"/>
    </row>
    <row r="546" spans="11:38">
      <c r="K546" s="177"/>
      <c r="L546" s="177"/>
      <c r="M546" s="177"/>
      <c r="N546" s="177"/>
      <c r="O546" s="177"/>
      <c r="P546" s="177"/>
      <c r="Q546" s="177"/>
      <c r="R546" s="177"/>
      <c r="S546" s="177"/>
      <c r="T546" s="177"/>
      <c r="U546" s="177"/>
      <c r="V546" s="177"/>
      <c r="W546" s="177"/>
      <c r="X546" s="177"/>
      <c r="Y546" s="177"/>
      <c r="Z546" s="177"/>
      <c r="AA546" s="177"/>
      <c r="AB546" s="178"/>
      <c r="AC546" s="178"/>
      <c r="AD546" s="178"/>
      <c r="AE546" s="178"/>
      <c r="AF546" s="179"/>
      <c r="AG546" s="179"/>
      <c r="AH546" s="179"/>
      <c r="AI546" s="179"/>
      <c r="AJ546" s="179"/>
      <c r="AK546" s="179"/>
      <c r="AL546" s="179"/>
    </row>
    <row r="547" spans="11:38">
      <c r="K547" s="177"/>
      <c r="L547" s="177"/>
      <c r="M547" s="177"/>
      <c r="N547" s="177"/>
      <c r="O547" s="177"/>
      <c r="P547" s="177"/>
      <c r="Q547" s="177"/>
      <c r="R547" s="177"/>
      <c r="S547" s="177"/>
      <c r="T547" s="177"/>
      <c r="U547" s="177"/>
      <c r="V547" s="177"/>
      <c r="W547" s="177"/>
      <c r="X547" s="177"/>
      <c r="Y547" s="177"/>
      <c r="Z547" s="177"/>
      <c r="AA547" s="177"/>
      <c r="AB547" s="178"/>
      <c r="AC547" s="178"/>
      <c r="AD547" s="178"/>
      <c r="AE547" s="178"/>
      <c r="AF547" s="179"/>
      <c r="AG547" s="179"/>
      <c r="AH547" s="179"/>
      <c r="AI547" s="179"/>
      <c r="AJ547" s="179"/>
      <c r="AK547" s="179"/>
      <c r="AL547" s="179"/>
    </row>
    <row r="548" spans="11:38">
      <c r="K548" s="177"/>
      <c r="L548" s="177"/>
      <c r="M548" s="177"/>
      <c r="N548" s="177"/>
      <c r="O548" s="177"/>
      <c r="P548" s="177"/>
      <c r="Q548" s="177"/>
      <c r="R548" s="177"/>
      <c r="S548" s="177"/>
      <c r="T548" s="177"/>
      <c r="U548" s="177"/>
      <c r="V548" s="177"/>
      <c r="W548" s="177"/>
      <c r="X548" s="177"/>
      <c r="Y548" s="177"/>
      <c r="Z548" s="177"/>
      <c r="AA548" s="177"/>
      <c r="AB548" s="178"/>
      <c r="AC548" s="178"/>
      <c r="AD548" s="178"/>
      <c r="AE548" s="178"/>
      <c r="AF548" s="179"/>
      <c r="AG548" s="179"/>
      <c r="AH548" s="179"/>
      <c r="AI548" s="179"/>
      <c r="AJ548" s="179"/>
      <c r="AK548" s="179"/>
      <c r="AL548" s="179"/>
    </row>
    <row r="549" spans="11:38">
      <c r="K549" s="177"/>
      <c r="L549" s="177"/>
      <c r="M549" s="177"/>
      <c r="N549" s="177"/>
      <c r="O549" s="177"/>
      <c r="P549" s="177"/>
      <c r="Q549" s="177"/>
      <c r="R549" s="177"/>
      <c r="S549" s="177"/>
      <c r="T549" s="177"/>
      <c r="U549" s="177"/>
      <c r="V549" s="177"/>
      <c r="W549" s="177"/>
      <c r="X549" s="177"/>
      <c r="Y549" s="177"/>
      <c r="Z549" s="177"/>
      <c r="AA549" s="177"/>
      <c r="AB549" s="178"/>
      <c r="AC549" s="178"/>
      <c r="AD549" s="178"/>
      <c r="AE549" s="178"/>
      <c r="AF549" s="179"/>
      <c r="AG549" s="179"/>
      <c r="AH549" s="179"/>
      <c r="AI549" s="179"/>
      <c r="AJ549" s="179"/>
      <c r="AK549" s="179"/>
      <c r="AL549" s="179"/>
    </row>
    <row r="550" spans="11:38">
      <c r="K550" s="177"/>
      <c r="L550" s="177"/>
      <c r="M550" s="177"/>
      <c r="N550" s="177"/>
      <c r="O550" s="177"/>
      <c r="P550" s="177"/>
      <c r="Q550" s="177"/>
      <c r="R550" s="177"/>
      <c r="S550" s="177"/>
      <c r="T550" s="177"/>
      <c r="U550" s="177"/>
      <c r="V550" s="177"/>
      <c r="W550" s="177"/>
      <c r="X550" s="177"/>
      <c r="Y550" s="177"/>
      <c r="Z550" s="177"/>
      <c r="AA550" s="177"/>
      <c r="AB550" s="178"/>
      <c r="AC550" s="178"/>
      <c r="AD550" s="178"/>
      <c r="AE550" s="178"/>
      <c r="AF550" s="179"/>
      <c r="AG550" s="179"/>
      <c r="AH550" s="179"/>
      <c r="AI550" s="179"/>
      <c r="AJ550" s="179"/>
      <c r="AK550" s="179"/>
      <c r="AL550" s="179"/>
    </row>
    <row r="551" spans="11:38">
      <c r="K551" s="177"/>
      <c r="L551" s="177"/>
      <c r="M551" s="177"/>
      <c r="N551" s="177"/>
      <c r="O551" s="177"/>
      <c r="P551" s="177"/>
      <c r="Q551" s="177"/>
      <c r="R551" s="177"/>
      <c r="S551" s="177"/>
      <c r="T551" s="177"/>
      <c r="U551" s="177"/>
      <c r="V551" s="177"/>
      <c r="W551" s="177"/>
      <c r="X551" s="177"/>
      <c r="Y551" s="177"/>
      <c r="Z551" s="177"/>
      <c r="AA551" s="177"/>
      <c r="AB551" s="178"/>
      <c r="AC551" s="178"/>
      <c r="AD551" s="178"/>
      <c r="AE551" s="178"/>
      <c r="AF551" s="179"/>
      <c r="AG551" s="179"/>
      <c r="AH551" s="179"/>
      <c r="AI551" s="179"/>
      <c r="AJ551" s="179"/>
      <c r="AK551" s="179"/>
      <c r="AL551" s="179"/>
    </row>
    <row r="552" spans="11:38">
      <c r="K552" s="177"/>
      <c r="L552" s="177"/>
      <c r="M552" s="177"/>
      <c r="N552" s="177"/>
      <c r="O552" s="177"/>
      <c r="P552" s="177"/>
      <c r="Q552" s="177"/>
      <c r="R552" s="177"/>
      <c r="S552" s="177"/>
      <c r="T552" s="177"/>
      <c r="U552" s="177"/>
      <c r="V552" s="177"/>
      <c r="W552" s="177"/>
      <c r="X552" s="177"/>
      <c r="Y552" s="177"/>
      <c r="Z552" s="177"/>
      <c r="AA552" s="177"/>
      <c r="AB552" s="178"/>
      <c r="AC552" s="178"/>
      <c r="AD552" s="178"/>
      <c r="AE552" s="178"/>
      <c r="AF552" s="179"/>
      <c r="AG552" s="179"/>
      <c r="AH552" s="179"/>
      <c r="AI552" s="179"/>
      <c r="AJ552" s="179"/>
      <c r="AK552" s="179"/>
      <c r="AL552" s="179"/>
    </row>
    <row r="553" spans="11:38">
      <c r="K553" s="177"/>
      <c r="L553" s="177"/>
      <c r="M553" s="177"/>
      <c r="N553" s="177"/>
      <c r="O553" s="177"/>
      <c r="P553" s="177"/>
      <c r="Q553" s="177"/>
      <c r="R553" s="177"/>
      <c r="S553" s="177"/>
      <c r="T553" s="177"/>
      <c r="U553" s="177"/>
      <c r="V553" s="177"/>
      <c r="W553" s="177"/>
      <c r="X553" s="177"/>
      <c r="Y553" s="177"/>
      <c r="Z553" s="177"/>
      <c r="AA553" s="177"/>
      <c r="AB553" s="178"/>
      <c r="AC553" s="178"/>
      <c r="AD553" s="178"/>
      <c r="AE553" s="178"/>
      <c r="AF553" s="179"/>
      <c r="AG553" s="179"/>
      <c r="AH553" s="179"/>
      <c r="AI553" s="179"/>
      <c r="AJ553" s="179"/>
      <c r="AK553" s="179"/>
      <c r="AL553" s="179"/>
    </row>
    <row r="554" spans="11:38">
      <c r="K554" s="177"/>
      <c r="L554" s="177"/>
      <c r="M554" s="177"/>
      <c r="N554" s="177"/>
      <c r="O554" s="177"/>
      <c r="P554" s="177"/>
      <c r="Q554" s="177"/>
      <c r="R554" s="177"/>
      <c r="S554" s="177"/>
      <c r="T554" s="177"/>
      <c r="U554" s="177"/>
      <c r="V554" s="177"/>
      <c r="W554" s="177"/>
      <c r="X554" s="177"/>
      <c r="Y554" s="177"/>
      <c r="Z554" s="177"/>
      <c r="AA554" s="177"/>
      <c r="AB554" s="178"/>
      <c r="AC554" s="178"/>
      <c r="AD554" s="178"/>
      <c r="AE554" s="178"/>
      <c r="AF554" s="179"/>
      <c r="AG554" s="179"/>
      <c r="AH554" s="179"/>
      <c r="AI554" s="179"/>
      <c r="AJ554" s="179"/>
      <c r="AK554" s="179"/>
      <c r="AL554" s="179"/>
    </row>
    <row r="555" spans="11:38">
      <c r="K555" s="177"/>
      <c r="L555" s="177"/>
      <c r="M555" s="177"/>
      <c r="N555" s="177"/>
      <c r="O555" s="177"/>
      <c r="P555" s="177"/>
      <c r="Q555" s="177"/>
      <c r="R555" s="177"/>
      <c r="S555" s="177"/>
      <c r="T555" s="177"/>
      <c r="U555" s="177"/>
      <c r="V555" s="177"/>
      <c r="W555" s="177"/>
      <c r="X555" s="177"/>
      <c r="Y555" s="177"/>
      <c r="Z555" s="177"/>
      <c r="AA555" s="177"/>
      <c r="AB555" s="178"/>
      <c r="AC555" s="178"/>
      <c r="AD555" s="178"/>
      <c r="AE555" s="178"/>
      <c r="AF555" s="179"/>
      <c r="AG555" s="179"/>
      <c r="AH555" s="179"/>
      <c r="AI555" s="179"/>
      <c r="AJ555" s="179"/>
      <c r="AK555" s="179"/>
      <c r="AL555" s="179"/>
    </row>
    <row r="556" spans="11:38">
      <c r="K556" s="177"/>
      <c r="L556" s="177"/>
      <c r="M556" s="177"/>
      <c r="N556" s="177"/>
      <c r="O556" s="177"/>
      <c r="P556" s="177"/>
      <c r="Q556" s="177"/>
      <c r="R556" s="177"/>
      <c r="S556" s="177"/>
      <c r="T556" s="177"/>
      <c r="U556" s="177"/>
      <c r="V556" s="177"/>
      <c r="W556" s="177"/>
      <c r="X556" s="177"/>
      <c r="Y556" s="177"/>
      <c r="Z556" s="177"/>
      <c r="AA556" s="177"/>
      <c r="AB556" s="178"/>
      <c r="AC556" s="178"/>
      <c r="AD556" s="178"/>
      <c r="AE556" s="178"/>
      <c r="AF556" s="179"/>
      <c r="AG556" s="179"/>
      <c r="AH556" s="179"/>
      <c r="AI556" s="179"/>
      <c r="AJ556" s="179"/>
      <c r="AK556" s="179"/>
      <c r="AL556" s="179"/>
    </row>
    <row r="557" spans="11:38">
      <c r="K557" s="177"/>
      <c r="L557" s="177"/>
      <c r="M557" s="177"/>
      <c r="N557" s="177"/>
      <c r="O557" s="177"/>
      <c r="P557" s="177"/>
      <c r="Q557" s="177"/>
      <c r="R557" s="177"/>
      <c r="S557" s="177"/>
      <c r="T557" s="177"/>
      <c r="U557" s="177"/>
      <c r="V557" s="177"/>
      <c r="W557" s="177"/>
      <c r="X557" s="177"/>
      <c r="Y557" s="177"/>
      <c r="Z557" s="177"/>
      <c r="AA557" s="177"/>
      <c r="AB557" s="178"/>
      <c r="AC557" s="178"/>
      <c r="AD557" s="178"/>
      <c r="AE557" s="178"/>
      <c r="AF557" s="179"/>
      <c r="AG557" s="179"/>
      <c r="AH557" s="179"/>
      <c r="AI557" s="179"/>
      <c r="AJ557" s="179"/>
      <c r="AK557" s="179"/>
      <c r="AL557" s="179"/>
    </row>
    <row r="558" spans="11:38">
      <c r="K558" s="177"/>
      <c r="L558" s="177"/>
      <c r="M558" s="177"/>
      <c r="N558" s="177"/>
      <c r="O558" s="177"/>
      <c r="P558" s="177"/>
      <c r="Q558" s="177"/>
      <c r="R558" s="177"/>
      <c r="S558" s="177"/>
      <c r="T558" s="177"/>
      <c r="U558" s="177"/>
      <c r="V558" s="177"/>
      <c r="W558" s="177"/>
      <c r="X558" s="177"/>
      <c r="Y558" s="177"/>
      <c r="Z558" s="177"/>
      <c r="AA558" s="177"/>
      <c r="AB558" s="178"/>
      <c r="AC558" s="178"/>
      <c r="AD558" s="178"/>
      <c r="AE558" s="178"/>
      <c r="AF558" s="179"/>
      <c r="AG558" s="179"/>
      <c r="AH558" s="179"/>
      <c r="AI558" s="179"/>
      <c r="AJ558" s="179"/>
      <c r="AK558" s="179"/>
      <c r="AL558" s="179"/>
    </row>
    <row r="559" spans="11:38">
      <c r="K559" s="177"/>
      <c r="L559" s="177"/>
      <c r="M559" s="177"/>
      <c r="N559" s="177"/>
      <c r="O559" s="177"/>
      <c r="P559" s="177"/>
      <c r="Q559" s="177"/>
      <c r="R559" s="177"/>
      <c r="S559" s="177"/>
      <c r="T559" s="177"/>
      <c r="U559" s="177"/>
      <c r="V559" s="177"/>
      <c r="W559" s="177"/>
      <c r="X559" s="177"/>
      <c r="Y559" s="177"/>
      <c r="Z559" s="177"/>
      <c r="AA559" s="177"/>
      <c r="AB559" s="178"/>
      <c r="AC559" s="178"/>
      <c r="AD559" s="178"/>
      <c r="AE559" s="178"/>
      <c r="AF559" s="179"/>
      <c r="AG559" s="179"/>
      <c r="AH559" s="179"/>
      <c r="AI559" s="179"/>
      <c r="AJ559" s="179"/>
      <c r="AK559" s="179"/>
      <c r="AL559" s="179"/>
    </row>
    <row r="560" spans="11:38">
      <c r="K560" s="177"/>
      <c r="L560" s="177"/>
      <c r="M560" s="177"/>
      <c r="N560" s="177"/>
      <c r="O560" s="177"/>
      <c r="P560" s="177"/>
      <c r="Q560" s="177"/>
      <c r="R560" s="177"/>
      <c r="S560" s="177"/>
      <c r="T560" s="177"/>
      <c r="U560" s="177"/>
      <c r="V560" s="177"/>
      <c r="W560" s="177"/>
      <c r="X560" s="177"/>
      <c r="Y560" s="177"/>
      <c r="Z560" s="177"/>
      <c r="AA560" s="177"/>
      <c r="AB560" s="178"/>
      <c r="AC560" s="178"/>
      <c r="AD560" s="178"/>
      <c r="AE560" s="178"/>
      <c r="AF560" s="179"/>
      <c r="AG560" s="179"/>
      <c r="AH560" s="179"/>
      <c r="AI560" s="179"/>
      <c r="AJ560" s="179"/>
      <c r="AK560" s="179"/>
      <c r="AL560" s="179"/>
    </row>
    <row r="561" spans="11:38">
      <c r="K561" s="177"/>
      <c r="L561" s="177"/>
      <c r="M561" s="177"/>
      <c r="N561" s="177"/>
      <c r="O561" s="177"/>
      <c r="P561" s="177"/>
      <c r="Q561" s="177"/>
      <c r="R561" s="177"/>
      <c r="S561" s="177"/>
      <c r="T561" s="177"/>
      <c r="U561" s="177"/>
      <c r="V561" s="177"/>
      <c r="W561" s="177"/>
      <c r="X561" s="177"/>
      <c r="Y561" s="177"/>
      <c r="Z561" s="177"/>
      <c r="AA561" s="177"/>
      <c r="AB561" s="178"/>
      <c r="AC561" s="178"/>
      <c r="AD561" s="178"/>
      <c r="AE561" s="178"/>
      <c r="AF561" s="179"/>
      <c r="AG561" s="179"/>
      <c r="AH561" s="179"/>
      <c r="AI561" s="179"/>
      <c r="AJ561" s="179"/>
      <c r="AK561" s="179"/>
      <c r="AL561" s="179"/>
    </row>
    <row r="562" spans="11:38">
      <c r="K562" s="177"/>
      <c r="L562" s="177"/>
      <c r="M562" s="177"/>
      <c r="N562" s="177"/>
      <c r="O562" s="177"/>
      <c r="P562" s="177"/>
      <c r="Q562" s="177"/>
      <c r="R562" s="177"/>
      <c r="S562" s="177"/>
      <c r="T562" s="177"/>
      <c r="U562" s="177"/>
      <c r="V562" s="177"/>
      <c r="W562" s="177"/>
      <c r="X562" s="177"/>
      <c r="Y562" s="177"/>
      <c r="Z562" s="177"/>
      <c r="AA562" s="177"/>
      <c r="AB562" s="178"/>
      <c r="AC562" s="178"/>
      <c r="AD562" s="178"/>
      <c r="AE562" s="178"/>
      <c r="AF562" s="179"/>
      <c r="AG562" s="179"/>
      <c r="AH562" s="179"/>
      <c r="AI562" s="179"/>
      <c r="AJ562" s="179"/>
      <c r="AK562" s="179"/>
      <c r="AL562" s="179"/>
    </row>
    <row r="563" spans="11:38">
      <c r="K563" s="177"/>
      <c r="L563" s="177"/>
      <c r="M563" s="177"/>
      <c r="N563" s="177"/>
      <c r="O563" s="177"/>
      <c r="P563" s="177"/>
      <c r="Q563" s="177"/>
      <c r="R563" s="177"/>
      <c r="S563" s="177"/>
      <c r="T563" s="177"/>
      <c r="U563" s="177"/>
      <c r="V563" s="177"/>
      <c r="W563" s="177"/>
      <c r="X563" s="177"/>
      <c r="Y563" s="177"/>
      <c r="Z563" s="177"/>
      <c r="AA563" s="177"/>
      <c r="AB563" s="178"/>
      <c r="AC563" s="178"/>
      <c r="AD563" s="178"/>
      <c r="AE563" s="178"/>
      <c r="AF563" s="179"/>
      <c r="AG563" s="179"/>
      <c r="AH563" s="179"/>
      <c r="AI563" s="179"/>
      <c r="AJ563" s="179"/>
      <c r="AK563" s="179"/>
      <c r="AL563" s="179"/>
    </row>
    <row r="564" spans="11:38">
      <c r="K564" s="177"/>
      <c r="L564" s="177"/>
      <c r="M564" s="177"/>
      <c r="N564" s="177"/>
      <c r="O564" s="177"/>
      <c r="P564" s="177"/>
      <c r="Q564" s="177"/>
      <c r="R564" s="177"/>
      <c r="S564" s="177"/>
      <c r="T564" s="177"/>
      <c r="U564" s="177"/>
      <c r="V564" s="177"/>
      <c r="W564" s="177"/>
      <c r="X564" s="177"/>
      <c r="Y564" s="177"/>
      <c r="Z564" s="177"/>
      <c r="AA564" s="177"/>
      <c r="AB564" s="178"/>
      <c r="AC564" s="178"/>
      <c r="AD564" s="178"/>
      <c r="AE564" s="178"/>
      <c r="AF564" s="179"/>
      <c r="AG564" s="179"/>
      <c r="AH564" s="179"/>
      <c r="AI564" s="179"/>
      <c r="AJ564" s="179"/>
      <c r="AK564" s="179"/>
      <c r="AL564" s="179"/>
    </row>
    <row r="565" spans="11:38">
      <c r="K565" s="177"/>
      <c r="L565" s="177"/>
      <c r="M565" s="177"/>
      <c r="N565" s="177"/>
      <c r="O565" s="177"/>
      <c r="P565" s="177"/>
      <c r="Q565" s="177"/>
      <c r="R565" s="177"/>
      <c r="S565" s="177"/>
      <c r="T565" s="177"/>
      <c r="U565" s="177"/>
      <c r="V565" s="177"/>
      <c r="W565" s="177"/>
      <c r="X565" s="177"/>
      <c r="Y565" s="177"/>
      <c r="Z565" s="177"/>
      <c r="AA565" s="177"/>
      <c r="AB565" s="178"/>
      <c r="AC565" s="178"/>
      <c r="AD565" s="178"/>
      <c r="AE565" s="178"/>
      <c r="AF565" s="179"/>
      <c r="AG565" s="179"/>
      <c r="AH565" s="179"/>
      <c r="AI565" s="179"/>
      <c r="AJ565" s="179"/>
      <c r="AK565" s="179"/>
      <c r="AL565" s="179"/>
    </row>
    <row r="566" spans="11:38">
      <c r="K566" s="177"/>
      <c r="L566" s="177"/>
      <c r="M566" s="177"/>
      <c r="N566" s="177"/>
      <c r="O566" s="177"/>
      <c r="P566" s="177"/>
      <c r="Q566" s="177"/>
      <c r="R566" s="177"/>
      <c r="S566" s="177"/>
      <c r="T566" s="177"/>
      <c r="U566" s="177"/>
      <c r="V566" s="177"/>
      <c r="W566" s="177"/>
      <c r="X566" s="177"/>
      <c r="Y566" s="177"/>
      <c r="Z566" s="177"/>
      <c r="AA566" s="177"/>
      <c r="AB566" s="178"/>
      <c r="AC566" s="178"/>
      <c r="AD566" s="178"/>
      <c r="AE566" s="178"/>
      <c r="AF566" s="179"/>
      <c r="AG566" s="179"/>
      <c r="AH566" s="179"/>
      <c r="AI566" s="179"/>
      <c r="AJ566" s="179"/>
      <c r="AK566" s="179"/>
      <c r="AL566" s="179"/>
    </row>
    <row r="567" spans="11:38">
      <c r="K567" s="177"/>
      <c r="L567" s="177"/>
      <c r="M567" s="177"/>
      <c r="N567" s="177"/>
      <c r="O567" s="177"/>
      <c r="P567" s="177"/>
      <c r="Q567" s="177"/>
      <c r="R567" s="177"/>
      <c r="S567" s="177"/>
      <c r="T567" s="177"/>
      <c r="U567" s="177"/>
      <c r="V567" s="177"/>
      <c r="W567" s="177"/>
      <c r="X567" s="177"/>
      <c r="Y567" s="177"/>
      <c r="Z567" s="177"/>
      <c r="AA567" s="177"/>
      <c r="AB567" s="178"/>
      <c r="AC567" s="178"/>
      <c r="AD567" s="178"/>
      <c r="AE567" s="178"/>
      <c r="AF567" s="179"/>
      <c r="AG567" s="179"/>
      <c r="AH567" s="179"/>
      <c r="AI567" s="179"/>
      <c r="AJ567" s="179"/>
      <c r="AK567" s="179"/>
      <c r="AL567" s="179"/>
    </row>
    <row r="568" spans="11:38">
      <c r="K568" s="177"/>
      <c r="L568" s="177"/>
      <c r="M568" s="177"/>
      <c r="N568" s="177"/>
      <c r="O568" s="177"/>
      <c r="P568" s="177"/>
      <c r="Q568" s="177"/>
      <c r="R568" s="177"/>
      <c r="S568" s="177"/>
      <c r="T568" s="177"/>
      <c r="U568" s="177"/>
      <c r="V568" s="177"/>
      <c r="W568" s="177"/>
      <c r="X568" s="177"/>
      <c r="Y568" s="177"/>
      <c r="Z568" s="177"/>
      <c r="AA568" s="177"/>
      <c r="AB568" s="178"/>
      <c r="AC568" s="178"/>
      <c r="AD568" s="178"/>
      <c r="AE568" s="178"/>
      <c r="AF568" s="179"/>
      <c r="AG568" s="179"/>
      <c r="AH568" s="179"/>
      <c r="AI568" s="179"/>
      <c r="AJ568" s="179"/>
      <c r="AK568" s="179"/>
      <c r="AL568" s="179"/>
    </row>
    <row r="569" spans="11:38">
      <c r="K569" s="177"/>
      <c r="L569" s="177"/>
      <c r="M569" s="177"/>
      <c r="N569" s="177"/>
      <c r="O569" s="177"/>
      <c r="P569" s="177"/>
      <c r="Q569" s="177"/>
      <c r="R569" s="177"/>
      <c r="S569" s="177"/>
      <c r="T569" s="177"/>
      <c r="U569" s="177"/>
      <c r="V569" s="177"/>
      <c r="W569" s="177"/>
      <c r="X569" s="177"/>
      <c r="Y569" s="177"/>
      <c r="Z569" s="177"/>
      <c r="AA569" s="177"/>
      <c r="AB569" s="178"/>
      <c r="AC569" s="178"/>
      <c r="AD569" s="178"/>
      <c r="AE569" s="178"/>
      <c r="AF569" s="179"/>
      <c r="AG569" s="179"/>
      <c r="AH569" s="179"/>
      <c r="AI569" s="179"/>
      <c r="AJ569" s="179"/>
      <c r="AK569" s="179"/>
      <c r="AL569" s="179"/>
    </row>
    <row r="570" spans="11:38">
      <c r="K570" s="177"/>
      <c r="L570" s="177"/>
      <c r="M570" s="177"/>
      <c r="N570" s="177"/>
      <c r="O570" s="177"/>
      <c r="P570" s="177"/>
      <c r="Q570" s="177"/>
      <c r="R570" s="177"/>
      <c r="S570" s="177"/>
      <c r="T570" s="177"/>
      <c r="U570" s="177"/>
      <c r="V570" s="177"/>
      <c r="W570" s="177"/>
      <c r="X570" s="177"/>
      <c r="Y570" s="177"/>
      <c r="Z570" s="177"/>
      <c r="AA570" s="177"/>
      <c r="AB570" s="178"/>
      <c r="AC570" s="178"/>
      <c r="AD570" s="178"/>
      <c r="AE570" s="178"/>
      <c r="AF570" s="179"/>
      <c r="AG570" s="179"/>
      <c r="AH570" s="179"/>
      <c r="AI570" s="179"/>
      <c r="AJ570" s="179"/>
      <c r="AK570" s="179"/>
      <c r="AL570" s="179"/>
    </row>
    <row r="571" spans="11:38">
      <c r="K571" s="177"/>
      <c r="L571" s="177"/>
      <c r="M571" s="177"/>
      <c r="N571" s="177"/>
      <c r="O571" s="177"/>
      <c r="P571" s="177"/>
      <c r="Q571" s="177"/>
      <c r="R571" s="177"/>
      <c r="S571" s="177"/>
      <c r="T571" s="177"/>
      <c r="U571" s="177"/>
      <c r="V571" s="177"/>
      <c r="W571" s="177"/>
      <c r="X571" s="177"/>
      <c r="Y571" s="177"/>
      <c r="Z571" s="177"/>
      <c r="AA571" s="177"/>
      <c r="AB571" s="178"/>
      <c r="AC571" s="178"/>
      <c r="AD571" s="178"/>
      <c r="AE571" s="178"/>
      <c r="AF571" s="179"/>
      <c r="AG571" s="179"/>
      <c r="AH571" s="179"/>
      <c r="AI571" s="179"/>
      <c r="AJ571" s="179"/>
      <c r="AK571" s="179"/>
      <c r="AL571" s="179"/>
    </row>
    <row r="572" spans="11:38">
      <c r="K572" s="177"/>
      <c r="L572" s="177"/>
      <c r="M572" s="177"/>
      <c r="N572" s="177"/>
      <c r="O572" s="177"/>
      <c r="P572" s="177"/>
      <c r="Q572" s="177"/>
      <c r="R572" s="177"/>
      <c r="S572" s="177"/>
      <c r="T572" s="177"/>
      <c r="U572" s="177"/>
      <c r="V572" s="177"/>
      <c r="W572" s="177"/>
      <c r="X572" s="177"/>
      <c r="Y572" s="177"/>
      <c r="Z572" s="177"/>
      <c r="AA572" s="177"/>
      <c r="AB572" s="178"/>
      <c r="AC572" s="178"/>
      <c r="AD572" s="178"/>
      <c r="AE572" s="178"/>
      <c r="AF572" s="179"/>
      <c r="AG572" s="179"/>
      <c r="AH572" s="179"/>
      <c r="AI572" s="179"/>
      <c r="AJ572" s="179"/>
      <c r="AK572" s="179"/>
      <c r="AL572" s="179"/>
    </row>
    <row r="573" spans="11:38">
      <c r="K573" s="177"/>
      <c r="L573" s="177"/>
      <c r="M573" s="177"/>
      <c r="N573" s="177"/>
      <c r="O573" s="177"/>
      <c r="P573" s="177"/>
      <c r="Q573" s="177"/>
      <c r="R573" s="177"/>
      <c r="S573" s="177"/>
      <c r="T573" s="177"/>
      <c r="U573" s="177"/>
      <c r="V573" s="177"/>
      <c r="W573" s="177"/>
      <c r="X573" s="177"/>
      <c r="Y573" s="177"/>
      <c r="Z573" s="177"/>
      <c r="AA573" s="177"/>
      <c r="AB573" s="178"/>
      <c r="AC573" s="178"/>
      <c r="AD573" s="178"/>
      <c r="AE573" s="178"/>
      <c r="AF573" s="179"/>
      <c r="AG573" s="179"/>
      <c r="AH573" s="179"/>
      <c r="AI573" s="179"/>
      <c r="AJ573" s="179"/>
      <c r="AK573" s="179"/>
      <c r="AL573" s="179"/>
    </row>
    <row r="574" spans="11:38">
      <c r="K574" s="177"/>
      <c r="L574" s="177"/>
      <c r="M574" s="177"/>
      <c r="N574" s="177"/>
      <c r="O574" s="177"/>
      <c r="P574" s="177"/>
      <c r="Q574" s="177"/>
      <c r="R574" s="177"/>
      <c r="S574" s="177"/>
      <c r="T574" s="177"/>
      <c r="U574" s="177"/>
      <c r="V574" s="177"/>
      <c r="W574" s="177"/>
      <c r="X574" s="177"/>
      <c r="Y574" s="177"/>
      <c r="Z574" s="177"/>
      <c r="AA574" s="177"/>
      <c r="AB574" s="178"/>
      <c r="AC574" s="178"/>
      <c r="AD574" s="178"/>
      <c r="AE574" s="178"/>
      <c r="AF574" s="179"/>
      <c r="AG574" s="179"/>
      <c r="AH574" s="179"/>
      <c r="AI574" s="179"/>
      <c r="AJ574" s="179"/>
      <c r="AK574" s="179"/>
      <c r="AL574" s="179"/>
    </row>
    <row r="575" spans="11:38">
      <c r="K575" s="177"/>
      <c r="L575" s="177"/>
      <c r="M575" s="177"/>
      <c r="N575" s="177"/>
      <c r="O575" s="177"/>
      <c r="P575" s="177"/>
      <c r="Q575" s="177"/>
      <c r="R575" s="177"/>
      <c r="S575" s="177"/>
      <c r="T575" s="177"/>
      <c r="U575" s="177"/>
      <c r="V575" s="177"/>
      <c r="W575" s="177"/>
      <c r="X575" s="177"/>
      <c r="Y575" s="177"/>
      <c r="Z575" s="177"/>
      <c r="AA575" s="177"/>
      <c r="AB575" s="178"/>
      <c r="AC575" s="178"/>
      <c r="AD575" s="178"/>
      <c r="AE575" s="178"/>
      <c r="AF575" s="179"/>
      <c r="AG575" s="179"/>
      <c r="AH575" s="179"/>
      <c r="AI575" s="179"/>
      <c r="AJ575" s="179"/>
      <c r="AK575" s="179"/>
      <c r="AL575" s="179"/>
    </row>
    <row r="576" spans="11:38">
      <c r="K576" s="177"/>
      <c r="L576" s="177"/>
      <c r="M576" s="177"/>
      <c r="N576" s="177"/>
      <c r="O576" s="177"/>
      <c r="P576" s="177"/>
      <c r="Q576" s="177"/>
      <c r="R576" s="177"/>
      <c r="S576" s="177"/>
      <c r="T576" s="177"/>
      <c r="U576" s="177"/>
      <c r="V576" s="177"/>
      <c r="W576" s="177"/>
      <c r="X576" s="177"/>
      <c r="Y576" s="177"/>
      <c r="Z576" s="177"/>
      <c r="AA576" s="177"/>
      <c r="AB576" s="178"/>
      <c r="AC576" s="178"/>
      <c r="AD576" s="178"/>
      <c r="AE576" s="178"/>
      <c r="AF576" s="179"/>
      <c r="AG576" s="179"/>
      <c r="AH576" s="179"/>
      <c r="AI576" s="179"/>
      <c r="AJ576" s="179"/>
      <c r="AK576" s="179"/>
      <c r="AL576" s="179"/>
    </row>
    <row r="577" spans="11:38">
      <c r="K577" s="177"/>
      <c r="L577" s="177"/>
      <c r="M577" s="177"/>
      <c r="N577" s="177"/>
      <c r="O577" s="177"/>
      <c r="P577" s="177"/>
      <c r="Q577" s="177"/>
      <c r="R577" s="177"/>
      <c r="S577" s="177"/>
      <c r="T577" s="177"/>
      <c r="U577" s="177"/>
      <c r="V577" s="177"/>
      <c r="W577" s="177"/>
      <c r="X577" s="177"/>
      <c r="Y577" s="177"/>
      <c r="Z577" s="177"/>
      <c r="AA577" s="177"/>
      <c r="AB577" s="178"/>
      <c r="AC577" s="178"/>
      <c r="AD577" s="178"/>
      <c r="AE577" s="178"/>
      <c r="AF577" s="179"/>
      <c r="AG577" s="179"/>
      <c r="AH577" s="179"/>
      <c r="AI577" s="179"/>
      <c r="AJ577" s="179"/>
      <c r="AK577" s="179"/>
      <c r="AL577" s="179"/>
    </row>
    <row r="578" spans="11:38">
      <c r="K578" s="177"/>
      <c r="L578" s="177"/>
      <c r="M578" s="177"/>
      <c r="N578" s="177"/>
      <c r="O578" s="177"/>
      <c r="P578" s="177"/>
      <c r="Q578" s="177"/>
      <c r="R578" s="177"/>
      <c r="S578" s="177"/>
      <c r="T578" s="177"/>
      <c r="U578" s="177"/>
      <c r="V578" s="177"/>
      <c r="W578" s="177"/>
      <c r="X578" s="177"/>
      <c r="Y578" s="177"/>
      <c r="Z578" s="177"/>
      <c r="AA578" s="177"/>
      <c r="AB578" s="178"/>
      <c r="AC578" s="178"/>
      <c r="AD578" s="178"/>
      <c r="AE578" s="178"/>
      <c r="AF578" s="179"/>
      <c r="AG578" s="179"/>
      <c r="AH578" s="179"/>
      <c r="AI578" s="179"/>
      <c r="AJ578" s="179"/>
      <c r="AK578" s="179"/>
      <c r="AL578" s="179"/>
    </row>
    <row r="579" spans="11:38">
      <c r="K579" s="177"/>
      <c r="L579" s="177"/>
      <c r="M579" s="177"/>
      <c r="N579" s="177"/>
      <c r="O579" s="177"/>
      <c r="P579" s="177"/>
      <c r="Q579" s="177"/>
      <c r="R579" s="177"/>
      <c r="S579" s="177"/>
      <c r="T579" s="177"/>
      <c r="U579" s="177"/>
      <c r="V579" s="177"/>
      <c r="W579" s="177"/>
      <c r="X579" s="177"/>
      <c r="Y579" s="177"/>
      <c r="Z579" s="177"/>
      <c r="AA579" s="177"/>
      <c r="AB579" s="178"/>
      <c r="AC579" s="178"/>
      <c r="AD579" s="178"/>
      <c r="AE579" s="178"/>
      <c r="AF579" s="179"/>
      <c r="AG579" s="179"/>
      <c r="AH579" s="179"/>
      <c r="AI579" s="179"/>
      <c r="AJ579" s="179"/>
      <c r="AK579" s="179"/>
      <c r="AL579" s="179"/>
    </row>
    <row r="580" spans="11:38">
      <c r="K580" s="177"/>
      <c r="L580" s="177"/>
      <c r="M580" s="177"/>
      <c r="N580" s="177"/>
      <c r="O580" s="177"/>
      <c r="P580" s="177"/>
      <c r="Q580" s="177"/>
      <c r="R580" s="177"/>
      <c r="S580" s="177"/>
      <c r="T580" s="177"/>
      <c r="U580" s="177"/>
      <c r="V580" s="177"/>
      <c r="W580" s="177"/>
      <c r="X580" s="177"/>
      <c r="Y580" s="177"/>
      <c r="Z580" s="177"/>
      <c r="AA580" s="177"/>
      <c r="AB580" s="178"/>
      <c r="AC580" s="178"/>
      <c r="AD580" s="178"/>
      <c r="AE580" s="178"/>
      <c r="AF580" s="179"/>
      <c r="AG580" s="179"/>
      <c r="AH580" s="179"/>
      <c r="AI580" s="179"/>
      <c r="AJ580" s="179"/>
      <c r="AK580" s="179"/>
      <c r="AL580" s="179"/>
    </row>
    <row r="581" spans="11:38">
      <c r="K581" s="177"/>
      <c r="L581" s="177"/>
      <c r="M581" s="177"/>
      <c r="N581" s="177"/>
      <c r="O581" s="177"/>
      <c r="P581" s="177"/>
      <c r="Q581" s="177"/>
      <c r="R581" s="177"/>
      <c r="S581" s="177"/>
      <c r="T581" s="177"/>
      <c r="U581" s="177"/>
      <c r="V581" s="177"/>
      <c r="W581" s="177"/>
      <c r="X581" s="177"/>
      <c r="Y581" s="177"/>
      <c r="Z581" s="177"/>
      <c r="AA581" s="177"/>
      <c r="AB581" s="178"/>
      <c r="AC581" s="178"/>
      <c r="AD581" s="178"/>
      <c r="AE581" s="178"/>
      <c r="AF581" s="179"/>
      <c r="AG581" s="179"/>
      <c r="AH581" s="179"/>
      <c r="AI581" s="179"/>
      <c r="AJ581" s="179"/>
      <c r="AK581" s="179"/>
      <c r="AL581" s="179"/>
    </row>
    <row r="582" spans="11:38">
      <c r="K582" s="177"/>
      <c r="L582" s="177"/>
      <c r="M582" s="177"/>
      <c r="N582" s="177"/>
      <c r="O582" s="177"/>
      <c r="P582" s="177"/>
      <c r="Q582" s="177"/>
      <c r="R582" s="177"/>
      <c r="S582" s="177"/>
      <c r="T582" s="177"/>
      <c r="U582" s="177"/>
      <c r="V582" s="177"/>
      <c r="W582" s="177"/>
      <c r="X582" s="177"/>
      <c r="Y582" s="177"/>
      <c r="Z582" s="177"/>
      <c r="AA582" s="177"/>
      <c r="AB582" s="178"/>
      <c r="AC582" s="178"/>
      <c r="AD582" s="178"/>
      <c r="AE582" s="178"/>
      <c r="AF582" s="179"/>
      <c r="AG582" s="179"/>
      <c r="AH582" s="179"/>
      <c r="AI582" s="179"/>
      <c r="AJ582" s="179"/>
      <c r="AK582" s="179"/>
      <c r="AL582" s="179"/>
    </row>
    <row r="583" spans="11:38">
      <c r="K583" s="177"/>
      <c r="L583" s="177"/>
      <c r="M583" s="177"/>
      <c r="N583" s="177"/>
      <c r="O583" s="177"/>
      <c r="P583" s="177"/>
      <c r="Q583" s="177"/>
      <c r="R583" s="177"/>
      <c r="S583" s="177"/>
      <c r="T583" s="177"/>
      <c r="U583" s="177"/>
      <c r="V583" s="177"/>
      <c r="W583" s="177"/>
      <c r="X583" s="177"/>
      <c r="Y583" s="177"/>
      <c r="Z583" s="177"/>
      <c r="AA583" s="177"/>
      <c r="AB583" s="178"/>
      <c r="AC583" s="178"/>
      <c r="AD583" s="178"/>
      <c r="AE583" s="178"/>
      <c r="AF583" s="179"/>
      <c r="AG583" s="179"/>
      <c r="AH583" s="179"/>
      <c r="AI583" s="179"/>
      <c r="AJ583" s="179"/>
      <c r="AK583" s="179"/>
      <c r="AL583" s="179"/>
    </row>
    <row r="584" spans="11:38">
      <c r="K584" s="177"/>
      <c r="L584" s="177"/>
      <c r="M584" s="177"/>
      <c r="N584" s="177"/>
      <c r="O584" s="177"/>
      <c r="P584" s="177"/>
      <c r="Q584" s="177"/>
      <c r="R584" s="177"/>
      <c r="S584" s="177"/>
      <c r="T584" s="177"/>
      <c r="U584" s="177"/>
      <c r="V584" s="177"/>
      <c r="W584" s="177"/>
      <c r="X584" s="177"/>
      <c r="Y584" s="177"/>
      <c r="Z584" s="177"/>
      <c r="AA584" s="177"/>
      <c r="AB584" s="178"/>
      <c r="AC584" s="178"/>
      <c r="AD584" s="178"/>
      <c r="AE584" s="178"/>
      <c r="AF584" s="179"/>
      <c r="AG584" s="179"/>
      <c r="AH584" s="179"/>
      <c r="AI584" s="179"/>
      <c r="AJ584" s="179"/>
      <c r="AK584" s="179"/>
      <c r="AL584" s="179"/>
    </row>
    <row r="585" spans="11:38">
      <c r="K585" s="177"/>
      <c r="L585" s="177"/>
      <c r="M585" s="177"/>
      <c r="N585" s="177"/>
      <c r="O585" s="177"/>
      <c r="P585" s="177"/>
      <c r="Q585" s="177"/>
      <c r="R585" s="177"/>
      <c r="S585" s="177"/>
      <c r="T585" s="177"/>
      <c r="U585" s="177"/>
      <c r="V585" s="177"/>
      <c r="W585" s="177"/>
      <c r="X585" s="177"/>
      <c r="Y585" s="177"/>
      <c r="Z585" s="177"/>
      <c r="AA585" s="177"/>
      <c r="AB585" s="178"/>
      <c r="AC585" s="178"/>
      <c r="AD585" s="178"/>
      <c r="AE585" s="178"/>
      <c r="AF585" s="179"/>
      <c r="AG585" s="179"/>
      <c r="AH585" s="179"/>
      <c r="AI585" s="179"/>
      <c r="AJ585" s="179"/>
      <c r="AK585" s="179"/>
      <c r="AL585" s="179"/>
    </row>
    <row r="586" spans="11:38">
      <c r="K586" s="177"/>
      <c r="L586" s="177"/>
      <c r="M586" s="177"/>
      <c r="N586" s="177"/>
      <c r="O586" s="177"/>
      <c r="P586" s="177"/>
      <c r="Q586" s="177"/>
      <c r="R586" s="177"/>
      <c r="S586" s="177"/>
      <c r="T586" s="177"/>
      <c r="U586" s="177"/>
      <c r="V586" s="177"/>
      <c r="W586" s="177"/>
      <c r="X586" s="177"/>
      <c r="Y586" s="177"/>
      <c r="Z586" s="177"/>
      <c r="AA586" s="177"/>
      <c r="AB586" s="178"/>
      <c r="AC586" s="178"/>
      <c r="AD586" s="178"/>
      <c r="AE586" s="178"/>
      <c r="AF586" s="179"/>
      <c r="AG586" s="179"/>
      <c r="AH586" s="179"/>
      <c r="AI586" s="179"/>
      <c r="AJ586" s="179"/>
      <c r="AK586" s="179"/>
      <c r="AL586" s="179"/>
    </row>
    <row r="587" spans="11:38">
      <c r="K587" s="177"/>
      <c r="L587" s="177"/>
      <c r="M587" s="177"/>
      <c r="N587" s="177"/>
      <c r="O587" s="177"/>
      <c r="P587" s="177"/>
      <c r="Q587" s="177"/>
      <c r="R587" s="177"/>
      <c r="S587" s="177"/>
      <c r="T587" s="177"/>
      <c r="U587" s="177"/>
      <c r="V587" s="177"/>
      <c r="W587" s="177"/>
      <c r="X587" s="177"/>
      <c r="Y587" s="177"/>
      <c r="Z587" s="177"/>
      <c r="AA587" s="177"/>
      <c r="AB587" s="178"/>
      <c r="AC587" s="178"/>
      <c r="AD587" s="178"/>
      <c r="AE587" s="178"/>
      <c r="AF587" s="179"/>
      <c r="AG587" s="179"/>
      <c r="AH587" s="179"/>
      <c r="AI587" s="179"/>
      <c r="AJ587" s="179"/>
      <c r="AK587" s="179"/>
      <c r="AL587" s="179"/>
    </row>
    <row r="588" spans="11:38">
      <c r="K588" s="177"/>
      <c r="L588" s="177"/>
      <c r="M588" s="177"/>
      <c r="N588" s="177"/>
      <c r="O588" s="177"/>
      <c r="P588" s="177"/>
      <c r="Q588" s="177"/>
      <c r="R588" s="177"/>
      <c r="S588" s="177"/>
      <c r="T588" s="177"/>
      <c r="U588" s="177"/>
      <c r="V588" s="177"/>
      <c r="W588" s="177"/>
      <c r="X588" s="177"/>
      <c r="Y588" s="177"/>
      <c r="Z588" s="177"/>
      <c r="AA588" s="177"/>
      <c r="AB588" s="178"/>
      <c r="AC588" s="178"/>
      <c r="AD588" s="178"/>
      <c r="AE588" s="178"/>
      <c r="AF588" s="179"/>
      <c r="AG588" s="179"/>
      <c r="AH588" s="179"/>
      <c r="AI588" s="179"/>
      <c r="AJ588" s="179"/>
      <c r="AK588" s="179"/>
      <c r="AL588" s="179"/>
    </row>
    <row r="589" spans="11:38">
      <c r="K589" s="177"/>
      <c r="L589" s="177"/>
      <c r="M589" s="177"/>
      <c r="N589" s="177"/>
      <c r="O589" s="177"/>
      <c r="P589" s="177"/>
      <c r="Q589" s="177"/>
      <c r="R589" s="177"/>
      <c r="S589" s="177"/>
      <c r="T589" s="177"/>
      <c r="U589" s="177"/>
      <c r="V589" s="177"/>
      <c r="W589" s="177"/>
      <c r="X589" s="177"/>
      <c r="Y589" s="177"/>
      <c r="Z589" s="177"/>
      <c r="AA589" s="177"/>
      <c r="AB589" s="178"/>
      <c r="AC589" s="178"/>
      <c r="AD589" s="178"/>
      <c r="AE589" s="178"/>
      <c r="AF589" s="179"/>
      <c r="AG589" s="179"/>
      <c r="AH589" s="179"/>
      <c r="AI589" s="179"/>
      <c r="AJ589" s="179"/>
      <c r="AK589" s="179"/>
      <c r="AL589" s="179"/>
    </row>
    <row r="590" spans="11:38">
      <c r="K590" s="177"/>
      <c r="L590" s="177"/>
      <c r="M590" s="177"/>
      <c r="N590" s="177"/>
      <c r="O590" s="177"/>
      <c r="P590" s="177"/>
      <c r="Q590" s="177"/>
      <c r="R590" s="177"/>
      <c r="S590" s="177"/>
      <c r="T590" s="177"/>
      <c r="U590" s="177"/>
      <c r="V590" s="177"/>
      <c r="W590" s="177"/>
      <c r="X590" s="177"/>
      <c r="Y590" s="177"/>
      <c r="Z590" s="177"/>
      <c r="AA590" s="177"/>
      <c r="AB590" s="178"/>
      <c r="AC590" s="178"/>
      <c r="AD590" s="178"/>
      <c r="AE590" s="178"/>
      <c r="AF590" s="179"/>
      <c r="AG590" s="179"/>
      <c r="AH590" s="179"/>
      <c r="AI590" s="179"/>
      <c r="AJ590" s="179"/>
      <c r="AK590" s="179"/>
      <c r="AL590" s="179"/>
    </row>
    <row r="591" spans="11:38">
      <c r="K591" s="177"/>
      <c r="L591" s="177"/>
      <c r="M591" s="177"/>
      <c r="N591" s="177"/>
      <c r="O591" s="177"/>
      <c r="P591" s="177"/>
      <c r="Q591" s="177"/>
      <c r="R591" s="177"/>
      <c r="S591" s="177"/>
      <c r="T591" s="177"/>
      <c r="U591" s="177"/>
      <c r="V591" s="177"/>
      <c r="W591" s="177"/>
      <c r="X591" s="177"/>
      <c r="Y591" s="177"/>
      <c r="Z591" s="177"/>
      <c r="AA591" s="177"/>
      <c r="AB591" s="178"/>
      <c r="AC591" s="178"/>
      <c r="AD591" s="178"/>
      <c r="AE591" s="178"/>
      <c r="AF591" s="179"/>
      <c r="AG591" s="179"/>
      <c r="AH591" s="179"/>
      <c r="AI591" s="179"/>
      <c r="AJ591" s="179"/>
      <c r="AK591" s="179"/>
      <c r="AL591" s="179"/>
    </row>
    <row r="592" spans="11:38">
      <c r="K592" s="177"/>
      <c r="L592" s="177"/>
      <c r="M592" s="177"/>
      <c r="N592" s="177"/>
      <c r="O592" s="177"/>
      <c r="P592" s="177"/>
      <c r="Q592" s="177"/>
      <c r="R592" s="177"/>
      <c r="S592" s="177"/>
      <c r="T592" s="177"/>
      <c r="U592" s="177"/>
      <c r="V592" s="177"/>
      <c r="W592" s="177"/>
      <c r="X592" s="177"/>
      <c r="Y592" s="177"/>
      <c r="Z592" s="177"/>
      <c r="AA592" s="177"/>
      <c r="AB592" s="178"/>
      <c r="AC592" s="178"/>
      <c r="AD592" s="178"/>
      <c r="AE592" s="178"/>
      <c r="AF592" s="179"/>
      <c r="AG592" s="179"/>
      <c r="AH592" s="179"/>
      <c r="AI592" s="179"/>
      <c r="AJ592" s="179"/>
      <c r="AK592" s="179"/>
      <c r="AL592" s="179"/>
    </row>
    <row r="593" spans="11:38">
      <c r="K593" s="177"/>
      <c r="L593" s="177"/>
      <c r="M593" s="177"/>
      <c r="N593" s="177"/>
      <c r="O593" s="177"/>
      <c r="P593" s="177"/>
      <c r="Q593" s="177"/>
      <c r="R593" s="177"/>
      <c r="S593" s="177"/>
      <c r="T593" s="177"/>
      <c r="U593" s="177"/>
      <c r="V593" s="177"/>
      <c r="W593" s="177"/>
      <c r="X593" s="177"/>
      <c r="Y593" s="177"/>
      <c r="Z593" s="177"/>
      <c r="AA593" s="177"/>
      <c r="AB593" s="178"/>
      <c r="AC593" s="178"/>
      <c r="AD593" s="178"/>
      <c r="AE593" s="178"/>
      <c r="AF593" s="179"/>
      <c r="AG593" s="179"/>
      <c r="AH593" s="179"/>
      <c r="AI593" s="179"/>
      <c r="AJ593" s="179"/>
      <c r="AK593" s="179"/>
      <c r="AL593" s="179"/>
    </row>
    <row r="594" spans="11:38">
      <c r="K594" s="177"/>
      <c r="L594" s="177"/>
      <c r="M594" s="177"/>
      <c r="N594" s="177"/>
      <c r="O594" s="177"/>
      <c r="P594" s="177"/>
      <c r="Q594" s="177"/>
      <c r="R594" s="177"/>
      <c r="S594" s="177"/>
      <c r="T594" s="177"/>
      <c r="U594" s="177"/>
      <c r="V594" s="177"/>
      <c r="W594" s="177"/>
      <c r="X594" s="177"/>
      <c r="Y594" s="177"/>
      <c r="Z594" s="177"/>
      <c r="AA594" s="177"/>
      <c r="AB594" s="178"/>
      <c r="AC594" s="178"/>
      <c r="AD594" s="178"/>
      <c r="AE594" s="178"/>
      <c r="AF594" s="179"/>
      <c r="AG594" s="179"/>
      <c r="AH594" s="179"/>
      <c r="AI594" s="179"/>
      <c r="AJ594" s="179"/>
      <c r="AK594" s="179"/>
      <c r="AL594" s="179"/>
    </row>
  </sheetData>
  <sheetProtection algorithmName="SHA-512" hashValue="k6OOQ4BJ0emplbrsEO7dnr6M0zjojFZBcs0W1qElH7aYX0AFcAKxaIL3vpDxpaGZ5Bd+Q2QYZfDU1l19ake6pw==" saltValue="9xrIKx/nWl7ZZgMky87/MQ==" spinCount="100000" sheet="1" objects="1" scenarios="1"/>
  <mergeCells count="19">
    <mergeCell ref="H2:K2"/>
    <mergeCell ref="B32:C32"/>
    <mergeCell ref="B37:C37"/>
    <mergeCell ref="B28:F31"/>
    <mergeCell ref="B3:C3"/>
    <mergeCell ref="B4:B5"/>
    <mergeCell ref="C4:C5"/>
    <mergeCell ref="D4:D5"/>
    <mergeCell ref="F38:H38"/>
    <mergeCell ref="I38:I43"/>
    <mergeCell ref="K38:O38"/>
    <mergeCell ref="B39:B43"/>
    <mergeCell ref="C39:C43"/>
    <mergeCell ref="D39:D43"/>
    <mergeCell ref="F39:F43"/>
    <mergeCell ref="G39:G43"/>
    <mergeCell ref="H39:H43"/>
    <mergeCell ref="B38:D38"/>
    <mergeCell ref="E38:E43"/>
  </mergeCells>
  <phoneticPr fontId="4"/>
  <conditionalFormatting sqref="B44:B58">
    <cfRule type="expression" dxfId="5" priority="44" stopIfTrue="1">
      <formula>MAX($K$42:$K$63)+14&lt;$B44</formula>
    </cfRule>
  </conditionalFormatting>
  <conditionalFormatting sqref="I44:I58">
    <cfRule type="expression" dxfId="4" priority="45">
      <formula>MAX($K$44:$K$63)+4&lt;$B44</formula>
    </cfRule>
    <cfRule type="expression" dxfId="3" priority="46" stopIfTrue="1">
      <formula>MAX($K$42:$K$63)+14&lt;$B44</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DBBD1-45A7-4BFB-8141-197E75B9224C}">
  <dimension ref="B2:AL594"/>
  <sheetViews>
    <sheetView zoomScale="85" zoomScaleNormal="85" workbookViewId="0">
      <selection activeCell="A19" sqref="A19"/>
    </sheetView>
  </sheetViews>
  <sheetFormatPr defaultRowHeight="13"/>
  <cols>
    <col min="2" max="2" width="11.26953125" customWidth="1"/>
    <col min="3" max="3" width="23.81640625" customWidth="1"/>
    <col min="4" max="38" width="11.26953125" customWidth="1"/>
  </cols>
  <sheetData>
    <row r="2" spans="2:38">
      <c r="B2" s="176"/>
      <c r="C2" s="177"/>
      <c r="D2" s="177"/>
      <c r="E2" s="177"/>
      <c r="F2" s="177"/>
      <c r="G2" s="177"/>
      <c r="H2" s="323"/>
      <c r="I2" s="323"/>
      <c r="J2" s="323"/>
      <c r="K2" s="323"/>
      <c r="L2" s="177"/>
      <c r="M2" s="177"/>
      <c r="N2" s="177"/>
      <c r="O2" s="177"/>
      <c r="P2" s="177"/>
      <c r="Q2" s="177"/>
      <c r="R2" s="177"/>
      <c r="S2" s="177"/>
      <c r="T2" s="177"/>
      <c r="U2" s="177"/>
      <c r="V2" s="177"/>
      <c r="W2" s="177"/>
      <c r="X2" s="177"/>
      <c r="Y2" s="177"/>
      <c r="Z2" s="177"/>
      <c r="AA2" s="178"/>
      <c r="AB2" s="178"/>
      <c r="AC2" s="178"/>
      <c r="AD2" s="178"/>
      <c r="AE2" s="179"/>
      <c r="AF2" s="179"/>
      <c r="AG2" s="179"/>
      <c r="AH2" s="179"/>
      <c r="AI2" s="179"/>
      <c r="AJ2" s="179"/>
      <c r="AK2" s="179"/>
      <c r="AL2" s="179"/>
    </row>
    <row r="3" spans="2:38" ht="35.15" customHeight="1" thickBot="1">
      <c r="B3" s="329" t="s">
        <v>202</v>
      </c>
      <c r="C3" s="329"/>
      <c r="D3" s="180"/>
      <c r="E3" s="180"/>
      <c r="F3" s="180"/>
      <c r="G3" s="180"/>
      <c r="H3" s="101"/>
      <c r="I3" s="63" t="s">
        <v>3</v>
      </c>
      <c r="J3" s="178"/>
      <c r="K3" s="179"/>
      <c r="L3" s="179"/>
      <c r="M3" s="179"/>
      <c r="N3" s="179"/>
      <c r="O3" s="179"/>
      <c r="P3" s="179"/>
      <c r="Q3" s="179"/>
      <c r="R3" s="179"/>
    </row>
    <row r="4" spans="2:38" ht="17" thickTop="1">
      <c r="B4" s="330" t="s">
        <v>178</v>
      </c>
      <c r="C4" s="330" t="s">
        <v>179</v>
      </c>
      <c r="D4" s="332" t="s">
        <v>180</v>
      </c>
      <c r="E4" s="181"/>
      <c r="F4" s="180"/>
      <c r="G4" s="182"/>
      <c r="H4" s="69"/>
      <c r="I4" s="63" t="s">
        <v>76</v>
      </c>
      <c r="J4" s="178"/>
      <c r="K4" s="179"/>
      <c r="L4" s="179"/>
      <c r="M4" s="179"/>
      <c r="N4" s="179"/>
      <c r="O4" s="179"/>
      <c r="P4" s="179"/>
      <c r="Q4" s="179"/>
      <c r="R4" s="179"/>
    </row>
    <row r="5" spans="2:38" ht="16.5">
      <c r="B5" s="331"/>
      <c r="C5" s="331"/>
      <c r="D5" s="332"/>
      <c r="E5" s="181"/>
      <c r="F5" s="180"/>
      <c r="G5" s="182"/>
      <c r="H5" s="70"/>
      <c r="I5" s="63" t="s">
        <v>38</v>
      </c>
      <c r="J5" s="178"/>
      <c r="K5" s="179"/>
      <c r="L5" s="179"/>
      <c r="M5" s="179"/>
      <c r="N5" s="179"/>
      <c r="O5" s="179"/>
      <c r="P5" s="179"/>
      <c r="Q5" s="179"/>
      <c r="R5" s="179"/>
    </row>
    <row r="6" spans="2:38">
      <c r="B6" s="47">
        <v>0</v>
      </c>
      <c r="C6" s="47"/>
      <c r="D6" s="183" t="str">
        <f t="shared" ref="D6:D26" si="0">IF(ISNUMBER(C6),LN(C6/C$6),"")</f>
        <v/>
      </c>
      <c r="E6" s="182"/>
      <c r="F6" s="180"/>
      <c r="G6" s="182"/>
      <c r="H6" s="179"/>
      <c r="I6" s="179"/>
      <c r="J6" s="179"/>
      <c r="K6" s="179"/>
      <c r="L6" s="179"/>
      <c r="M6" s="179"/>
      <c r="N6" s="179"/>
      <c r="O6" s="179"/>
      <c r="P6" s="179"/>
      <c r="Q6" s="179"/>
      <c r="R6" s="179"/>
    </row>
    <row r="7" spans="2:38">
      <c r="B7" s="47">
        <v>1</v>
      </c>
      <c r="C7" s="47"/>
      <c r="D7" s="183" t="str">
        <f>IF(ISNUMBER(C7),LN(C7/C$6),"")</f>
        <v/>
      </c>
      <c r="E7" s="182"/>
      <c r="F7" s="180"/>
      <c r="G7" s="182"/>
      <c r="H7" s="178"/>
      <c r="I7" s="178"/>
      <c r="J7" s="178"/>
      <c r="K7" s="179"/>
      <c r="L7" s="179"/>
      <c r="M7" s="179"/>
      <c r="N7" s="179"/>
      <c r="O7" s="179"/>
      <c r="P7" s="179"/>
      <c r="Q7" s="179"/>
      <c r="R7" s="179"/>
    </row>
    <row r="8" spans="2:38">
      <c r="B8" s="47">
        <v>3</v>
      </c>
      <c r="C8" s="47"/>
      <c r="D8" s="183" t="str">
        <f t="shared" si="0"/>
        <v/>
      </c>
      <c r="E8" s="182"/>
      <c r="F8" s="180"/>
      <c r="G8" s="180"/>
      <c r="H8" s="178"/>
      <c r="I8" s="178"/>
      <c r="J8" s="178"/>
      <c r="K8" s="179"/>
      <c r="L8" s="179"/>
      <c r="M8" s="179"/>
      <c r="N8" s="179"/>
      <c r="O8" s="179"/>
      <c r="P8" s="179"/>
      <c r="Q8" s="179"/>
      <c r="R8" s="179"/>
    </row>
    <row r="9" spans="2:38">
      <c r="B9" s="47">
        <v>7</v>
      </c>
      <c r="C9" s="47"/>
      <c r="D9" s="183" t="str">
        <f t="shared" si="0"/>
        <v/>
      </c>
      <c r="E9" s="182"/>
      <c r="F9" s="180"/>
      <c r="G9" s="180"/>
      <c r="H9" s="178"/>
      <c r="I9" s="178"/>
      <c r="J9" s="178"/>
      <c r="K9" s="179"/>
      <c r="L9" s="179"/>
      <c r="M9" s="179"/>
      <c r="N9" s="179"/>
      <c r="O9" s="179"/>
      <c r="P9" s="179"/>
      <c r="Q9" s="179"/>
      <c r="R9" s="179"/>
    </row>
    <row r="10" spans="2:38">
      <c r="B10" s="47">
        <v>14</v>
      </c>
      <c r="C10" s="47"/>
      <c r="D10" s="183" t="str">
        <f t="shared" si="0"/>
        <v/>
      </c>
      <c r="E10" s="182"/>
      <c r="F10" s="180"/>
      <c r="G10" s="180"/>
      <c r="H10" s="178"/>
      <c r="I10" s="178"/>
      <c r="J10" s="178"/>
      <c r="K10" s="179"/>
      <c r="L10" s="179"/>
      <c r="M10" s="179"/>
      <c r="N10" s="179"/>
      <c r="O10" s="179"/>
      <c r="P10" s="179"/>
      <c r="Q10" s="179"/>
      <c r="R10" s="179"/>
    </row>
    <row r="11" spans="2:38">
      <c r="B11" s="47"/>
      <c r="C11" s="47"/>
      <c r="D11" s="183" t="str">
        <f t="shared" si="0"/>
        <v/>
      </c>
      <c r="E11" s="182"/>
      <c r="F11" s="180"/>
      <c r="G11" s="180"/>
      <c r="H11" s="178"/>
      <c r="I11" s="178"/>
      <c r="J11" s="178"/>
      <c r="K11" s="179"/>
      <c r="L11" s="179"/>
      <c r="M11" s="179"/>
      <c r="N11" s="179"/>
      <c r="O11" s="179"/>
      <c r="P11" s="179"/>
      <c r="Q11" s="179"/>
      <c r="R11" s="179"/>
    </row>
    <row r="12" spans="2:38">
      <c r="B12" s="47"/>
      <c r="C12" s="47"/>
      <c r="D12" s="183" t="str">
        <f t="shared" si="0"/>
        <v/>
      </c>
      <c r="E12" s="182"/>
      <c r="F12" s="180"/>
      <c r="G12" s="180"/>
      <c r="H12" s="178"/>
      <c r="I12" s="178"/>
      <c r="J12" s="178"/>
      <c r="K12" s="179"/>
      <c r="L12" s="179"/>
      <c r="M12" s="179"/>
      <c r="N12" s="179"/>
      <c r="O12" s="179"/>
      <c r="P12" s="179"/>
      <c r="Q12" s="179"/>
      <c r="R12" s="179"/>
    </row>
    <row r="13" spans="2:38">
      <c r="B13" s="47"/>
      <c r="C13" s="47"/>
      <c r="D13" s="183" t="str">
        <f t="shared" si="0"/>
        <v/>
      </c>
      <c r="E13" s="182"/>
      <c r="F13" s="180"/>
      <c r="G13" s="180"/>
      <c r="H13" s="178"/>
      <c r="I13" s="178"/>
      <c r="J13" s="178"/>
      <c r="K13" s="179"/>
      <c r="L13" s="179"/>
      <c r="M13" s="179"/>
      <c r="N13" s="179"/>
      <c r="O13" s="179"/>
      <c r="P13" s="179"/>
      <c r="Q13" s="179"/>
      <c r="R13" s="179"/>
    </row>
    <row r="14" spans="2:38">
      <c r="B14" s="47"/>
      <c r="C14" s="47"/>
      <c r="D14" s="183" t="str">
        <f t="shared" si="0"/>
        <v/>
      </c>
      <c r="E14" s="182"/>
      <c r="F14" s="180"/>
      <c r="G14" s="180"/>
      <c r="H14" s="178"/>
      <c r="I14" s="178"/>
      <c r="J14" s="178"/>
      <c r="K14" s="179"/>
      <c r="L14" s="179"/>
      <c r="M14" s="179"/>
      <c r="N14" s="179"/>
      <c r="O14" s="179"/>
      <c r="P14" s="179"/>
      <c r="Q14" s="179"/>
      <c r="R14" s="179"/>
    </row>
    <row r="15" spans="2:38">
      <c r="B15" s="47"/>
      <c r="C15" s="47"/>
      <c r="D15" s="183" t="str">
        <f t="shared" si="0"/>
        <v/>
      </c>
      <c r="E15" s="182"/>
      <c r="F15" s="180"/>
      <c r="G15" s="180"/>
      <c r="H15" s="178"/>
      <c r="I15" s="178"/>
      <c r="J15" s="178"/>
      <c r="K15" s="179"/>
      <c r="L15" s="179"/>
      <c r="M15" s="179"/>
      <c r="N15" s="179"/>
      <c r="O15" s="179"/>
      <c r="P15" s="179"/>
      <c r="Q15" s="179"/>
      <c r="R15" s="179"/>
    </row>
    <row r="16" spans="2:38">
      <c r="B16" s="47"/>
      <c r="C16" s="47"/>
      <c r="D16" s="183" t="str">
        <f t="shared" si="0"/>
        <v/>
      </c>
      <c r="E16" s="182"/>
      <c r="F16" s="180"/>
      <c r="G16" s="180"/>
      <c r="H16" s="178"/>
      <c r="I16" s="178"/>
      <c r="J16" s="178"/>
      <c r="K16" s="179"/>
      <c r="L16" s="179"/>
      <c r="M16" s="179"/>
      <c r="N16" s="179"/>
      <c r="O16" s="179"/>
      <c r="P16" s="179"/>
      <c r="Q16" s="179"/>
      <c r="R16" s="179"/>
    </row>
    <row r="17" spans="2:24">
      <c r="B17" s="47"/>
      <c r="C17" s="47"/>
      <c r="D17" s="183" t="str">
        <f t="shared" si="0"/>
        <v/>
      </c>
      <c r="E17" s="182"/>
      <c r="F17" s="180"/>
      <c r="G17" s="180"/>
      <c r="H17" s="178"/>
      <c r="I17" s="178"/>
      <c r="J17" s="178"/>
      <c r="K17" s="179"/>
      <c r="L17" s="179"/>
      <c r="M17" s="179"/>
      <c r="N17" s="179"/>
      <c r="O17" s="179"/>
      <c r="P17" s="179"/>
      <c r="Q17" s="179"/>
      <c r="R17" s="179"/>
    </row>
    <row r="18" spans="2:24">
      <c r="B18" s="47"/>
      <c r="C18" s="47"/>
      <c r="D18" s="183" t="str">
        <f t="shared" si="0"/>
        <v/>
      </c>
      <c r="E18" s="182"/>
      <c r="F18" s="180"/>
      <c r="G18" s="180"/>
      <c r="H18" s="178"/>
      <c r="I18" s="178"/>
      <c r="J18" s="178"/>
      <c r="K18" s="179"/>
      <c r="L18" s="179"/>
      <c r="M18" s="179"/>
      <c r="N18" s="179"/>
      <c r="O18" s="179"/>
      <c r="P18" s="179"/>
      <c r="Q18" s="179"/>
      <c r="R18" s="179"/>
    </row>
    <row r="19" spans="2:24">
      <c r="B19" s="47"/>
      <c r="C19" s="47"/>
      <c r="D19" s="183" t="str">
        <f t="shared" si="0"/>
        <v/>
      </c>
      <c r="E19" s="182"/>
      <c r="F19" s="180"/>
      <c r="G19" s="180"/>
      <c r="H19" s="178"/>
      <c r="I19" s="178"/>
      <c r="J19" s="178"/>
      <c r="K19" s="179"/>
      <c r="L19" s="179"/>
      <c r="M19" s="179"/>
      <c r="N19" s="179"/>
      <c r="O19" s="179"/>
      <c r="P19" s="179"/>
      <c r="Q19" s="179"/>
      <c r="R19" s="179"/>
    </row>
    <row r="20" spans="2:24">
      <c r="B20" s="47"/>
      <c r="C20" s="47"/>
      <c r="D20" s="183" t="str">
        <f t="shared" si="0"/>
        <v/>
      </c>
      <c r="E20" s="182"/>
      <c r="F20" s="180"/>
      <c r="G20" s="184" t="s">
        <v>181</v>
      </c>
      <c r="H20" s="235"/>
      <c r="I20" s="185" t="s">
        <v>182</v>
      </c>
      <c r="J20" s="177" t="s">
        <v>183</v>
      </c>
      <c r="K20" s="177"/>
      <c r="L20" s="177"/>
      <c r="M20" s="178"/>
      <c r="N20" s="179"/>
      <c r="O20" s="179"/>
      <c r="P20" s="179"/>
      <c r="Q20" s="179"/>
      <c r="R20" s="179"/>
    </row>
    <row r="21" spans="2:24">
      <c r="B21" s="47"/>
      <c r="C21" s="48"/>
      <c r="D21" s="183" t="str">
        <f t="shared" si="0"/>
        <v/>
      </c>
      <c r="E21" s="182"/>
      <c r="F21" s="180"/>
      <c r="G21" s="180"/>
      <c r="H21" s="178"/>
      <c r="I21" s="178"/>
      <c r="J21" s="178"/>
      <c r="K21" s="179"/>
      <c r="L21" s="179"/>
      <c r="M21" s="179"/>
      <c r="N21" s="179"/>
      <c r="O21" s="179"/>
      <c r="P21" s="179"/>
      <c r="Q21" s="179"/>
      <c r="R21" s="179"/>
    </row>
    <row r="22" spans="2:24">
      <c r="B22" s="47"/>
      <c r="C22" s="47"/>
      <c r="D22" s="183" t="str">
        <f t="shared" si="0"/>
        <v/>
      </c>
      <c r="E22" s="182"/>
      <c r="F22" s="180"/>
      <c r="G22" s="184" t="s">
        <v>184</v>
      </c>
      <c r="H22" s="187">
        <f>'田面水シナリオ '!G5</f>
        <v>0</v>
      </c>
      <c r="I22" s="188" t="s">
        <v>185</v>
      </c>
      <c r="J22" s="178"/>
      <c r="K22" s="179"/>
      <c r="L22" s="179"/>
      <c r="M22" s="179"/>
      <c r="N22" s="179"/>
      <c r="O22" s="179"/>
      <c r="P22" s="179"/>
      <c r="Q22" s="179"/>
      <c r="R22" s="179"/>
    </row>
    <row r="23" spans="2:24">
      <c r="B23" s="47"/>
      <c r="C23" s="47"/>
      <c r="D23" s="183" t="str">
        <f t="shared" si="0"/>
        <v/>
      </c>
      <c r="E23" s="182"/>
      <c r="F23" s="180"/>
      <c r="G23" s="180"/>
      <c r="H23" s="190"/>
      <c r="I23" s="178"/>
      <c r="J23" s="178"/>
      <c r="K23" s="179"/>
      <c r="L23" s="179"/>
      <c r="M23" s="179"/>
      <c r="N23" s="179"/>
      <c r="O23" s="179"/>
      <c r="P23" s="179"/>
      <c r="Q23" s="179"/>
      <c r="R23" s="179"/>
    </row>
    <row r="24" spans="2:24">
      <c r="B24" s="47"/>
      <c r="C24" s="47"/>
      <c r="D24" s="183" t="str">
        <f t="shared" si="0"/>
        <v/>
      </c>
      <c r="E24" s="182"/>
      <c r="F24" s="180"/>
      <c r="G24" s="184" t="s">
        <v>156</v>
      </c>
      <c r="H24" s="191">
        <f>'田面水シナリオ '!I5</f>
        <v>0</v>
      </c>
      <c r="I24" s="192" t="s">
        <v>158</v>
      </c>
      <c r="N24" s="178"/>
      <c r="O24" s="178"/>
      <c r="P24" s="178"/>
      <c r="Q24" s="179"/>
      <c r="R24" s="179"/>
      <c r="S24" s="179"/>
      <c r="T24" s="179"/>
      <c r="U24" s="179"/>
      <c r="V24" s="179"/>
      <c r="W24" s="179"/>
      <c r="X24" s="179"/>
    </row>
    <row r="25" spans="2:24">
      <c r="B25" s="47"/>
      <c r="C25" s="47"/>
      <c r="D25" s="183" t="str">
        <f t="shared" si="0"/>
        <v/>
      </c>
      <c r="E25" s="182"/>
      <c r="F25" s="180"/>
      <c r="G25" s="193"/>
      <c r="H25" s="177"/>
      <c r="I25" s="177"/>
      <c r="J25" s="177"/>
      <c r="K25" s="177"/>
      <c r="L25" s="177"/>
      <c r="M25" s="178"/>
      <c r="N25" s="178"/>
      <c r="O25" s="178"/>
      <c r="P25" s="178"/>
      <c r="Q25" s="179"/>
      <c r="R25" s="179"/>
      <c r="S25" s="179"/>
      <c r="T25" s="179"/>
      <c r="U25" s="179"/>
      <c r="V25" s="179"/>
      <c r="W25" s="179"/>
      <c r="X25" s="179"/>
    </row>
    <row r="26" spans="2:24" ht="13.5" thickBot="1">
      <c r="B26" s="49"/>
      <c r="C26" s="49"/>
      <c r="D26" s="183" t="str">
        <f t="shared" si="0"/>
        <v/>
      </c>
      <c r="E26" s="182"/>
      <c r="F26" s="180"/>
      <c r="H26" s="55">
        <f>H20+'田面水シナリオ '!I5</f>
        <v>0</v>
      </c>
      <c r="I26" s="194" t="s">
        <v>186</v>
      </c>
      <c r="J26" s="194"/>
      <c r="K26" s="177"/>
      <c r="L26" s="177"/>
      <c r="M26" s="178"/>
      <c r="N26" s="178"/>
      <c r="O26" s="178"/>
      <c r="P26" s="178"/>
      <c r="Q26" s="179"/>
      <c r="R26" s="179"/>
      <c r="S26" s="179"/>
      <c r="T26" s="179"/>
      <c r="U26" s="179"/>
      <c r="V26" s="179"/>
      <c r="W26" s="179"/>
      <c r="X26" s="179"/>
    </row>
    <row r="27" spans="2:24" ht="13.5" thickTop="1">
      <c r="B27" s="180"/>
      <c r="C27" s="180"/>
      <c r="D27" s="180"/>
      <c r="E27" s="180"/>
      <c r="F27" s="180"/>
      <c r="H27" s="55">
        <f>'田面水シナリオ '!I5*2</f>
        <v>0</v>
      </c>
      <c r="I27" s="194" t="s">
        <v>187</v>
      </c>
      <c r="J27" s="194"/>
      <c r="K27" s="177"/>
      <c r="L27" s="177"/>
      <c r="M27" s="178"/>
      <c r="N27" s="178"/>
      <c r="O27" s="178"/>
      <c r="P27" s="178"/>
      <c r="Q27" s="179"/>
      <c r="R27" s="179"/>
      <c r="S27" s="179"/>
      <c r="T27" s="179"/>
      <c r="U27" s="179"/>
      <c r="V27" s="179"/>
      <c r="W27" s="179"/>
      <c r="X27" s="179"/>
    </row>
    <row r="28" spans="2:24" ht="13" customHeight="1">
      <c r="B28" s="327" t="s">
        <v>188</v>
      </c>
      <c r="C28" s="328"/>
      <c r="D28" s="328"/>
      <c r="E28" s="328"/>
      <c r="F28" s="328"/>
      <c r="H28" s="55">
        <f>H20+'田面水シナリオ '!I5*2</f>
        <v>0</v>
      </c>
      <c r="I28" s="194" t="s">
        <v>189</v>
      </c>
      <c r="J28" s="195"/>
      <c r="K28" s="179"/>
      <c r="L28" s="179"/>
      <c r="O28" s="179"/>
      <c r="P28" s="179"/>
      <c r="S28" s="179"/>
      <c r="T28" s="179"/>
      <c r="U28" s="177"/>
      <c r="V28" s="177"/>
      <c r="W28" s="177"/>
      <c r="X28" s="177"/>
    </row>
    <row r="29" spans="2:24">
      <c r="B29" s="328"/>
      <c r="C29" s="328"/>
      <c r="D29" s="328"/>
      <c r="E29" s="328"/>
      <c r="F29" s="328"/>
      <c r="G29" s="180"/>
      <c r="H29" s="180"/>
      <c r="K29" s="179"/>
      <c r="L29" s="179"/>
      <c r="O29" s="179"/>
      <c r="P29" s="179"/>
      <c r="S29" s="179"/>
      <c r="T29" s="179"/>
      <c r="U29" s="177"/>
      <c r="V29" s="177"/>
      <c r="W29" s="177"/>
      <c r="X29" s="177"/>
    </row>
    <row r="30" spans="2:24">
      <c r="B30" s="328"/>
      <c r="C30" s="328"/>
      <c r="D30" s="328"/>
      <c r="E30" s="328"/>
      <c r="F30" s="328"/>
      <c r="G30" s="180"/>
      <c r="H30" s="180"/>
      <c r="K30" s="179"/>
      <c r="L30" s="179"/>
      <c r="O30" s="179"/>
      <c r="P30" s="179"/>
      <c r="S30" s="179"/>
      <c r="T30" s="179"/>
      <c r="U30" s="177"/>
      <c r="V30" s="177"/>
      <c r="W30" s="177"/>
      <c r="X30" s="177"/>
    </row>
    <row r="31" spans="2:24" ht="13.5" thickBot="1">
      <c r="B31" s="328"/>
      <c r="C31" s="328"/>
      <c r="D31" s="328"/>
      <c r="E31" s="328"/>
      <c r="F31" s="328"/>
      <c r="G31" s="180"/>
      <c r="H31" s="177"/>
      <c r="K31" s="179"/>
      <c r="L31" s="179"/>
      <c r="O31" s="179"/>
      <c r="P31" s="179"/>
      <c r="S31" s="179"/>
      <c r="T31" s="179"/>
      <c r="U31" s="177"/>
      <c r="V31" s="177"/>
      <c r="W31" s="177"/>
      <c r="X31" s="177"/>
    </row>
    <row r="32" spans="2:24" ht="14" thickTop="1" thickBot="1">
      <c r="B32" s="324" t="s">
        <v>190</v>
      </c>
      <c r="C32" s="325"/>
      <c r="D32" s="197" t="str">
        <f>IF(ISERR(LN(2)/(-SLOPE(D6:D26,B6:B26))),"",(LN(2)/(-SLOPE(D6:D26,B6:B26))))</f>
        <v/>
      </c>
      <c r="E32" s="198" t="s">
        <v>182</v>
      </c>
      <c r="G32" s="180"/>
      <c r="K32" s="178"/>
      <c r="L32" s="178"/>
      <c r="M32" s="178"/>
      <c r="N32" s="178"/>
      <c r="O32" s="178"/>
      <c r="P32" s="178"/>
      <c r="Q32" s="179"/>
      <c r="R32" s="179"/>
      <c r="S32" s="179"/>
      <c r="T32" s="179"/>
      <c r="U32" s="179"/>
      <c r="V32" s="179"/>
      <c r="W32" s="179"/>
      <c r="X32" s="179"/>
    </row>
    <row r="33" spans="2:38" ht="13.5" thickTop="1">
      <c r="B33" s="180"/>
      <c r="C33" s="199"/>
      <c r="D33" s="180"/>
      <c r="E33" s="180"/>
      <c r="F33" s="180"/>
      <c r="G33" s="180"/>
      <c r="K33" s="177"/>
      <c r="L33" s="177"/>
      <c r="M33" s="177"/>
      <c r="N33" s="177"/>
      <c r="O33" s="177"/>
      <c r="P33" s="177"/>
      <c r="Q33" s="177"/>
      <c r="R33" s="177"/>
      <c r="S33" s="177"/>
      <c r="T33" s="177"/>
      <c r="U33" s="177"/>
      <c r="V33" s="177"/>
      <c r="W33" s="177"/>
      <c r="X33" s="177"/>
      <c r="Y33" s="177"/>
      <c r="Z33" s="177"/>
      <c r="AA33" s="178"/>
      <c r="AB33" s="178"/>
      <c r="AC33" s="178"/>
      <c r="AD33" s="178"/>
      <c r="AE33" s="179"/>
      <c r="AF33" s="179"/>
      <c r="AG33" s="179"/>
      <c r="AH33" s="179"/>
      <c r="AI33" s="179"/>
      <c r="AJ33" s="179"/>
      <c r="AK33" s="179"/>
      <c r="AL33" s="179"/>
    </row>
    <row r="34" spans="2:38" ht="14.15" customHeight="1">
      <c r="B34" s="176"/>
      <c r="C34" s="200"/>
      <c r="D34" s="177"/>
      <c r="E34" s="177"/>
      <c r="F34" s="177"/>
      <c r="G34" s="177"/>
      <c r="K34" s="177"/>
      <c r="L34" s="177"/>
      <c r="M34" s="177"/>
      <c r="N34" s="177"/>
      <c r="O34" s="177"/>
      <c r="P34" s="177"/>
      <c r="Q34" s="177"/>
      <c r="R34" s="177"/>
      <c r="S34" s="177"/>
      <c r="T34" s="177"/>
      <c r="U34" s="177"/>
      <c r="V34" s="177"/>
      <c r="W34" s="177"/>
      <c r="X34" s="177"/>
      <c r="Y34" s="177"/>
      <c r="Z34" s="177"/>
      <c r="AA34" s="178"/>
      <c r="AB34" s="178"/>
      <c r="AC34" s="178"/>
      <c r="AD34" s="178"/>
      <c r="AE34" s="179"/>
      <c r="AF34" s="179"/>
      <c r="AG34" s="179"/>
      <c r="AH34" s="179"/>
      <c r="AI34" s="179"/>
      <c r="AJ34" s="179"/>
      <c r="AK34" s="179"/>
      <c r="AL34" s="179"/>
    </row>
    <row r="35" spans="2:38">
      <c r="B35" s="177"/>
      <c r="C35" s="177"/>
      <c r="D35" s="177"/>
      <c r="E35" s="177"/>
      <c r="F35" s="177"/>
      <c r="G35" s="177"/>
      <c r="H35" s="177"/>
      <c r="I35" s="177"/>
      <c r="J35" s="177"/>
      <c r="K35" s="177"/>
      <c r="L35" s="177"/>
      <c r="M35" s="177"/>
      <c r="N35" s="177"/>
      <c r="O35" s="177"/>
      <c r="P35" s="177"/>
      <c r="Q35" s="177"/>
      <c r="R35" s="177"/>
      <c r="S35" s="177"/>
      <c r="T35" s="177"/>
      <c r="U35" s="177"/>
      <c r="V35" s="177"/>
      <c r="W35" s="177"/>
      <c r="X35" s="177"/>
      <c r="Y35" s="177"/>
      <c r="Z35" s="177"/>
      <c r="AA35" s="178"/>
      <c r="AB35" s="178"/>
      <c r="AC35" s="178"/>
      <c r="AD35" s="178"/>
      <c r="AE35" s="179"/>
      <c r="AF35" s="179"/>
      <c r="AG35" s="179"/>
      <c r="AH35" s="179"/>
      <c r="AI35" s="179"/>
      <c r="AJ35" s="179"/>
      <c r="AK35" s="179"/>
      <c r="AL35" s="179"/>
    </row>
    <row r="36" spans="2:38">
      <c r="B36" s="177"/>
      <c r="C36" s="177"/>
      <c r="D36" s="177"/>
      <c r="E36" s="177"/>
      <c r="F36" s="177"/>
      <c r="G36" s="177"/>
      <c r="H36" s="177"/>
      <c r="I36" s="177"/>
      <c r="J36" s="177"/>
      <c r="K36" s="177"/>
      <c r="L36" s="177"/>
      <c r="M36" s="177"/>
      <c r="N36" s="177"/>
      <c r="O36" s="177"/>
      <c r="P36" s="177"/>
      <c r="Q36" s="177"/>
      <c r="R36" s="177"/>
      <c r="S36" s="177"/>
      <c r="T36" s="177"/>
      <c r="U36" s="177"/>
      <c r="V36" s="177"/>
      <c r="W36" s="177"/>
      <c r="X36" s="177"/>
      <c r="Y36" s="177"/>
      <c r="Z36" s="177"/>
      <c r="AA36" s="177"/>
      <c r="AB36" s="178"/>
      <c r="AC36" s="178"/>
      <c r="AD36" s="178"/>
      <c r="AE36" s="178"/>
      <c r="AF36" s="179"/>
      <c r="AG36" s="179"/>
      <c r="AH36" s="179"/>
      <c r="AI36" s="179"/>
      <c r="AJ36" s="179"/>
      <c r="AK36" s="179"/>
      <c r="AL36" s="179"/>
    </row>
    <row r="37" spans="2:38" ht="13.5" thickBot="1">
      <c r="B37" s="326"/>
      <c r="C37" s="326"/>
      <c r="D37" s="201"/>
      <c r="E37" s="201"/>
      <c r="F37" s="178"/>
      <c r="G37" s="178"/>
      <c r="H37" s="178"/>
      <c r="I37" s="178"/>
      <c r="J37" s="178"/>
      <c r="K37" s="178"/>
      <c r="L37" s="178"/>
      <c r="M37" s="178"/>
      <c r="N37" s="178"/>
      <c r="O37" s="178"/>
      <c r="P37" s="178"/>
      <c r="Q37" s="178"/>
      <c r="R37" s="178"/>
      <c r="S37" s="178"/>
      <c r="T37" s="178"/>
      <c r="U37" s="178"/>
      <c r="V37" s="177"/>
      <c r="W37" s="177"/>
      <c r="X37" s="177"/>
      <c r="Y37" s="177"/>
      <c r="Z37" s="177"/>
      <c r="AA37" s="177"/>
      <c r="AB37" s="177"/>
      <c r="AC37" s="177"/>
      <c r="AD37" s="177"/>
      <c r="AE37" s="177"/>
      <c r="AF37" s="179"/>
      <c r="AG37" s="179"/>
      <c r="AH37" s="179"/>
      <c r="AI37" s="179"/>
      <c r="AJ37" s="179"/>
      <c r="AK37" s="179"/>
      <c r="AL37" s="179"/>
    </row>
    <row r="38" spans="2:38" ht="40.5" customHeight="1" thickTop="1">
      <c r="B38" s="307"/>
      <c r="C38" s="308"/>
      <c r="D38" s="309"/>
      <c r="E38" s="291" t="s">
        <v>191</v>
      </c>
      <c r="F38" s="307" t="s">
        <v>192</v>
      </c>
      <c r="G38" s="308"/>
      <c r="H38" s="309"/>
      <c r="I38" s="291" t="s">
        <v>193</v>
      </c>
      <c r="J38" s="177"/>
      <c r="K38" s="310" t="s">
        <v>194</v>
      </c>
      <c r="L38" s="311"/>
      <c r="M38" s="311"/>
      <c r="N38" s="311"/>
      <c r="O38" s="312"/>
      <c r="P38" s="177"/>
    </row>
    <row r="39" spans="2:38" ht="22">
      <c r="B39" s="313" t="s">
        <v>169</v>
      </c>
      <c r="C39" s="314" t="s">
        <v>195</v>
      </c>
      <c r="D39" s="317" t="s">
        <v>196</v>
      </c>
      <c r="E39" s="292"/>
      <c r="F39" s="320" t="s">
        <v>170</v>
      </c>
      <c r="G39" s="321" t="s">
        <v>171</v>
      </c>
      <c r="H39" s="321" t="s">
        <v>172</v>
      </c>
      <c r="I39" s="292"/>
      <c r="J39" s="177"/>
      <c r="K39" s="203" t="s">
        <v>158</v>
      </c>
      <c r="L39" s="202" t="s">
        <v>197</v>
      </c>
      <c r="M39" s="204" t="s">
        <v>198</v>
      </c>
      <c r="N39" s="204" t="s">
        <v>199</v>
      </c>
      <c r="O39" s="205" t="s">
        <v>200</v>
      </c>
      <c r="P39" s="177"/>
    </row>
    <row r="40" spans="2:38">
      <c r="B40" s="296"/>
      <c r="C40" s="315"/>
      <c r="D40" s="318"/>
      <c r="E40" s="292"/>
      <c r="F40" s="299"/>
      <c r="G40" s="302"/>
      <c r="H40" s="302"/>
      <c r="I40" s="292"/>
      <c r="J40" s="177"/>
      <c r="K40" s="208"/>
      <c r="L40" s="206"/>
      <c r="M40" s="209"/>
      <c r="N40" s="209"/>
      <c r="O40" s="207"/>
      <c r="P40" s="177"/>
    </row>
    <row r="41" spans="2:38">
      <c r="B41" s="296"/>
      <c r="C41" s="315"/>
      <c r="D41" s="318"/>
      <c r="E41" s="292"/>
      <c r="F41" s="299"/>
      <c r="G41" s="302"/>
      <c r="H41" s="302"/>
      <c r="I41" s="292"/>
      <c r="J41" s="177"/>
      <c r="K41" s="208"/>
      <c r="L41" s="206"/>
      <c r="M41" s="209"/>
      <c r="N41" s="209"/>
      <c r="O41" s="207"/>
      <c r="P41" s="177"/>
    </row>
    <row r="42" spans="2:38">
      <c r="B42" s="296"/>
      <c r="C42" s="315"/>
      <c r="D42" s="318"/>
      <c r="E42" s="292"/>
      <c r="F42" s="299"/>
      <c r="G42" s="302"/>
      <c r="H42" s="302"/>
      <c r="I42" s="292"/>
      <c r="J42" s="177"/>
      <c r="K42" s="208"/>
      <c r="L42" s="206"/>
      <c r="M42" s="209"/>
      <c r="N42" s="209"/>
      <c r="O42" s="207"/>
      <c r="P42" s="177"/>
    </row>
    <row r="43" spans="2:38" ht="13.5" thickBot="1">
      <c r="B43" s="297"/>
      <c r="C43" s="316"/>
      <c r="D43" s="319"/>
      <c r="E43" s="322"/>
      <c r="F43" s="300"/>
      <c r="G43" s="303"/>
      <c r="H43" s="303"/>
      <c r="I43" s="292"/>
      <c r="J43" s="177"/>
      <c r="K43" s="212"/>
      <c r="L43" s="210"/>
      <c r="M43" s="213"/>
      <c r="N43" s="213"/>
      <c r="O43" s="211"/>
      <c r="P43" s="177"/>
    </row>
    <row r="44" spans="2:38" ht="13.5" thickTop="1">
      <c r="B44" s="159">
        <v>0</v>
      </c>
      <c r="C44" s="214">
        <f t="shared" ref="C44:C64" si="1">IF(ISERROR(VLOOKUP(B44,$B$5:$C$34,2,0)),"",VLOOKUP(B44,$B$5:$C$34,2,0))</f>
        <v>0</v>
      </c>
      <c r="D44" s="215">
        <f>C44</f>
        <v>0</v>
      </c>
      <c r="E44" s="216" t="str">
        <f>IF($H$20=0,"無",IF($H$22=1,IF(B44&lt;$H$20,"有","無"),IF($H$22=2,IF($H$20&gt;=$H$24,IF($H$26&gt;=21,"有",IF(B44&lt;$H$26,"有","無")),IF(B44&lt;$H$20,"有",IF($H$20&lt;=B44&lt;$H$24,"無",IF(AND($H$24&lt;=B44,B44&lt;$H$26),"有","無")))),IF($H$22&gt;=3,IF($H$20&gt;=$H$24,"有",IF($H$20&lt;$H$24,IF(B44&lt;$H$20,"有",IF(AND($H$20&lt;=B44,B44&lt;$H$24),"無",IF(AND($H$24&lt;=B44,B44&lt;$H$26),"有",IF(AND($H$26&lt;=B44,B44&lt;$H$27),"無",IF(AND($H$27&lt;=B44,B44&lt;$H$28),"有","無")))))))))))</f>
        <v>無</v>
      </c>
      <c r="F44" s="160">
        <f>IF(B44&lt;21,IF(B44&lt;=14,D44*EXP(-(IF(E44="有",0.04,0.1)*B44)),$D$44*EXP(-((LN(2)/$D$32)+IF(E44="有",0.04,0.1))*B44)),"")</f>
        <v>0</v>
      </c>
      <c r="G44" s="161" t="str">
        <f>IF('田面水シナリオ '!$G$5&gt;1,IF('田面水シナリオ '!$I$5&gt;B44," ",VLOOKUP((B44-'田面水シナリオ '!$I$5),$B$44:$F$64,5,FALSE)),"")</f>
        <v/>
      </c>
      <c r="H44" s="162" t="str">
        <f>IF('田面水シナリオ '!$G$5&gt;2,IF('田面水シナリオ '!$I$5*2&gt;B44," ",VLOOKUP((B44-'田面水シナリオ '!$I$5*2),$B$44:$F$64,5,FALSE)),"")</f>
        <v/>
      </c>
      <c r="I44" s="163">
        <f t="shared" ref="I44:I64" si="2">SUM(F44:H44)</f>
        <v>0</v>
      </c>
      <c r="J44" s="177"/>
      <c r="K44" s="159">
        <f>IF(B6&lt;&gt;"",B6,"")</f>
        <v>0</v>
      </c>
      <c r="L44" s="217">
        <v>0</v>
      </c>
      <c r="M44" s="218"/>
      <c r="N44" s="218"/>
      <c r="O44" s="219"/>
      <c r="P44" s="177"/>
    </row>
    <row r="45" spans="2:38">
      <c r="B45" s="164">
        <v>1</v>
      </c>
      <c r="C45" s="215">
        <f t="shared" si="1"/>
        <v>0</v>
      </c>
      <c r="D45" s="215">
        <f t="shared" ref="D45:D64" si="3">IF(MAX($K$44:$K$63)&lt;B45, "", IF(B45=VLOOKUP(B45, $K$44:$K$63,1,1), C45,D44-INDEX($O$44:$O$63, MATCH(VLOOKUP(B45, $K$44:$K$63,1,1), $K$44:$K$63)+1, 1)))</f>
        <v>0</v>
      </c>
      <c r="E45" s="216" t="str">
        <f t="shared" ref="E45:E64" si="4">IF($H$20=0,"無",IF($H$22=1,IF(B45&lt;$H$20,"有","無"),IF($H$22=2,IF($H$20&gt;=$H$24,IF($H$26&gt;=21,"有",IF(B45&lt;$H$26,"有","無")),IF(B45&lt;$H$20,"有",IF($H$20&lt;=B45&lt;$H$24,"無",IF(AND($H$24&lt;=B45,B45&lt;$H$26),"有","無")))),IF($H$22&gt;=3,IF($H$20&gt;=$H$24,"有",IF($H$20&lt;$H$24,IF(B45&lt;$H$20,"有",IF(AND($H$20&lt;=B45,B45&lt;$H$24),"無",IF(AND($H$24&lt;=B45,B45&lt;$H$26),"有",IF(AND($H$26&lt;=B45,B45&lt;$H$27),"無",IF(AND($H$27&lt;=B45,B45&lt;$H$28),"有","無")))))))))))</f>
        <v>無</v>
      </c>
      <c r="F45" s="165">
        <f t="shared" ref="F45:F64" si="5">IF(B45&lt;21,IF(B45&lt;=14,D45*EXP(-(IF(E45="有",0.04,0.1)*B45)),$D$44*EXP(-((LN(2)/$D$32)+IF(E45="有",0.04,0.1))*B45)),"")</f>
        <v>0</v>
      </c>
      <c r="G45" s="166" t="str">
        <f>IF('田面水シナリオ '!$G$5&gt;1,IF('田面水シナリオ '!$I$5&gt;B45," ",VLOOKUP((B45-'田面水シナリオ '!$I$5),$B$44:$F$64,5,FALSE)),"")</f>
        <v/>
      </c>
      <c r="H45" s="167" t="str">
        <f>IF('田面水シナリオ '!$G$5&gt;2,IF('田面水シナリオ '!$I$5*2&gt;B45," ",VLOOKUP((B45-'田面水シナリオ '!$I$5*2),$B$44:$F$64,5,FALSE)),"")</f>
        <v/>
      </c>
      <c r="I45" s="168">
        <f t="shared" si="2"/>
        <v>0</v>
      </c>
      <c r="J45" s="177"/>
      <c r="K45" s="164">
        <f t="shared" ref="K45:K64" si="6">IF(B7&lt;&gt;"",B7,"end")</f>
        <v>1</v>
      </c>
      <c r="L45" s="220">
        <v>1</v>
      </c>
      <c r="M45" s="221">
        <f>IF(K45&lt;&gt;"",MIN(K44:K45),"")</f>
        <v>0</v>
      </c>
      <c r="N45" s="221">
        <f>IF(K45&lt;&gt;"",MAX(K44:K45),"")</f>
        <v>1</v>
      </c>
      <c r="O45" s="222">
        <f t="shared" ref="O45:O64" si="7">IF(B7&lt;&gt;"",(C6-C7)/(B7-B6),"")</f>
        <v>0</v>
      </c>
      <c r="P45" s="177"/>
    </row>
    <row r="46" spans="2:38">
      <c r="B46" s="164">
        <v>2</v>
      </c>
      <c r="C46" s="215" t="str">
        <f t="shared" si="1"/>
        <v/>
      </c>
      <c r="D46" s="215">
        <f t="shared" si="3"/>
        <v>0</v>
      </c>
      <c r="E46" s="216" t="str">
        <f t="shared" si="4"/>
        <v>無</v>
      </c>
      <c r="F46" s="165">
        <f t="shared" si="5"/>
        <v>0</v>
      </c>
      <c r="G46" s="166" t="str">
        <f>IF('田面水シナリオ '!$G$5&gt;1,IF('田面水シナリオ '!$I$5&gt;B46," ",VLOOKUP((B46-'田面水シナリオ '!$I$5),$B$44:$F$64,5,FALSE)),"")</f>
        <v/>
      </c>
      <c r="H46" s="167" t="str">
        <f>IF('田面水シナリオ '!$G$5&gt;2,IF('田面水シナリオ '!$I$5*2&gt;B46," ",VLOOKUP((B46-'田面水シナリオ '!$I$5*2),$B$44:$F$64,5,FALSE)),"")</f>
        <v/>
      </c>
      <c r="I46" s="168">
        <f t="shared" si="2"/>
        <v>0</v>
      </c>
      <c r="J46" s="177"/>
      <c r="K46" s="164">
        <f t="shared" si="6"/>
        <v>3</v>
      </c>
      <c r="L46" s="220">
        <v>2</v>
      </c>
      <c r="M46" s="221">
        <f>IF(K46&lt;&gt;"",MIN(K45:K46),"")</f>
        <v>1</v>
      </c>
      <c r="N46" s="221">
        <f>IF(K46&lt;&gt;"",MAX(K45:K46),"")</f>
        <v>3</v>
      </c>
      <c r="O46" s="222">
        <f t="shared" si="7"/>
        <v>0</v>
      </c>
      <c r="P46" s="177"/>
    </row>
    <row r="47" spans="2:38">
      <c r="B47" s="164">
        <v>3</v>
      </c>
      <c r="C47" s="215">
        <f t="shared" si="1"/>
        <v>0</v>
      </c>
      <c r="D47" s="215">
        <f t="shared" si="3"/>
        <v>0</v>
      </c>
      <c r="E47" s="216" t="str">
        <f t="shared" si="4"/>
        <v>無</v>
      </c>
      <c r="F47" s="165">
        <f t="shared" si="5"/>
        <v>0</v>
      </c>
      <c r="G47" s="166" t="str">
        <f>IF('田面水シナリオ '!$G$5&gt;1,IF('田面水シナリオ '!$I$5&gt;B47," ",VLOOKUP((B47-'田面水シナリオ '!$I$5),$B$44:$F$64,5,FALSE)),"")</f>
        <v/>
      </c>
      <c r="H47" s="167" t="str">
        <f>IF('田面水シナリオ '!$G$5&gt;2,IF('田面水シナリオ '!$I$5*2&gt;B47," ",VLOOKUP((B47-'田面水シナリオ '!$I$5*2),$B$44:$F$64,5,FALSE)),"")</f>
        <v/>
      </c>
      <c r="I47" s="168">
        <f t="shared" si="2"/>
        <v>0</v>
      </c>
      <c r="J47" s="177"/>
      <c r="K47" s="164">
        <f t="shared" si="6"/>
        <v>7</v>
      </c>
      <c r="L47" s="220">
        <v>3</v>
      </c>
      <c r="M47" s="221">
        <f>IF(K47&lt;&gt;"",MIN(K46:K47),"")</f>
        <v>3</v>
      </c>
      <c r="N47" s="221">
        <f>IF(K47&lt;&gt;"",MAX(K46:K47),"")</f>
        <v>7</v>
      </c>
      <c r="O47" s="222">
        <f t="shared" si="7"/>
        <v>0</v>
      </c>
      <c r="P47" s="177"/>
    </row>
    <row r="48" spans="2:38">
      <c r="B48" s="164">
        <v>4</v>
      </c>
      <c r="C48" s="215" t="str">
        <f t="shared" si="1"/>
        <v/>
      </c>
      <c r="D48" s="215">
        <f t="shared" si="3"/>
        <v>0</v>
      </c>
      <c r="E48" s="216" t="str">
        <f t="shared" si="4"/>
        <v>無</v>
      </c>
      <c r="F48" s="165">
        <f t="shared" si="5"/>
        <v>0</v>
      </c>
      <c r="G48" s="166" t="str">
        <f>IF('田面水シナリオ '!$G$5&gt;1,IF('田面水シナリオ '!$I$5&gt;B48," ",VLOOKUP((B48-'田面水シナリオ '!$I$5),$B$44:$F$64,5,FALSE)),"")</f>
        <v/>
      </c>
      <c r="H48" s="167" t="str">
        <f>IF('田面水シナリオ '!$G$5&gt;2,IF('田面水シナリオ '!$I$5*2&gt;B48," ",VLOOKUP((B48-'田面水シナリオ '!$I$5*2),$B$44:$F$64,5,FALSE)),"")</f>
        <v/>
      </c>
      <c r="I48" s="168">
        <f t="shared" si="2"/>
        <v>0</v>
      </c>
      <c r="J48" s="177"/>
      <c r="K48" s="164">
        <f t="shared" si="6"/>
        <v>14</v>
      </c>
      <c r="L48" s="220">
        <v>4</v>
      </c>
      <c r="M48" s="221">
        <f>IF(K48&lt;&gt;"",MIN(K47:K48),"")</f>
        <v>7</v>
      </c>
      <c r="N48" s="221">
        <f>IF(K48&lt;&gt;"",MAX(K47:K48),"")</f>
        <v>14</v>
      </c>
      <c r="O48" s="222">
        <f t="shared" si="7"/>
        <v>0</v>
      </c>
      <c r="P48" s="177"/>
    </row>
    <row r="49" spans="2:16">
      <c r="B49" s="164">
        <v>5</v>
      </c>
      <c r="C49" s="215" t="str">
        <f t="shared" si="1"/>
        <v/>
      </c>
      <c r="D49" s="215">
        <f t="shared" si="3"/>
        <v>0</v>
      </c>
      <c r="E49" s="216" t="str">
        <f t="shared" si="4"/>
        <v>無</v>
      </c>
      <c r="F49" s="165">
        <f t="shared" si="5"/>
        <v>0</v>
      </c>
      <c r="G49" s="166" t="str">
        <f>IF('田面水シナリオ '!$G$5&gt;1,IF('田面水シナリオ '!$I$5&gt;B49," ",VLOOKUP((B49-'田面水シナリオ '!$I$5),$B$44:$F$64,5,FALSE)),"")</f>
        <v/>
      </c>
      <c r="H49" s="167" t="str">
        <f>IF('田面水シナリオ '!$G$5&gt;2,IF('田面水シナリオ '!$I$5*2&gt;B49," ",VLOOKUP((B49-'田面水シナリオ '!$I$5*2),$B$44:$F$64,5,FALSE)),"")</f>
        <v/>
      </c>
      <c r="I49" s="168">
        <f t="shared" si="2"/>
        <v>0</v>
      </c>
      <c r="J49" s="177"/>
      <c r="K49" s="164" t="str">
        <f t="shared" si="6"/>
        <v>end</v>
      </c>
      <c r="L49" s="220">
        <v>5</v>
      </c>
      <c r="M49" s="221">
        <f>IF(K49&lt;&gt;"",MIN(K48:K49),"")</f>
        <v>14</v>
      </c>
      <c r="N49" s="221">
        <f>IF(K49&lt;&gt;"",MAX(K48:K49),"")</f>
        <v>14</v>
      </c>
      <c r="O49" s="222" t="str">
        <f t="shared" si="7"/>
        <v/>
      </c>
      <c r="P49" s="177"/>
    </row>
    <row r="50" spans="2:16">
      <c r="B50" s="164">
        <v>6</v>
      </c>
      <c r="C50" s="215" t="str">
        <f t="shared" si="1"/>
        <v/>
      </c>
      <c r="D50" s="215">
        <f t="shared" si="3"/>
        <v>0</v>
      </c>
      <c r="E50" s="216" t="str">
        <f t="shared" si="4"/>
        <v>無</v>
      </c>
      <c r="F50" s="165">
        <f t="shared" si="5"/>
        <v>0</v>
      </c>
      <c r="G50" s="166" t="str">
        <f>IF('田面水シナリオ '!$G$5&gt;1,IF('田面水シナリオ '!$I$5&gt;B50," ",VLOOKUP((B50-'田面水シナリオ '!$I$5),$B$44:$F$64,5,FALSE)),"")</f>
        <v/>
      </c>
      <c r="H50" s="167" t="str">
        <f>IF('田面水シナリオ '!$G$5&gt;2,IF('田面水シナリオ '!$I$5*2&gt;B50," ",VLOOKUP((B50-'田面水シナリオ '!$I$5*2),$B$44:$F$64,5,FALSE)),"")</f>
        <v/>
      </c>
      <c r="I50" s="168">
        <f t="shared" si="2"/>
        <v>0</v>
      </c>
      <c r="J50" s="177"/>
      <c r="K50" s="164" t="str">
        <f t="shared" si="6"/>
        <v>end</v>
      </c>
      <c r="L50" s="220">
        <v>6</v>
      </c>
      <c r="M50" s="221" t="str">
        <f>IF(AND(K50="end",K49="end"), "", IF(K50&lt;&gt;"",MIN(K49:K50),""))</f>
        <v/>
      </c>
      <c r="N50" s="221" t="str">
        <f>IF(AND(K50="end",K49="end"), "", IF(K50&lt;&gt;"",MAX(K49:K50),""))</f>
        <v/>
      </c>
      <c r="O50" s="222" t="str">
        <f t="shared" si="7"/>
        <v/>
      </c>
      <c r="P50" s="177"/>
    </row>
    <row r="51" spans="2:16">
      <c r="B51" s="164">
        <v>7</v>
      </c>
      <c r="C51" s="215">
        <f t="shared" si="1"/>
        <v>0</v>
      </c>
      <c r="D51" s="215">
        <f t="shared" si="3"/>
        <v>0</v>
      </c>
      <c r="E51" s="216" t="str">
        <f t="shared" si="4"/>
        <v>無</v>
      </c>
      <c r="F51" s="165">
        <f t="shared" si="5"/>
        <v>0</v>
      </c>
      <c r="G51" s="166" t="str">
        <f>IF('田面水シナリオ '!$G$5&gt;1,IF('田面水シナリオ '!$I$5&gt;B51," ",VLOOKUP((B51-'田面水シナリオ '!$I$5),$B$44:$F$64,5,FALSE)),"")</f>
        <v/>
      </c>
      <c r="H51" s="167" t="str">
        <f>IF('田面水シナリオ '!$G$5&gt;2,IF('田面水シナリオ '!$I$5*2&gt;B51," ",VLOOKUP((B51-'田面水シナリオ '!$I$5*2),$B$44:$F$64,5,FALSE)),"")</f>
        <v/>
      </c>
      <c r="I51" s="168">
        <f t="shared" si="2"/>
        <v>0</v>
      </c>
      <c r="J51" s="177"/>
      <c r="K51" s="164" t="str">
        <f t="shared" si="6"/>
        <v>end</v>
      </c>
      <c r="L51" s="220">
        <v>7</v>
      </c>
      <c r="M51" s="221" t="str">
        <f>IF(AND(K51="end",K50="end"), "", IF(K51&lt;&gt;"",MIN(K50:K51),""))</f>
        <v/>
      </c>
      <c r="N51" s="221" t="str">
        <f t="shared" ref="N51:N64" si="8">IF(AND(K51="end",K50="end"), "", IF(K51&lt;&gt;"",MAX(K50:K51),""))</f>
        <v/>
      </c>
      <c r="O51" s="222" t="str">
        <f t="shared" si="7"/>
        <v/>
      </c>
      <c r="P51" s="177"/>
    </row>
    <row r="52" spans="2:16">
      <c r="B52" s="164">
        <v>8</v>
      </c>
      <c r="C52" s="215" t="str">
        <f t="shared" si="1"/>
        <v/>
      </c>
      <c r="D52" s="215">
        <f t="shared" si="3"/>
        <v>0</v>
      </c>
      <c r="E52" s="216" t="str">
        <f t="shared" si="4"/>
        <v>無</v>
      </c>
      <c r="F52" s="165">
        <f t="shared" si="5"/>
        <v>0</v>
      </c>
      <c r="G52" s="166" t="str">
        <f>IF('田面水シナリオ '!$G$5&gt;1,IF('田面水シナリオ '!$I$5&gt;B52," ",VLOOKUP((B52-'田面水シナリオ '!$I$5),$B$44:$F$64,5,FALSE)),"")</f>
        <v/>
      </c>
      <c r="H52" s="167" t="str">
        <f>IF('田面水シナリオ '!$G$5&gt;2,IF('田面水シナリオ '!$I$5*2&gt;B52," ",VLOOKUP((B52-'田面水シナリオ '!$I$5*2),$B$44:$F$64,5,FALSE)),"")</f>
        <v/>
      </c>
      <c r="I52" s="168">
        <f t="shared" si="2"/>
        <v>0</v>
      </c>
      <c r="J52" s="177"/>
      <c r="K52" s="164" t="str">
        <f t="shared" si="6"/>
        <v>end</v>
      </c>
      <c r="L52" s="220">
        <v>8</v>
      </c>
      <c r="M52" s="221" t="str">
        <f t="shared" ref="M52:M64" si="9">IF(AND(K52="end",K51="end"), "", IF(K52&lt;&gt;"",MIN(K51:K52),""))</f>
        <v/>
      </c>
      <c r="N52" s="221" t="str">
        <f t="shared" si="8"/>
        <v/>
      </c>
      <c r="O52" s="222" t="str">
        <f t="shared" si="7"/>
        <v/>
      </c>
      <c r="P52" s="177"/>
    </row>
    <row r="53" spans="2:16">
      <c r="B53" s="164">
        <v>9</v>
      </c>
      <c r="C53" s="215" t="str">
        <f t="shared" si="1"/>
        <v/>
      </c>
      <c r="D53" s="215">
        <f t="shared" si="3"/>
        <v>0</v>
      </c>
      <c r="E53" s="216" t="str">
        <f t="shared" si="4"/>
        <v>無</v>
      </c>
      <c r="F53" s="165">
        <f t="shared" si="5"/>
        <v>0</v>
      </c>
      <c r="G53" s="166" t="str">
        <f>IF('田面水シナリオ '!$G$5&gt;1,IF('田面水シナリオ '!$I$5&gt;B53," ",VLOOKUP((B53-'田面水シナリオ '!$I$5),$B$44:$F$64,5,FALSE)),"")</f>
        <v/>
      </c>
      <c r="H53" s="167" t="str">
        <f>IF('田面水シナリオ '!$G$5&gt;2,IF('田面水シナリオ '!$I$5*2&gt;B53," ",VLOOKUP((B53-'田面水シナリオ '!$I$5*2),$B$44:$F$64,5,FALSE)),"")</f>
        <v/>
      </c>
      <c r="I53" s="168">
        <f t="shared" si="2"/>
        <v>0</v>
      </c>
      <c r="J53" s="177"/>
      <c r="K53" s="164" t="str">
        <f t="shared" si="6"/>
        <v>end</v>
      </c>
      <c r="L53" s="220">
        <v>9</v>
      </c>
      <c r="M53" s="221" t="str">
        <f t="shared" si="9"/>
        <v/>
      </c>
      <c r="N53" s="221" t="str">
        <f t="shared" si="8"/>
        <v/>
      </c>
      <c r="O53" s="222" t="str">
        <f t="shared" si="7"/>
        <v/>
      </c>
      <c r="P53" s="177"/>
    </row>
    <row r="54" spans="2:16">
      <c r="B54" s="164">
        <v>10</v>
      </c>
      <c r="C54" s="215" t="str">
        <f t="shared" si="1"/>
        <v/>
      </c>
      <c r="D54" s="215">
        <f t="shared" si="3"/>
        <v>0</v>
      </c>
      <c r="E54" s="216" t="str">
        <f t="shared" si="4"/>
        <v>無</v>
      </c>
      <c r="F54" s="165">
        <f t="shared" si="5"/>
        <v>0</v>
      </c>
      <c r="G54" s="166" t="str">
        <f>IF('田面水シナリオ '!$G$5&gt;1,IF('田面水シナリオ '!$I$5&gt;B54," ",VLOOKUP((B54-'田面水シナリオ '!$I$5),$B$44:$F$64,5,FALSE)),"")</f>
        <v/>
      </c>
      <c r="H54" s="167" t="str">
        <f>IF('田面水シナリオ '!$G$5&gt;2,IF('田面水シナリオ '!$I$5*2&gt;B54," ",VLOOKUP((B54-'田面水シナリオ '!$I$5*2),$B$44:$F$64,5,FALSE)),"")</f>
        <v/>
      </c>
      <c r="I54" s="168">
        <f t="shared" si="2"/>
        <v>0</v>
      </c>
      <c r="J54" s="177"/>
      <c r="K54" s="164" t="str">
        <f t="shared" si="6"/>
        <v>end</v>
      </c>
      <c r="L54" s="220">
        <v>10</v>
      </c>
      <c r="M54" s="221" t="str">
        <f t="shared" si="9"/>
        <v/>
      </c>
      <c r="N54" s="221" t="str">
        <f t="shared" si="8"/>
        <v/>
      </c>
      <c r="O54" s="222" t="str">
        <f t="shared" si="7"/>
        <v/>
      </c>
      <c r="P54" s="177"/>
    </row>
    <row r="55" spans="2:16">
      <c r="B55" s="164">
        <v>11</v>
      </c>
      <c r="C55" s="215" t="str">
        <f t="shared" si="1"/>
        <v/>
      </c>
      <c r="D55" s="215">
        <f t="shared" si="3"/>
        <v>0</v>
      </c>
      <c r="E55" s="216" t="str">
        <f t="shared" si="4"/>
        <v>無</v>
      </c>
      <c r="F55" s="165">
        <f t="shared" si="5"/>
        <v>0</v>
      </c>
      <c r="G55" s="166" t="str">
        <f>IF('田面水シナリオ '!$G$5&gt;1,IF('田面水シナリオ '!$I$5&gt;B55," ",VLOOKUP((B55-'田面水シナリオ '!$I$5),$B$44:$F$64,5,FALSE)),"")</f>
        <v/>
      </c>
      <c r="H55" s="167" t="str">
        <f>IF('田面水シナリオ '!$G$5&gt;2,IF('田面水シナリオ '!$I$5*2&gt;B55," ",VLOOKUP((B55-'田面水シナリオ '!$I$5*2),$B$44:$F$64,5,FALSE)),"")</f>
        <v/>
      </c>
      <c r="I55" s="168">
        <f t="shared" si="2"/>
        <v>0</v>
      </c>
      <c r="J55" s="177"/>
      <c r="K55" s="164" t="str">
        <f t="shared" si="6"/>
        <v>end</v>
      </c>
      <c r="L55" s="220">
        <v>11</v>
      </c>
      <c r="M55" s="221" t="str">
        <f t="shared" si="9"/>
        <v/>
      </c>
      <c r="N55" s="221" t="str">
        <f t="shared" si="8"/>
        <v/>
      </c>
      <c r="O55" s="222" t="str">
        <f t="shared" si="7"/>
        <v/>
      </c>
      <c r="P55" s="177"/>
    </row>
    <row r="56" spans="2:16">
      <c r="B56" s="164">
        <v>12</v>
      </c>
      <c r="C56" s="215" t="str">
        <f t="shared" si="1"/>
        <v/>
      </c>
      <c r="D56" s="215">
        <f t="shared" si="3"/>
        <v>0</v>
      </c>
      <c r="E56" s="216" t="str">
        <f t="shared" si="4"/>
        <v>無</v>
      </c>
      <c r="F56" s="165">
        <f t="shared" si="5"/>
        <v>0</v>
      </c>
      <c r="G56" s="166" t="str">
        <f>IF('田面水シナリオ '!$G$5&gt;1,IF('田面水シナリオ '!$I$5&gt;B56," ",VLOOKUP((B56-'田面水シナリオ '!$I$5),$B$44:$F$64,5,FALSE)),"")</f>
        <v/>
      </c>
      <c r="H56" s="167" t="str">
        <f>IF('田面水シナリオ '!$G$5&gt;2,IF('田面水シナリオ '!$I$5*2&gt;B56," ",VLOOKUP((B56-'田面水シナリオ '!$I$5*2),$B$44:$F$64,5,FALSE)),"")</f>
        <v/>
      </c>
      <c r="I56" s="168">
        <f t="shared" si="2"/>
        <v>0</v>
      </c>
      <c r="J56" s="177"/>
      <c r="K56" s="164" t="str">
        <f t="shared" si="6"/>
        <v>end</v>
      </c>
      <c r="L56" s="220">
        <v>12</v>
      </c>
      <c r="M56" s="221" t="str">
        <f t="shared" si="9"/>
        <v/>
      </c>
      <c r="N56" s="221" t="str">
        <f t="shared" si="8"/>
        <v/>
      </c>
      <c r="O56" s="222" t="str">
        <f t="shared" si="7"/>
        <v/>
      </c>
      <c r="P56" s="177"/>
    </row>
    <row r="57" spans="2:16">
      <c r="B57" s="164">
        <v>13</v>
      </c>
      <c r="C57" s="215" t="str">
        <f t="shared" si="1"/>
        <v/>
      </c>
      <c r="D57" s="215">
        <f t="shared" si="3"/>
        <v>0</v>
      </c>
      <c r="E57" s="216" t="str">
        <f t="shared" si="4"/>
        <v>無</v>
      </c>
      <c r="F57" s="165">
        <f t="shared" si="5"/>
        <v>0</v>
      </c>
      <c r="G57" s="166" t="str">
        <f>IF('田面水シナリオ '!$G$5&gt;1,IF('田面水シナリオ '!$I$5&gt;B57," ",VLOOKUP((B57-'田面水シナリオ '!$I$5),$B$44:$F$64,5,FALSE)),"")</f>
        <v/>
      </c>
      <c r="H57" s="167" t="str">
        <f>IF('田面水シナリオ '!$G$5&gt;2,IF('田面水シナリオ '!$I$5*2&gt;B57," ",VLOOKUP((B57-'田面水シナリオ '!$I$5*2),$B$44:$F$64,5,FALSE)),"")</f>
        <v/>
      </c>
      <c r="I57" s="168">
        <f t="shared" si="2"/>
        <v>0</v>
      </c>
      <c r="J57" s="177"/>
      <c r="K57" s="164" t="str">
        <f t="shared" si="6"/>
        <v>end</v>
      </c>
      <c r="L57" s="220">
        <v>13</v>
      </c>
      <c r="M57" s="221" t="str">
        <f t="shared" si="9"/>
        <v/>
      </c>
      <c r="N57" s="221" t="str">
        <f t="shared" si="8"/>
        <v/>
      </c>
      <c r="O57" s="222" t="str">
        <f t="shared" si="7"/>
        <v/>
      </c>
      <c r="P57" s="177"/>
    </row>
    <row r="58" spans="2:16">
      <c r="B58" s="164">
        <v>14</v>
      </c>
      <c r="C58" s="215">
        <f t="shared" si="1"/>
        <v>0</v>
      </c>
      <c r="D58" s="215">
        <f>IF(MAX($K$44:$K$63)&lt;B58, "", IF(B58=VLOOKUP(B58, $K$44:$K$63,1,1), C58,D57-INDEX($O$44:$O$63, MATCH(VLOOKUP(B58, $K$44:$K$63,1,1), $K$44:$K$63)+1, 1)))</f>
        <v>0</v>
      </c>
      <c r="E58" s="216" t="str">
        <f t="shared" si="4"/>
        <v>無</v>
      </c>
      <c r="F58" s="165">
        <f t="shared" si="5"/>
        <v>0</v>
      </c>
      <c r="G58" s="166" t="str">
        <f>IF('田面水シナリオ '!$G$5&gt;1,IF('田面水シナリオ '!$I$5&gt;B58," ",VLOOKUP((B58-'田面水シナリオ '!$I$5),$B$44:$F$64,5,FALSE)),"")</f>
        <v/>
      </c>
      <c r="H58" s="167" t="str">
        <f>IF('田面水シナリオ '!$G$5&gt;2,IF('田面水シナリオ '!$I$5*2&gt;B58," ",VLOOKUP((B58-'田面水シナリオ '!$I$5*2),$B$44:$F$64,5,FALSE)),"")</f>
        <v/>
      </c>
      <c r="I58" s="168">
        <f t="shared" si="2"/>
        <v>0</v>
      </c>
      <c r="J58" s="177"/>
      <c r="K58" s="164" t="str">
        <f t="shared" si="6"/>
        <v>end</v>
      </c>
      <c r="L58" s="220">
        <v>14</v>
      </c>
      <c r="M58" s="221" t="str">
        <f t="shared" si="9"/>
        <v/>
      </c>
      <c r="N58" s="221" t="str">
        <f t="shared" si="8"/>
        <v/>
      </c>
      <c r="O58" s="222" t="str">
        <f t="shared" si="7"/>
        <v/>
      </c>
      <c r="P58" s="177"/>
    </row>
    <row r="59" spans="2:16">
      <c r="B59" s="169">
        <v>15</v>
      </c>
      <c r="C59" s="215" t="str">
        <f t="shared" si="1"/>
        <v/>
      </c>
      <c r="D59" s="215" t="str">
        <f t="shared" si="3"/>
        <v/>
      </c>
      <c r="E59" s="216" t="str">
        <f t="shared" si="4"/>
        <v>無</v>
      </c>
      <c r="F59" s="165" t="e">
        <f t="shared" si="5"/>
        <v>#VALUE!</v>
      </c>
      <c r="G59" s="166" t="str">
        <f>IF('田面水シナリオ '!$G$5&gt;1,IF('田面水シナリオ '!$I$5&gt;B59," ",VLOOKUP((B59-'田面水シナリオ '!$I$5),$B$44:$F$64,5,FALSE)),"")</f>
        <v/>
      </c>
      <c r="H59" s="167" t="str">
        <f>IF('田面水シナリオ '!$G$5&gt;2,IF('田面水シナリオ '!$I$5*2&gt;B59," ",VLOOKUP((B59-'田面水シナリオ '!$I$5*2),$B$44:$F$64,5,FALSE)),"")</f>
        <v/>
      </c>
      <c r="I59" s="168" t="e">
        <f t="shared" si="2"/>
        <v>#VALUE!</v>
      </c>
      <c r="J59" s="177"/>
      <c r="K59" s="164" t="str">
        <f t="shared" si="6"/>
        <v>end</v>
      </c>
      <c r="L59" s="220">
        <v>15</v>
      </c>
      <c r="M59" s="221" t="str">
        <f>IF(AND(K59="end",K58="end"), "", IF(K59&lt;&gt;"",MIN(K58:K59),""))</f>
        <v/>
      </c>
      <c r="N59" s="221" t="str">
        <f>IF(AND(K59="end",K58="end"), "", IF(K59&lt;&gt;"",MAX(K58:K59),""))</f>
        <v/>
      </c>
      <c r="O59" s="222" t="str">
        <f t="shared" si="7"/>
        <v/>
      </c>
      <c r="P59" s="177"/>
    </row>
    <row r="60" spans="2:16">
      <c r="B60" s="164">
        <v>16</v>
      </c>
      <c r="C60" s="215" t="str">
        <f t="shared" si="1"/>
        <v/>
      </c>
      <c r="D60" s="215" t="str">
        <f t="shared" si="3"/>
        <v/>
      </c>
      <c r="E60" s="216" t="str">
        <f t="shared" si="4"/>
        <v>無</v>
      </c>
      <c r="F60" s="165" t="e">
        <f t="shared" si="5"/>
        <v>#VALUE!</v>
      </c>
      <c r="G60" s="166" t="str">
        <f>IF('田面水シナリオ '!$G$5&gt;1,IF('田面水シナリオ '!$I$5&gt;B60," ",VLOOKUP((B60-'田面水シナリオ '!$I$5),$B$44:$F$64,5,FALSE)),"")</f>
        <v/>
      </c>
      <c r="H60" s="167" t="str">
        <f>IF('田面水シナリオ '!$G$5&gt;2,IF('田面水シナリオ '!$I$5*2&gt;B60," ",VLOOKUP((B60-'田面水シナリオ '!$I$5*2),$B$44:$F$64,5,FALSE)),"")</f>
        <v/>
      </c>
      <c r="I60" s="168" t="e">
        <f t="shared" si="2"/>
        <v>#VALUE!</v>
      </c>
      <c r="J60" s="177"/>
      <c r="K60" s="164" t="str">
        <f t="shared" si="6"/>
        <v>end</v>
      </c>
      <c r="L60" s="220">
        <v>16</v>
      </c>
      <c r="M60" s="221" t="str">
        <f t="shared" si="9"/>
        <v/>
      </c>
      <c r="N60" s="221" t="str">
        <f t="shared" si="8"/>
        <v/>
      </c>
      <c r="O60" s="222" t="str">
        <f t="shared" si="7"/>
        <v/>
      </c>
      <c r="P60" s="177"/>
    </row>
    <row r="61" spans="2:16">
      <c r="B61" s="164">
        <v>17</v>
      </c>
      <c r="C61" s="215" t="str">
        <f t="shared" si="1"/>
        <v/>
      </c>
      <c r="D61" s="215" t="str">
        <f t="shared" si="3"/>
        <v/>
      </c>
      <c r="E61" s="216" t="str">
        <f t="shared" si="4"/>
        <v>無</v>
      </c>
      <c r="F61" s="165" t="e">
        <f t="shared" si="5"/>
        <v>#VALUE!</v>
      </c>
      <c r="G61" s="166" t="str">
        <f>IF('田面水シナリオ '!$G$5&gt;1,IF('田面水シナリオ '!$I$5&gt;B61," ",VLOOKUP((B61-'田面水シナリオ '!$I$5),$B$44:$F$64,5,FALSE)),"")</f>
        <v/>
      </c>
      <c r="H61" s="167" t="str">
        <f>IF('田面水シナリオ '!$G$5&gt;2,IF('田面水シナリオ '!$I$5*2&gt;B61," ",VLOOKUP((B61-'田面水シナリオ '!$I$5*2),$B$44:$F$64,5,FALSE)),"")</f>
        <v/>
      </c>
      <c r="I61" s="168" t="e">
        <f t="shared" si="2"/>
        <v>#VALUE!</v>
      </c>
      <c r="J61" s="177"/>
      <c r="K61" s="164" t="str">
        <f t="shared" si="6"/>
        <v>end</v>
      </c>
      <c r="L61" s="220">
        <v>17</v>
      </c>
      <c r="M61" s="221" t="str">
        <f t="shared" si="9"/>
        <v/>
      </c>
      <c r="N61" s="221" t="str">
        <f t="shared" si="8"/>
        <v/>
      </c>
      <c r="O61" s="222" t="str">
        <f t="shared" si="7"/>
        <v/>
      </c>
      <c r="P61" s="177"/>
    </row>
    <row r="62" spans="2:16">
      <c r="B62" s="164">
        <v>18</v>
      </c>
      <c r="C62" s="215" t="str">
        <f t="shared" si="1"/>
        <v/>
      </c>
      <c r="D62" s="215" t="str">
        <f t="shared" si="3"/>
        <v/>
      </c>
      <c r="E62" s="216" t="str">
        <f t="shared" si="4"/>
        <v>無</v>
      </c>
      <c r="F62" s="165" t="e">
        <f t="shared" si="5"/>
        <v>#VALUE!</v>
      </c>
      <c r="G62" s="166" t="str">
        <f>IF('田面水シナリオ '!$G$5&gt;1,IF('田面水シナリオ '!$I$5&gt;B62," ",VLOOKUP((B62-'田面水シナリオ '!$I$5),$B$44:$F$64,5,FALSE)),"")</f>
        <v/>
      </c>
      <c r="H62" s="167" t="str">
        <f>IF('田面水シナリオ '!$G$5&gt;2,IF('田面水シナリオ '!$I$5*2&gt;B62," ",VLOOKUP((B62-'田面水シナリオ '!$I$5*2),$B$44:$F$64,5,FALSE)),"")</f>
        <v/>
      </c>
      <c r="I62" s="168" t="e">
        <f t="shared" si="2"/>
        <v>#VALUE!</v>
      </c>
      <c r="J62" s="177"/>
      <c r="K62" s="164" t="str">
        <f t="shared" si="6"/>
        <v>end</v>
      </c>
      <c r="L62" s="220">
        <v>18</v>
      </c>
      <c r="M62" s="221" t="str">
        <f t="shared" si="9"/>
        <v/>
      </c>
      <c r="N62" s="221" t="str">
        <f t="shared" si="8"/>
        <v/>
      </c>
      <c r="O62" s="222" t="str">
        <f t="shared" si="7"/>
        <v/>
      </c>
      <c r="P62" s="177"/>
    </row>
    <row r="63" spans="2:16">
      <c r="B63" s="164">
        <v>19</v>
      </c>
      <c r="C63" s="215" t="str">
        <f t="shared" si="1"/>
        <v/>
      </c>
      <c r="D63" s="215" t="str">
        <f t="shared" si="3"/>
        <v/>
      </c>
      <c r="E63" s="216" t="str">
        <f t="shared" si="4"/>
        <v>無</v>
      </c>
      <c r="F63" s="165" t="e">
        <f t="shared" si="5"/>
        <v>#VALUE!</v>
      </c>
      <c r="G63" s="166" t="str">
        <f>IF('田面水シナリオ '!$G$5&gt;1,IF('田面水シナリオ '!$I$5&gt;B63," ",VLOOKUP((B63-'田面水シナリオ '!$I$5),$B$44:$F$64,5,FALSE)),"")</f>
        <v/>
      </c>
      <c r="H63" s="167" t="str">
        <f>IF('田面水シナリオ '!$G$5&gt;2,IF('田面水シナリオ '!$I$5*2&gt;B63," ",VLOOKUP((B63-'田面水シナリオ '!$I$5*2),$B$44:$F$64,5,FALSE)),"")</f>
        <v/>
      </c>
      <c r="I63" s="168" t="e">
        <f t="shared" si="2"/>
        <v>#VALUE!</v>
      </c>
      <c r="J63" s="177"/>
      <c r="K63" s="164" t="str">
        <f t="shared" si="6"/>
        <v>end</v>
      </c>
      <c r="L63" s="220">
        <v>19</v>
      </c>
      <c r="M63" s="221" t="str">
        <f t="shared" si="9"/>
        <v/>
      </c>
      <c r="N63" s="221" t="str">
        <f t="shared" si="8"/>
        <v/>
      </c>
      <c r="O63" s="222" t="str">
        <f t="shared" si="7"/>
        <v/>
      </c>
      <c r="P63" s="177"/>
    </row>
    <row r="64" spans="2:16" ht="13.5" thickBot="1">
      <c r="B64" s="170">
        <v>20</v>
      </c>
      <c r="C64" s="223" t="str">
        <f t="shared" si="1"/>
        <v/>
      </c>
      <c r="D64" s="223" t="str">
        <f t="shared" si="3"/>
        <v/>
      </c>
      <c r="E64" s="224" t="str">
        <f t="shared" si="4"/>
        <v>無</v>
      </c>
      <c r="F64" s="171" t="e">
        <f t="shared" si="5"/>
        <v>#VALUE!</v>
      </c>
      <c r="G64" s="172" t="str">
        <f>IF('田面水シナリオ '!$G$5&gt;1,IF('田面水シナリオ '!$I$5&gt;B64," ",VLOOKUP((B64-'田面水シナリオ '!$I$5),$B$44:$F$64,5,FALSE)),"")</f>
        <v/>
      </c>
      <c r="H64" s="173" t="str">
        <f>IF('田面水シナリオ '!$G$5&gt;2,IF('田面水シナリオ '!$I$5*2&gt;B64," ",VLOOKUP((B64-'田面水シナリオ '!$I$5*2),$B$44:$F$64,5,FALSE)),"")</f>
        <v/>
      </c>
      <c r="I64" s="174" t="e">
        <f t="shared" si="2"/>
        <v>#VALUE!</v>
      </c>
      <c r="J64" s="177"/>
      <c r="K64" s="225" t="str">
        <f t="shared" si="6"/>
        <v>end</v>
      </c>
      <c r="L64" s="220">
        <v>20</v>
      </c>
      <c r="M64" s="226" t="str">
        <f t="shared" si="9"/>
        <v/>
      </c>
      <c r="N64" s="226" t="str">
        <f t="shared" si="8"/>
        <v/>
      </c>
      <c r="O64" s="227" t="str">
        <f t="shared" si="7"/>
        <v/>
      </c>
    </row>
    <row r="65" spans="2:16" ht="13.5" thickTop="1">
      <c r="B65" s="177"/>
      <c r="C65" s="177"/>
      <c r="D65" s="177"/>
      <c r="E65" s="177"/>
      <c r="F65" s="177"/>
      <c r="G65" s="177"/>
      <c r="H65" s="177"/>
      <c r="I65" s="177"/>
      <c r="J65" s="177"/>
      <c r="K65" s="228" t="s">
        <v>201</v>
      </c>
      <c r="L65" s="229"/>
      <c r="M65" s="228"/>
      <c r="N65" s="228"/>
      <c r="O65" s="228"/>
      <c r="P65" s="177"/>
    </row>
    <row r="66" spans="2:16">
      <c r="B66" s="177"/>
      <c r="C66" s="177"/>
      <c r="D66" s="177"/>
      <c r="E66" s="177"/>
      <c r="F66" s="177"/>
      <c r="G66" s="177"/>
      <c r="H66" s="177"/>
      <c r="I66" s="177"/>
      <c r="J66" s="177"/>
      <c r="K66" s="230"/>
      <c r="L66" s="231"/>
      <c r="M66" s="230"/>
      <c r="N66" s="230"/>
      <c r="O66" s="230"/>
      <c r="P66" s="177"/>
    </row>
    <row r="67" spans="2:16">
      <c r="B67" s="177"/>
      <c r="C67" s="177"/>
      <c r="D67" s="177"/>
      <c r="E67" s="177"/>
      <c r="F67" s="177"/>
      <c r="G67" s="177"/>
      <c r="H67" s="177"/>
      <c r="I67" s="177"/>
      <c r="J67" s="177"/>
      <c r="K67" s="230"/>
      <c r="L67" s="232"/>
      <c r="M67" s="230"/>
      <c r="N67" s="230"/>
      <c r="O67" s="230"/>
      <c r="P67" s="177"/>
    </row>
    <row r="68" spans="2:16">
      <c r="B68" s="177"/>
      <c r="C68" s="177"/>
      <c r="D68" s="177"/>
      <c r="E68" s="177"/>
      <c r="F68" s="177"/>
      <c r="G68" s="177"/>
      <c r="H68" s="177"/>
      <c r="I68" s="177"/>
      <c r="J68" s="177"/>
      <c r="K68" s="230"/>
      <c r="L68" s="233"/>
      <c r="M68" s="230"/>
      <c r="N68" s="230"/>
      <c r="O68" s="230"/>
      <c r="P68" s="177"/>
    </row>
    <row r="69" spans="2:16">
      <c r="B69" s="177"/>
      <c r="C69" s="177"/>
      <c r="D69" s="177"/>
      <c r="E69" s="177"/>
      <c r="F69" s="177"/>
      <c r="G69" s="177"/>
      <c r="H69" s="177"/>
      <c r="I69" s="177"/>
      <c r="J69" s="177"/>
      <c r="K69" s="230"/>
      <c r="L69" s="234"/>
      <c r="M69" s="230"/>
      <c r="N69" s="230"/>
      <c r="O69" s="230"/>
      <c r="P69" s="177"/>
    </row>
    <row r="70" spans="2:16">
      <c r="B70" s="177"/>
      <c r="C70" s="177"/>
      <c r="D70" s="177"/>
      <c r="E70" s="177"/>
      <c r="F70" s="177"/>
      <c r="G70" s="177"/>
      <c r="H70" s="177"/>
      <c r="I70" s="177"/>
      <c r="J70" s="177"/>
      <c r="K70" s="230"/>
      <c r="L70" s="177"/>
      <c r="M70" s="230" t="str">
        <f>IF(K70&lt;&gt;"",MIN(K69:K70),"")</f>
        <v/>
      </c>
      <c r="N70" s="230" t="str">
        <f>IF(K70&lt;&gt;"",MAX(K69:K70),"")</f>
        <v/>
      </c>
      <c r="O70" s="230"/>
      <c r="P70" s="177"/>
    </row>
    <row r="71" spans="2:16">
      <c r="B71" s="177"/>
      <c r="C71" s="177"/>
      <c r="D71" s="177"/>
      <c r="E71" s="177"/>
      <c r="F71" s="177"/>
      <c r="G71" s="177"/>
      <c r="H71" s="177"/>
      <c r="I71" s="177"/>
      <c r="J71" s="177"/>
      <c r="K71" s="177"/>
      <c r="L71" s="177"/>
      <c r="M71" s="178"/>
      <c r="N71" s="178"/>
      <c r="O71" s="178"/>
      <c r="P71" s="178"/>
    </row>
    <row r="72" spans="2:16">
      <c r="B72" s="177"/>
      <c r="C72" s="177"/>
      <c r="D72" s="177"/>
      <c r="E72" s="177"/>
      <c r="F72" s="177"/>
      <c r="G72" s="177"/>
      <c r="H72" s="177"/>
      <c r="I72" s="177"/>
      <c r="J72" s="177"/>
      <c r="K72" s="177"/>
      <c r="L72" s="177"/>
      <c r="M72" s="178"/>
      <c r="N72" s="178"/>
      <c r="O72" s="178"/>
      <c r="P72" s="178"/>
    </row>
    <row r="73" spans="2:16">
      <c r="B73" s="177"/>
      <c r="C73" s="177"/>
      <c r="D73" s="177"/>
      <c r="E73" s="177"/>
      <c r="F73" s="177"/>
      <c r="G73" s="177"/>
      <c r="H73" s="177"/>
      <c r="I73" s="177"/>
      <c r="J73" s="177"/>
      <c r="K73" s="177"/>
      <c r="L73" s="177"/>
      <c r="M73" s="178"/>
      <c r="N73" s="178"/>
      <c r="O73" s="178"/>
      <c r="P73" s="178"/>
    </row>
    <row r="74" spans="2:16">
      <c r="B74" s="177"/>
      <c r="C74" s="177"/>
      <c r="D74" s="177"/>
      <c r="E74" s="177"/>
      <c r="F74" s="177"/>
      <c r="G74" s="177"/>
      <c r="H74" s="177"/>
      <c r="I74" s="177"/>
      <c r="J74" s="177"/>
      <c r="K74" s="177"/>
      <c r="L74" s="177"/>
      <c r="M74" s="178"/>
      <c r="N74" s="178"/>
      <c r="O74" s="178"/>
      <c r="P74" s="178"/>
    </row>
    <row r="75" spans="2:16">
      <c r="B75" s="177"/>
      <c r="C75" s="177"/>
      <c r="D75" s="177"/>
      <c r="E75" s="177"/>
      <c r="F75" s="177"/>
      <c r="G75" s="177"/>
      <c r="H75" s="177"/>
      <c r="I75" s="177"/>
      <c r="J75" s="177"/>
      <c r="K75" s="177"/>
      <c r="L75" s="177"/>
      <c r="M75" s="178"/>
      <c r="N75" s="178"/>
      <c r="O75" s="178"/>
      <c r="P75" s="178"/>
    </row>
    <row r="76" spans="2:16">
      <c r="B76" s="177"/>
      <c r="C76" s="177"/>
      <c r="D76" s="177"/>
      <c r="E76" s="177"/>
      <c r="F76" s="177"/>
      <c r="G76" s="177"/>
      <c r="H76" s="177"/>
      <c r="I76" s="177"/>
      <c r="J76" s="177"/>
      <c r="K76" s="177"/>
      <c r="L76" s="177"/>
      <c r="M76" s="178"/>
      <c r="N76" s="178"/>
      <c r="O76" s="178"/>
      <c r="P76" s="178"/>
    </row>
    <row r="77" spans="2:16">
      <c r="B77" s="177"/>
      <c r="C77" s="177"/>
      <c r="D77" s="177"/>
      <c r="E77" s="177"/>
      <c r="F77" s="177"/>
      <c r="G77" s="177"/>
      <c r="H77" s="177"/>
      <c r="I77" s="177"/>
      <c r="J77" s="177"/>
      <c r="K77" s="177"/>
      <c r="L77" s="177"/>
      <c r="M77" s="178"/>
      <c r="N77" s="178"/>
      <c r="O77" s="178"/>
      <c r="P77" s="178"/>
    </row>
    <row r="78" spans="2:16">
      <c r="B78" s="177"/>
      <c r="C78" s="177"/>
      <c r="D78" s="177"/>
      <c r="E78" s="177"/>
      <c r="F78" s="177"/>
      <c r="G78" s="177"/>
      <c r="H78" s="177"/>
      <c r="I78" s="177"/>
      <c r="J78" s="177"/>
      <c r="K78" s="177"/>
      <c r="L78" s="177"/>
      <c r="M78" s="178"/>
      <c r="N78" s="178"/>
      <c r="O78" s="178"/>
      <c r="P78" s="178"/>
    </row>
    <row r="79" spans="2:16">
      <c r="B79" s="177"/>
      <c r="C79" s="177"/>
      <c r="D79" s="177"/>
      <c r="E79" s="177"/>
      <c r="F79" s="177"/>
      <c r="G79" s="177"/>
      <c r="H79" s="177"/>
      <c r="I79" s="177"/>
      <c r="J79" s="177"/>
      <c r="K79" s="177"/>
      <c r="L79" s="177"/>
      <c r="M79" s="178"/>
      <c r="N79" s="178"/>
      <c r="O79" s="178"/>
      <c r="P79" s="178"/>
    </row>
    <row r="80" spans="2:16">
      <c r="B80" s="177"/>
      <c r="C80" s="177"/>
      <c r="D80" s="177"/>
      <c r="E80" s="177"/>
      <c r="F80" s="177"/>
      <c r="G80" s="177"/>
      <c r="H80" s="177"/>
      <c r="I80" s="177"/>
      <c r="J80" s="177"/>
      <c r="K80" s="177"/>
      <c r="L80" s="177"/>
      <c r="M80" s="178"/>
      <c r="N80" s="178"/>
      <c r="O80" s="178"/>
      <c r="P80" s="178"/>
    </row>
    <row r="81" spans="2:16">
      <c r="B81" s="177"/>
      <c r="C81" s="177"/>
      <c r="D81" s="177"/>
      <c r="E81" s="177"/>
      <c r="F81" s="177"/>
      <c r="G81" s="177"/>
      <c r="H81" s="177"/>
      <c r="I81" s="177"/>
      <c r="J81" s="177"/>
      <c r="K81" s="177"/>
      <c r="L81" s="177"/>
      <c r="M81" s="178"/>
      <c r="N81" s="178"/>
      <c r="O81" s="178"/>
      <c r="P81" s="178"/>
    </row>
    <row r="82" spans="2:16">
      <c r="B82" s="177"/>
      <c r="C82" s="177"/>
      <c r="D82" s="177"/>
      <c r="E82" s="177"/>
      <c r="F82" s="177"/>
      <c r="G82" s="177"/>
      <c r="H82" s="177"/>
      <c r="I82" s="177"/>
      <c r="J82" s="177"/>
      <c r="K82" s="177"/>
      <c r="L82" s="177"/>
      <c r="M82" s="178"/>
      <c r="N82" s="178"/>
      <c r="O82" s="178"/>
      <c r="P82" s="178"/>
    </row>
    <row r="83" spans="2:16">
      <c r="B83" s="177"/>
      <c r="C83" s="177"/>
      <c r="D83" s="177"/>
      <c r="E83" s="177"/>
      <c r="F83" s="177"/>
      <c r="G83" s="177"/>
      <c r="H83" s="177"/>
      <c r="I83" s="177"/>
      <c r="J83" s="177"/>
      <c r="K83" s="177"/>
      <c r="L83" s="177"/>
      <c r="M83" s="178"/>
      <c r="N83" s="178"/>
      <c r="O83" s="178"/>
      <c r="P83" s="178"/>
    </row>
    <row r="84" spans="2:16">
      <c r="B84" s="177"/>
      <c r="C84" s="177"/>
      <c r="D84" s="177"/>
      <c r="E84" s="177"/>
      <c r="F84" s="177"/>
      <c r="G84" s="177"/>
      <c r="H84" s="177"/>
      <c r="I84" s="177"/>
      <c r="J84" s="177"/>
      <c r="K84" s="177"/>
      <c r="L84" s="177"/>
      <c r="M84" s="178"/>
      <c r="N84" s="178"/>
      <c r="O84" s="178"/>
      <c r="P84" s="178"/>
    </row>
    <row r="85" spans="2:16">
      <c r="B85" s="177"/>
      <c r="C85" s="177"/>
      <c r="D85" s="177"/>
      <c r="E85" s="177"/>
      <c r="F85" s="177"/>
      <c r="G85" s="177"/>
      <c r="H85" s="177"/>
      <c r="I85" s="177"/>
      <c r="J85" s="177"/>
      <c r="K85" s="177"/>
      <c r="L85" s="177"/>
      <c r="M85" s="178"/>
      <c r="N85" s="178"/>
      <c r="O85" s="178"/>
      <c r="P85" s="178"/>
    </row>
    <row r="86" spans="2:16">
      <c r="B86" s="177"/>
      <c r="C86" s="177"/>
      <c r="D86" s="177"/>
      <c r="E86" s="177"/>
      <c r="F86" s="177"/>
      <c r="G86" s="177"/>
      <c r="H86" s="177"/>
      <c r="I86" s="177"/>
      <c r="J86" s="177"/>
      <c r="K86" s="177"/>
      <c r="L86" s="177"/>
      <c r="M86" s="178"/>
      <c r="N86" s="178"/>
      <c r="O86" s="178"/>
      <c r="P86" s="178"/>
    </row>
    <row r="87" spans="2:16">
      <c r="B87" s="177"/>
      <c r="C87" s="177"/>
      <c r="D87" s="177"/>
      <c r="E87" s="177"/>
      <c r="F87" s="177"/>
      <c r="G87" s="177"/>
      <c r="H87" s="177"/>
      <c r="I87" s="177"/>
      <c r="J87" s="177"/>
      <c r="K87" s="177"/>
      <c r="L87" s="177"/>
      <c r="M87" s="178"/>
      <c r="N87" s="178"/>
      <c r="O87" s="178"/>
      <c r="P87" s="178"/>
    </row>
    <row r="88" spans="2:16">
      <c r="B88" s="177"/>
      <c r="C88" s="177"/>
      <c r="D88" s="177"/>
      <c r="E88" s="177"/>
      <c r="F88" s="177"/>
      <c r="G88" s="177"/>
      <c r="H88" s="177"/>
      <c r="I88" s="177"/>
      <c r="J88" s="177"/>
      <c r="K88" s="177"/>
      <c r="L88" s="177"/>
      <c r="M88" s="178"/>
      <c r="N88" s="178"/>
      <c r="O88" s="178"/>
      <c r="P88" s="178"/>
    </row>
    <row r="89" spans="2:16">
      <c r="B89" s="177"/>
      <c r="C89" s="177"/>
      <c r="D89" s="177"/>
      <c r="E89" s="177"/>
      <c r="F89" s="177"/>
      <c r="G89" s="177"/>
      <c r="H89" s="177"/>
      <c r="I89" s="177"/>
      <c r="J89" s="177"/>
      <c r="K89" s="177"/>
      <c r="L89" s="177"/>
      <c r="M89" s="178"/>
      <c r="N89" s="178"/>
      <c r="O89" s="178"/>
      <c r="P89" s="178"/>
    </row>
    <row r="90" spans="2:16">
      <c r="B90" s="177"/>
      <c r="C90" s="177"/>
      <c r="D90" s="177"/>
      <c r="E90" s="177"/>
      <c r="F90" s="177"/>
      <c r="G90" s="177"/>
      <c r="H90" s="177"/>
      <c r="I90" s="177"/>
      <c r="J90" s="177"/>
      <c r="K90" s="177"/>
      <c r="L90" s="177"/>
      <c r="M90" s="178"/>
      <c r="N90" s="178"/>
      <c r="O90" s="178"/>
      <c r="P90" s="178"/>
    </row>
    <row r="91" spans="2:16">
      <c r="B91" s="177"/>
      <c r="C91" s="177"/>
      <c r="D91" s="177"/>
      <c r="E91" s="177"/>
      <c r="F91" s="177"/>
      <c r="G91" s="177"/>
      <c r="H91" s="177"/>
      <c r="I91" s="177"/>
      <c r="J91" s="177"/>
      <c r="K91" s="177"/>
      <c r="L91" s="177"/>
      <c r="M91" s="178"/>
      <c r="N91" s="178"/>
      <c r="O91" s="178"/>
      <c r="P91" s="178"/>
    </row>
    <row r="92" spans="2:16">
      <c r="B92" s="177"/>
      <c r="C92" s="177"/>
      <c r="D92" s="177"/>
      <c r="E92" s="177"/>
      <c r="F92" s="177"/>
      <c r="G92" s="177"/>
      <c r="H92" s="177"/>
      <c r="I92" s="177"/>
      <c r="J92" s="177"/>
      <c r="K92" s="177"/>
      <c r="L92" s="177"/>
      <c r="M92" s="178"/>
      <c r="N92" s="178"/>
      <c r="O92" s="178"/>
      <c r="P92" s="178"/>
    </row>
    <row r="93" spans="2:16">
      <c r="B93" s="177"/>
      <c r="C93" s="177"/>
      <c r="D93" s="177"/>
      <c r="E93" s="177"/>
      <c r="F93" s="177"/>
      <c r="G93" s="177"/>
      <c r="H93" s="177"/>
      <c r="I93" s="177"/>
      <c r="J93" s="177"/>
      <c r="K93" s="177"/>
      <c r="L93" s="177"/>
      <c r="M93" s="178"/>
      <c r="N93" s="178"/>
      <c r="O93" s="178"/>
      <c r="P93" s="178"/>
    </row>
    <row r="94" spans="2:16">
      <c r="B94" s="177"/>
      <c r="C94" s="177"/>
      <c r="D94" s="177"/>
      <c r="E94" s="177"/>
      <c r="F94" s="177"/>
      <c r="G94" s="177"/>
      <c r="H94" s="177"/>
      <c r="I94" s="177"/>
      <c r="J94" s="177"/>
      <c r="K94" s="177"/>
      <c r="L94" s="177"/>
      <c r="M94" s="178"/>
      <c r="N94" s="178"/>
      <c r="O94" s="178"/>
      <c r="P94" s="178"/>
    </row>
    <row r="95" spans="2:16">
      <c r="B95" s="177"/>
      <c r="C95" s="177"/>
      <c r="D95" s="177"/>
      <c r="E95" s="177"/>
      <c r="F95" s="177"/>
      <c r="G95" s="177"/>
      <c r="H95" s="177"/>
      <c r="I95" s="177"/>
      <c r="J95" s="177"/>
      <c r="K95" s="177"/>
      <c r="L95" s="177"/>
      <c r="M95" s="178"/>
      <c r="N95" s="178"/>
      <c r="O95" s="178"/>
      <c r="P95" s="178"/>
    </row>
    <row r="96" spans="2:16">
      <c r="B96" s="177"/>
      <c r="C96" s="177"/>
      <c r="D96" s="177"/>
      <c r="E96" s="177"/>
      <c r="F96" s="177"/>
      <c r="G96" s="177"/>
      <c r="H96" s="177"/>
      <c r="I96" s="177"/>
      <c r="J96" s="177"/>
      <c r="K96" s="177"/>
      <c r="L96" s="177"/>
      <c r="M96" s="178"/>
      <c r="N96" s="178"/>
      <c r="O96" s="178"/>
      <c r="P96" s="178"/>
    </row>
    <row r="97" spans="2:16">
      <c r="B97" s="177"/>
      <c r="C97" s="177"/>
      <c r="D97" s="177"/>
      <c r="E97" s="177"/>
      <c r="F97" s="177"/>
      <c r="G97" s="177"/>
      <c r="H97" s="177"/>
      <c r="I97" s="177"/>
      <c r="J97" s="177"/>
      <c r="K97" s="177"/>
      <c r="L97" s="177"/>
      <c r="M97" s="178"/>
      <c r="N97" s="178"/>
      <c r="O97" s="178"/>
      <c r="P97" s="178"/>
    </row>
    <row r="98" spans="2:16">
      <c r="B98" s="177"/>
      <c r="C98" s="177"/>
      <c r="D98" s="177"/>
      <c r="E98" s="177"/>
      <c r="F98" s="177"/>
      <c r="G98" s="177"/>
      <c r="H98" s="177"/>
      <c r="I98" s="177"/>
      <c r="J98" s="177"/>
      <c r="K98" s="177"/>
      <c r="L98" s="177"/>
      <c r="M98" s="178"/>
      <c r="N98" s="178"/>
      <c r="O98" s="178"/>
      <c r="P98" s="178"/>
    </row>
    <row r="99" spans="2:16">
      <c r="B99" s="177"/>
      <c r="C99" s="177"/>
      <c r="D99" s="177"/>
      <c r="E99" s="177"/>
      <c r="F99" s="177"/>
      <c r="G99" s="177"/>
      <c r="H99" s="177"/>
      <c r="I99" s="177"/>
      <c r="J99" s="177"/>
      <c r="K99" s="177"/>
      <c r="L99" s="177"/>
      <c r="M99" s="178"/>
      <c r="N99" s="178"/>
      <c r="O99" s="178"/>
      <c r="P99" s="178"/>
    </row>
    <row r="100" spans="2:16">
      <c r="B100" s="177"/>
      <c r="C100" s="177"/>
      <c r="D100" s="177"/>
      <c r="E100" s="177"/>
      <c r="F100" s="177"/>
      <c r="G100" s="177"/>
      <c r="H100" s="177"/>
      <c r="I100" s="177"/>
      <c r="J100" s="177"/>
      <c r="K100" s="177"/>
      <c r="L100" s="177"/>
      <c r="M100" s="178"/>
      <c r="N100" s="178"/>
      <c r="O100" s="178"/>
      <c r="P100" s="178"/>
    </row>
    <row r="101" spans="2:16">
      <c r="B101" s="177"/>
      <c r="C101" s="177"/>
      <c r="D101" s="177"/>
      <c r="E101" s="177"/>
      <c r="F101" s="177"/>
      <c r="G101" s="177"/>
      <c r="H101" s="177"/>
      <c r="I101" s="177"/>
      <c r="J101" s="177"/>
      <c r="K101" s="177"/>
      <c r="L101" s="177"/>
      <c r="M101" s="178"/>
      <c r="N101" s="178"/>
      <c r="O101" s="178"/>
      <c r="P101" s="178"/>
    </row>
    <row r="102" spans="2:16">
      <c r="B102" s="177"/>
      <c r="C102" s="177"/>
      <c r="D102" s="177"/>
      <c r="E102" s="177"/>
      <c r="F102" s="177"/>
      <c r="G102" s="177"/>
      <c r="H102" s="177"/>
      <c r="I102" s="177"/>
      <c r="J102" s="177"/>
      <c r="K102" s="177"/>
      <c r="L102" s="177"/>
      <c r="M102" s="178"/>
      <c r="N102" s="178"/>
      <c r="O102" s="178"/>
      <c r="P102" s="178"/>
    </row>
    <row r="103" spans="2:16">
      <c r="B103" s="177"/>
      <c r="C103" s="177"/>
      <c r="D103" s="177"/>
      <c r="E103" s="177"/>
      <c r="F103" s="177"/>
      <c r="G103" s="177"/>
      <c r="H103" s="177"/>
      <c r="I103" s="177"/>
      <c r="J103" s="177"/>
      <c r="K103" s="177"/>
      <c r="L103" s="177"/>
      <c r="M103" s="178"/>
      <c r="N103" s="178"/>
      <c r="O103" s="178"/>
      <c r="P103" s="178"/>
    </row>
    <row r="104" spans="2:16">
      <c r="B104" s="177"/>
      <c r="C104" s="177"/>
      <c r="D104" s="177"/>
      <c r="E104" s="177"/>
      <c r="F104" s="177"/>
      <c r="G104" s="177"/>
      <c r="H104" s="177"/>
      <c r="I104" s="177"/>
      <c r="J104" s="177"/>
      <c r="K104" s="177"/>
      <c r="L104" s="177"/>
      <c r="M104" s="178"/>
      <c r="N104" s="178"/>
      <c r="O104" s="178"/>
      <c r="P104" s="178"/>
    </row>
    <row r="105" spans="2:16">
      <c r="B105" s="177"/>
      <c r="C105" s="177"/>
      <c r="D105" s="177"/>
      <c r="E105" s="177"/>
      <c r="F105" s="177"/>
      <c r="G105" s="177"/>
      <c r="H105" s="177"/>
      <c r="I105" s="177"/>
      <c r="J105" s="177"/>
      <c r="K105" s="177"/>
      <c r="L105" s="177"/>
      <c r="M105" s="178"/>
      <c r="N105" s="178"/>
      <c r="O105" s="178"/>
      <c r="P105" s="178"/>
    </row>
    <row r="106" spans="2:16">
      <c r="B106" s="177"/>
      <c r="C106" s="177"/>
      <c r="D106" s="177"/>
      <c r="E106" s="177"/>
      <c r="F106" s="177"/>
      <c r="G106" s="177"/>
      <c r="H106" s="177"/>
      <c r="I106" s="177"/>
      <c r="J106" s="177"/>
      <c r="K106" s="177"/>
      <c r="L106" s="177"/>
      <c r="M106" s="178"/>
      <c r="N106" s="178"/>
      <c r="O106" s="178"/>
      <c r="P106" s="178"/>
    </row>
    <row r="107" spans="2:16">
      <c r="B107" s="177"/>
      <c r="C107" s="177"/>
      <c r="D107" s="177"/>
      <c r="E107" s="177"/>
      <c r="F107" s="177"/>
      <c r="G107" s="177"/>
      <c r="H107" s="177"/>
      <c r="I107" s="177"/>
      <c r="J107" s="177"/>
      <c r="K107" s="177"/>
      <c r="L107" s="177"/>
      <c r="M107" s="178"/>
      <c r="N107" s="178"/>
      <c r="O107" s="178"/>
      <c r="P107" s="178"/>
    </row>
    <row r="108" spans="2:16">
      <c r="B108" s="177"/>
      <c r="C108" s="177"/>
      <c r="D108" s="177"/>
      <c r="E108" s="177"/>
      <c r="F108" s="177"/>
      <c r="G108" s="177"/>
      <c r="H108" s="177"/>
      <c r="I108" s="177"/>
      <c r="J108" s="177"/>
      <c r="K108" s="177"/>
      <c r="L108" s="177"/>
      <c r="M108" s="178"/>
      <c r="N108" s="178"/>
      <c r="O108" s="178"/>
      <c r="P108" s="178"/>
    </row>
    <row r="109" spans="2:16">
      <c r="B109" s="177"/>
      <c r="C109" s="177"/>
      <c r="D109" s="177"/>
      <c r="E109" s="177"/>
      <c r="F109" s="177"/>
      <c r="G109" s="177"/>
      <c r="H109" s="177"/>
      <c r="I109" s="177"/>
      <c r="J109" s="177"/>
      <c r="K109" s="177"/>
      <c r="L109" s="177"/>
      <c r="M109" s="178"/>
      <c r="N109" s="178"/>
      <c r="O109" s="178"/>
      <c r="P109" s="178"/>
    </row>
    <row r="110" spans="2:16">
      <c r="B110" s="177"/>
      <c r="C110" s="177"/>
      <c r="D110" s="177"/>
      <c r="E110" s="177"/>
      <c r="F110" s="177"/>
      <c r="G110" s="177"/>
      <c r="H110" s="177"/>
      <c r="I110" s="177"/>
      <c r="J110" s="177"/>
      <c r="K110" s="177"/>
      <c r="L110" s="177"/>
      <c r="M110" s="178"/>
      <c r="N110" s="178"/>
      <c r="O110" s="178"/>
      <c r="P110" s="178"/>
    </row>
    <row r="111" spans="2:16">
      <c r="B111" s="177"/>
      <c r="C111" s="177"/>
      <c r="D111" s="177"/>
      <c r="E111" s="177"/>
      <c r="F111" s="177"/>
      <c r="G111" s="177"/>
      <c r="H111" s="177"/>
      <c r="I111" s="177"/>
      <c r="J111" s="177"/>
      <c r="K111" s="177"/>
      <c r="L111" s="177"/>
      <c r="M111" s="178"/>
      <c r="N111" s="178"/>
      <c r="O111" s="178"/>
      <c r="P111" s="178"/>
    </row>
    <row r="112" spans="2:16">
      <c r="B112" s="177"/>
      <c r="C112" s="177"/>
      <c r="D112" s="177"/>
      <c r="E112" s="177"/>
      <c r="F112" s="177"/>
      <c r="G112" s="177"/>
      <c r="H112" s="177"/>
      <c r="I112" s="177"/>
      <c r="J112" s="177"/>
      <c r="K112" s="177"/>
      <c r="L112" s="177"/>
      <c r="M112" s="178"/>
      <c r="N112" s="178"/>
      <c r="O112" s="178"/>
      <c r="P112" s="178"/>
    </row>
    <row r="113" spans="2:16">
      <c r="B113" s="177"/>
      <c r="C113" s="177"/>
      <c r="D113" s="177"/>
      <c r="E113" s="177"/>
      <c r="F113" s="177"/>
      <c r="G113" s="177"/>
      <c r="H113" s="177"/>
      <c r="I113" s="177"/>
      <c r="J113" s="177"/>
      <c r="K113" s="177"/>
      <c r="L113" s="177"/>
      <c r="M113" s="178"/>
      <c r="N113" s="178"/>
      <c r="O113" s="178"/>
      <c r="P113" s="178"/>
    </row>
    <row r="114" spans="2:16">
      <c r="B114" s="177"/>
      <c r="C114" s="177"/>
      <c r="D114" s="177"/>
      <c r="E114" s="177"/>
      <c r="F114" s="177"/>
      <c r="G114" s="177"/>
      <c r="H114" s="177"/>
      <c r="I114" s="177"/>
      <c r="J114" s="177"/>
      <c r="K114" s="177"/>
      <c r="L114" s="177"/>
      <c r="M114" s="178"/>
      <c r="N114" s="178"/>
      <c r="O114" s="178"/>
      <c r="P114" s="178"/>
    </row>
    <row r="115" spans="2:16">
      <c r="B115" s="177"/>
      <c r="C115" s="177"/>
      <c r="D115" s="177"/>
      <c r="E115" s="177"/>
      <c r="F115" s="177"/>
      <c r="G115" s="177"/>
      <c r="H115" s="177"/>
      <c r="I115" s="177"/>
      <c r="J115" s="177"/>
      <c r="K115" s="177"/>
      <c r="L115" s="177"/>
      <c r="M115" s="178"/>
      <c r="N115" s="178"/>
      <c r="O115" s="178"/>
      <c r="P115" s="178"/>
    </row>
    <row r="116" spans="2:16">
      <c r="B116" s="177"/>
      <c r="C116" s="177"/>
      <c r="D116" s="177"/>
      <c r="E116" s="177"/>
      <c r="F116" s="177"/>
      <c r="G116" s="177"/>
      <c r="H116" s="177"/>
      <c r="I116" s="177"/>
      <c r="J116" s="177"/>
      <c r="K116" s="177"/>
      <c r="L116" s="177"/>
      <c r="M116" s="178"/>
      <c r="N116" s="178"/>
      <c r="O116" s="178"/>
      <c r="P116" s="178"/>
    </row>
    <row r="117" spans="2:16">
      <c r="B117" s="177"/>
      <c r="C117" s="177"/>
      <c r="D117" s="177"/>
      <c r="E117" s="177"/>
      <c r="F117" s="177"/>
      <c r="G117" s="177"/>
      <c r="H117" s="177"/>
      <c r="I117" s="177"/>
      <c r="J117" s="177"/>
      <c r="K117" s="177"/>
      <c r="L117" s="177"/>
      <c r="M117" s="178"/>
      <c r="N117" s="178"/>
      <c r="O117" s="178"/>
      <c r="P117" s="178"/>
    </row>
    <row r="118" spans="2:16">
      <c r="B118" s="177"/>
      <c r="C118" s="177"/>
      <c r="D118" s="177"/>
      <c r="E118" s="177"/>
      <c r="F118" s="177"/>
      <c r="G118" s="177"/>
      <c r="H118" s="177"/>
      <c r="I118" s="177"/>
      <c r="J118" s="177"/>
      <c r="K118" s="177"/>
      <c r="L118" s="177"/>
      <c r="M118" s="178"/>
      <c r="N118" s="178"/>
      <c r="O118" s="178"/>
      <c r="P118" s="178"/>
    </row>
    <row r="119" spans="2:16">
      <c r="B119" s="177"/>
      <c r="C119" s="177"/>
      <c r="D119" s="177"/>
      <c r="E119" s="177"/>
      <c r="F119" s="177"/>
      <c r="G119" s="177"/>
      <c r="H119" s="177"/>
      <c r="I119" s="177"/>
      <c r="J119" s="177"/>
      <c r="K119" s="177"/>
      <c r="L119" s="177"/>
      <c r="M119" s="178"/>
      <c r="N119" s="178"/>
      <c r="O119" s="178"/>
      <c r="P119" s="178"/>
    </row>
    <row r="120" spans="2:16">
      <c r="B120" s="177"/>
      <c r="C120" s="177"/>
      <c r="D120" s="177"/>
      <c r="E120" s="177"/>
      <c r="F120" s="177"/>
      <c r="G120" s="177"/>
      <c r="H120" s="177"/>
      <c r="I120" s="177"/>
      <c r="J120" s="177"/>
      <c r="K120" s="177"/>
      <c r="L120" s="177"/>
      <c r="M120" s="178"/>
      <c r="N120" s="178"/>
      <c r="O120" s="178"/>
      <c r="P120" s="178"/>
    </row>
    <row r="121" spans="2:16">
      <c r="B121" s="177"/>
      <c r="C121" s="177"/>
      <c r="D121" s="177"/>
      <c r="E121" s="177"/>
      <c r="F121" s="177"/>
      <c r="G121" s="177"/>
      <c r="H121" s="177"/>
      <c r="I121" s="177"/>
      <c r="J121" s="177"/>
      <c r="K121" s="177"/>
      <c r="L121" s="177"/>
      <c r="M121" s="178"/>
      <c r="N121" s="178"/>
      <c r="O121" s="178"/>
      <c r="P121" s="178"/>
    </row>
    <row r="122" spans="2:16">
      <c r="B122" s="177"/>
      <c r="C122" s="177"/>
      <c r="D122" s="177"/>
      <c r="E122" s="177"/>
      <c r="F122" s="177"/>
      <c r="G122" s="177"/>
      <c r="H122" s="177"/>
      <c r="I122" s="177"/>
      <c r="J122" s="177"/>
      <c r="K122" s="177"/>
      <c r="L122" s="177"/>
      <c r="M122" s="178"/>
      <c r="N122" s="178"/>
      <c r="O122" s="178"/>
      <c r="P122" s="178"/>
    </row>
    <row r="123" spans="2:16">
      <c r="B123" s="177"/>
      <c r="C123" s="177"/>
      <c r="D123" s="177"/>
      <c r="E123" s="177"/>
      <c r="F123" s="177"/>
      <c r="G123" s="177"/>
      <c r="H123" s="177"/>
      <c r="I123" s="177"/>
      <c r="J123" s="177"/>
      <c r="K123" s="177"/>
      <c r="L123" s="177"/>
      <c r="M123" s="178"/>
      <c r="N123" s="178"/>
      <c r="O123" s="178"/>
      <c r="P123" s="178"/>
    </row>
    <row r="124" spans="2:16">
      <c r="B124" s="177"/>
      <c r="C124" s="177"/>
      <c r="D124" s="177"/>
      <c r="E124" s="177"/>
      <c r="F124" s="177"/>
      <c r="G124" s="177"/>
      <c r="H124" s="177"/>
      <c r="I124" s="177"/>
      <c r="J124" s="177"/>
      <c r="K124" s="177"/>
      <c r="L124" s="177"/>
      <c r="M124" s="178"/>
      <c r="N124" s="178"/>
      <c r="O124" s="178"/>
      <c r="P124" s="178"/>
    </row>
    <row r="125" spans="2:16">
      <c r="B125" s="177"/>
      <c r="C125" s="177"/>
      <c r="D125" s="177"/>
      <c r="E125" s="177"/>
      <c r="F125" s="177"/>
      <c r="G125" s="177"/>
      <c r="H125" s="177"/>
      <c r="I125" s="177"/>
      <c r="J125" s="177"/>
      <c r="K125" s="177"/>
      <c r="L125" s="177"/>
      <c r="M125" s="178"/>
      <c r="N125" s="178"/>
      <c r="O125" s="178"/>
      <c r="P125" s="178"/>
    </row>
    <row r="126" spans="2:16">
      <c r="B126" s="177"/>
      <c r="C126" s="177"/>
      <c r="D126" s="177"/>
      <c r="E126" s="177"/>
      <c r="F126" s="177"/>
      <c r="G126" s="177"/>
      <c r="H126" s="177"/>
      <c r="I126" s="177"/>
      <c r="J126" s="177"/>
      <c r="K126" s="177"/>
      <c r="L126" s="177"/>
      <c r="M126" s="178"/>
      <c r="N126" s="178"/>
      <c r="O126" s="178"/>
      <c r="P126" s="178"/>
    </row>
    <row r="127" spans="2:16">
      <c r="B127" s="177"/>
      <c r="C127" s="177"/>
      <c r="D127" s="177"/>
      <c r="E127" s="177"/>
      <c r="F127" s="177"/>
      <c r="G127" s="177"/>
      <c r="H127" s="177"/>
      <c r="I127" s="177"/>
      <c r="J127" s="177"/>
      <c r="K127" s="177"/>
      <c r="L127" s="177"/>
      <c r="M127" s="178"/>
      <c r="N127" s="178"/>
      <c r="O127" s="178"/>
      <c r="P127" s="178"/>
    </row>
    <row r="128" spans="2:16">
      <c r="B128" s="177"/>
      <c r="C128" s="177"/>
      <c r="D128" s="177"/>
      <c r="E128" s="177"/>
      <c r="F128" s="177"/>
      <c r="G128" s="177"/>
      <c r="H128" s="177"/>
      <c r="I128" s="177"/>
      <c r="J128" s="177"/>
      <c r="K128" s="177"/>
      <c r="L128" s="177"/>
      <c r="M128" s="178"/>
      <c r="N128" s="178"/>
      <c r="O128" s="178"/>
      <c r="P128" s="178"/>
    </row>
    <row r="129" spans="2:16">
      <c r="B129" s="177"/>
      <c r="C129" s="177"/>
      <c r="D129" s="177"/>
      <c r="E129" s="177"/>
      <c r="F129" s="177"/>
      <c r="G129" s="177"/>
      <c r="H129" s="177"/>
      <c r="I129" s="177"/>
      <c r="J129" s="177"/>
      <c r="K129" s="177"/>
      <c r="L129" s="177"/>
      <c r="M129" s="178"/>
      <c r="N129" s="178"/>
      <c r="O129" s="178"/>
      <c r="P129" s="178"/>
    </row>
    <row r="130" spans="2:16">
      <c r="B130" s="177"/>
      <c r="C130" s="177"/>
      <c r="D130" s="177"/>
      <c r="E130" s="177"/>
      <c r="F130" s="177"/>
      <c r="G130" s="177"/>
      <c r="H130" s="177"/>
      <c r="I130" s="177"/>
      <c r="J130" s="177"/>
      <c r="K130" s="177"/>
      <c r="L130" s="177"/>
      <c r="M130" s="178"/>
      <c r="N130" s="178"/>
      <c r="O130" s="178"/>
      <c r="P130" s="178"/>
    </row>
    <row r="131" spans="2:16">
      <c r="B131" s="177"/>
      <c r="C131" s="177"/>
      <c r="D131" s="177"/>
      <c r="E131" s="177"/>
      <c r="F131" s="177"/>
      <c r="G131" s="177"/>
      <c r="H131" s="177"/>
      <c r="I131" s="177"/>
      <c r="J131" s="177"/>
      <c r="K131" s="177"/>
      <c r="L131" s="177"/>
      <c r="M131" s="178"/>
      <c r="N131" s="178"/>
      <c r="O131" s="178"/>
      <c r="P131" s="178"/>
    </row>
    <row r="132" spans="2:16">
      <c r="B132" s="177"/>
      <c r="C132" s="177"/>
      <c r="D132" s="177"/>
      <c r="E132" s="177"/>
      <c r="F132" s="177"/>
      <c r="G132" s="177"/>
      <c r="H132" s="177"/>
      <c r="I132" s="177"/>
      <c r="J132" s="177"/>
      <c r="K132" s="177"/>
      <c r="L132" s="177"/>
      <c r="M132" s="178"/>
      <c r="N132" s="178"/>
      <c r="O132" s="178"/>
      <c r="P132" s="178"/>
    </row>
    <row r="133" spans="2:16">
      <c r="B133" s="177"/>
      <c r="C133" s="177"/>
      <c r="D133" s="177"/>
      <c r="E133" s="177"/>
      <c r="F133" s="177"/>
      <c r="G133" s="177"/>
      <c r="H133" s="177"/>
      <c r="I133" s="177"/>
      <c r="J133" s="177"/>
      <c r="K133" s="177"/>
      <c r="L133" s="177"/>
      <c r="M133" s="178"/>
      <c r="N133" s="178"/>
      <c r="O133" s="178"/>
      <c r="P133" s="178"/>
    </row>
    <row r="134" spans="2:16">
      <c r="B134" s="177"/>
      <c r="C134" s="177"/>
      <c r="D134" s="177"/>
      <c r="E134" s="177"/>
      <c r="F134" s="177"/>
      <c r="G134" s="177"/>
      <c r="H134" s="177"/>
      <c r="I134" s="177"/>
      <c r="J134" s="177"/>
      <c r="K134" s="177"/>
      <c r="L134" s="177"/>
      <c r="M134" s="178"/>
      <c r="N134" s="178"/>
      <c r="O134" s="178"/>
      <c r="P134" s="178"/>
    </row>
    <row r="135" spans="2:16">
      <c r="B135" s="177"/>
      <c r="C135" s="177"/>
      <c r="D135" s="177"/>
      <c r="E135" s="177"/>
      <c r="F135" s="177"/>
      <c r="G135" s="177"/>
      <c r="H135" s="177"/>
      <c r="I135" s="177"/>
      <c r="J135" s="177"/>
      <c r="K135" s="177"/>
      <c r="L135" s="177"/>
      <c r="M135" s="178"/>
      <c r="N135" s="178"/>
      <c r="O135" s="178"/>
      <c r="P135" s="178"/>
    </row>
    <row r="136" spans="2:16">
      <c r="B136" s="177"/>
      <c r="C136" s="177"/>
      <c r="D136" s="177"/>
      <c r="E136" s="177"/>
      <c r="F136" s="177"/>
      <c r="G136" s="177"/>
      <c r="H136" s="177"/>
      <c r="I136" s="177"/>
      <c r="J136" s="177"/>
      <c r="K136" s="177"/>
      <c r="L136" s="177"/>
      <c r="M136" s="178"/>
      <c r="N136" s="178"/>
      <c r="O136" s="178"/>
      <c r="P136" s="178"/>
    </row>
    <row r="137" spans="2:16">
      <c r="B137" s="177"/>
      <c r="C137" s="177"/>
      <c r="D137" s="177"/>
      <c r="E137" s="177"/>
      <c r="F137" s="177"/>
      <c r="G137" s="177"/>
      <c r="H137" s="177"/>
      <c r="I137" s="177"/>
      <c r="J137" s="177"/>
      <c r="K137" s="177"/>
      <c r="L137" s="177"/>
      <c r="M137" s="178"/>
      <c r="N137" s="178"/>
      <c r="O137" s="178"/>
      <c r="P137" s="178"/>
    </row>
    <row r="138" spans="2:16">
      <c r="B138" s="177"/>
      <c r="C138" s="177"/>
      <c r="D138" s="177"/>
      <c r="E138" s="177"/>
      <c r="F138" s="177"/>
      <c r="G138" s="177"/>
      <c r="H138" s="177"/>
      <c r="I138" s="177"/>
      <c r="J138" s="177"/>
      <c r="K138" s="177"/>
      <c r="L138" s="177"/>
      <c r="M138" s="178"/>
      <c r="N138" s="178"/>
      <c r="O138" s="178"/>
      <c r="P138" s="178"/>
    </row>
    <row r="139" spans="2:16">
      <c r="B139" s="177"/>
      <c r="C139" s="177"/>
      <c r="D139" s="177"/>
      <c r="E139" s="177"/>
      <c r="F139" s="177"/>
      <c r="G139" s="177"/>
      <c r="H139" s="177"/>
      <c r="I139" s="177"/>
      <c r="J139" s="177"/>
      <c r="K139" s="177"/>
      <c r="L139" s="177"/>
      <c r="M139" s="178"/>
      <c r="N139" s="178"/>
      <c r="O139" s="178"/>
      <c r="P139" s="178"/>
    </row>
    <row r="140" spans="2:16">
      <c r="B140" s="177"/>
      <c r="C140" s="177"/>
      <c r="D140" s="177"/>
      <c r="E140" s="177"/>
      <c r="F140" s="177"/>
      <c r="G140" s="177"/>
      <c r="H140" s="177"/>
      <c r="I140" s="177"/>
      <c r="J140" s="177"/>
      <c r="K140" s="177"/>
      <c r="L140" s="177"/>
      <c r="M140" s="178"/>
      <c r="N140" s="178"/>
      <c r="O140" s="178"/>
      <c r="P140" s="178"/>
    </row>
    <row r="141" spans="2:16">
      <c r="B141" s="177"/>
      <c r="C141" s="177"/>
      <c r="D141" s="177"/>
      <c r="E141" s="177"/>
      <c r="F141" s="177"/>
      <c r="G141" s="177"/>
      <c r="H141" s="177"/>
      <c r="I141" s="177"/>
      <c r="J141" s="177"/>
      <c r="K141" s="177"/>
      <c r="L141" s="177"/>
      <c r="M141" s="178"/>
      <c r="N141" s="178"/>
      <c r="O141" s="178"/>
      <c r="P141" s="178"/>
    </row>
    <row r="142" spans="2:16">
      <c r="B142" s="177"/>
      <c r="C142" s="177"/>
      <c r="D142" s="177"/>
      <c r="E142" s="177"/>
      <c r="F142" s="177"/>
      <c r="G142" s="177"/>
      <c r="H142" s="177"/>
      <c r="I142" s="177"/>
      <c r="J142" s="177"/>
      <c r="K142" s="177"/>
      <c r="L142" s="177"/>
      <c r="M142" s="178"/>
      <c r="N142" s="178"/>
      <c r="O142" s="178"/>
      <c r="P142" s="178"/>
    </row>
    <row r="143" spans="2:16">
      <c r="B143" s="177"/>
      <c r="C143" s="177"/>
      <c r="D143" s="177"/>
      <c r="E143" s="177"/>
      <c r="F143" s="177"/>
      <c r="G143" s="177"/>
      <c r="H143" s="177"/>
      <c r="I143" s="177"/>
      <c r="J143" s="177"/>
      <c r="K143" s="177"/>
      <c r="L143" s="177"/>
      <c r="M143" s="178"/>
      <c r="N143" s="178"/>
      <c r="O143" s="178"/>
      <c r="P143" s="178"/>
    </row>
    <row r="144" spans="2:16">
      <c r="B144" s="177"/>
      <c r="C144" s="177"/>
      <c r="D144" s="177"/>
      <c r="E144" s="177"/>
      <c r="F144" s="177"/>
      <c r="G144" s="177"/>
      <c r="H144" s="177"/>
      <c r="I144" s="177"/>
      <c r="J144" s="177"/>
      <c r="K144" s="177"/>
      <c r="L144" s="177"/>
      <c r="M144" s="178"/>
      <c r="N144" s="178"/>
      <c r="O144" s="178"/>
      <c r="P144" s="178"/>
    </row>
    <row r="145" spans="2:16">
      <c r="B145" s="177"/>
      <c r="C145" s="177"/>
      <c r="D145" s="177"/>
      <c r="E145" s="177"/>
      <c r="F145" s="177"/>
      <c r="G145" s="177"/>
      <c r="H145" s="177"/>
      <c r="I145" s="177"/>
      <c r="J145" s="177"/>
      <c r="K145" s="177"/>
      <c r="L145" s="177"/>
      <c r="M145" s="178"/>
      <c r="N145" s="178"/>
      <c r="O145" s="178"/>
      <c r="P145" s="178"/>
    </row>
    <row r="146" spans="2:16">
      <c r="B146" s="177"/>
      <c r="C146" s="177"/>
      <c r="D146" s="177"/>
      <c r="E146" s="177"/>
      <c r="F146" s="177"/>
      <c r="G146" s="177"/>
      <c r="H146" s="177"/>
      <c r="I146" s="177"/>
      <c r="J146" s="177"/>
      <c r="K146" s="177"/>
      <c r="L146" s="177"/>
      <c r="M146" s="178"/>
      <c r="N146" s="178"/>
      <c r="O146" s="178"/>
      <c r="P146" s="178"/>
    </row>
    <row r="147" spans="2:16">
      <c r="B147" s="177"/>
      <c r="C147" s="177"/>
      <c r="D147" s="177"/>
      <c r="E147" s="177"/>
      <c r="F147" s="177"/>
      <c r="G147" s="177"/>
      <c r="H147" s="177"/>
      <c r="I147" s="177"/>
      <c r="J147" s="177"/>
      <c r="K147" s="177"/>
      <c r="L147" s="177"/>
      <c r="M147" s="178"/>
      <c r="N147" s="178"/>
      <c r="O147" s="178"/>
      <c r="P147" s="178"/>
    </row>
    <row r="148" spans="2:16">
      <c r="B148" s="177"/>
      <c r="C148" s="177"/>
      <c r="D148" s="177"/>
      <c r="E148" s="177"/>
      <c r="F148" s="177"/>
      <c r="G148" s="177"/>
      <c r="H148" s="177"/>
      <c r="I148" s="177"/>
      <c r="J148" s="177"/>
      <c r="K148" s="177"/>
      <c r="L148" s="177"/>
      <c r="M148" s="178"/>
      <c r="N148" s="178"/>
      <c r="O148" s="178"/>
      <c r="P148" s="178"/>
    </row>
    <row r="149" spans="2:16">
      <c r="B149" s="177"/>
      <c r="C149" s="177"/>
      <c r="D149" s="177"/>
      <c r="E149" s="177"/>
      <c r="F149" s="177"/>
      <c r="G149" s="177"/>
      <c r="H149" s="177"/>
      <c r="I149" s="177"/>
      <c r="J149" s="177"/>
      <c r="K149" s="177"/>
      <c r="L149" s="177"/>
      <c r="M149" s="178"/>
      <c r="N149" s="178"/>
      <c r="O149" s="178"/>
      <c r="P149" s="178"/>
    </row>
    <row r="150" spans="2:16">
      <c r="B150" s="177"/>
      <c r="C150" s="177"/>
      <c r="D150" s="177"/>
      <c r="E150" s="177"/>
      <c r="F150" s="177"/>
      <c r="G150" s="177"/>
      <c r="H150" s="177"/>
      <c r="I150" s="177"/>
      <c r="J150" s="177"/>
      <c r="K150" s="177"/>
      <c r="L150" s="177"/>
      <c r="M150" s="178"/>
      <c r="N150" s="178"/>
      <c r="O150" s="178"/>
      <c r="P150" s="178"/>
    </row>
    <row r="151" spans="2:16">
      <c r="B151" s="177"/>
      <c r="C151" s="177"/>
      <c r="D151" s="177"/>
      <c r="E151" s="177"/>
      <c r="F151" s="177"/>
      <c r="G151" s="177"/>
      <c r="H151" s="177"/>
      <c r="I151" s="177"/>
      <c r="J151" s="177"/>
      <c r="K151" s="177"/>
      <c r="L151" s="177"/>
      <c r="M151" s="178"/>
      <c r="N151" s="178"/>
      <c r="O151" s="178"/>
      <c r="P151" s="178"/>
    </row>
    <row r="152" spans="2:16">
      <c r="B152" s="177"/>
      <c r="C152" s="177"/>
      <c r="D152" s="177"/>
      <c r="E152" s="177"/>
      <c r="F152" s="177"/>
      <c r="G152" s="177"/>
      <c r="H152" s="177"/>
      <c r="I152" s="177"/>
      <c r="J152" s="177"/>
      <c r="K152" s="177"/>
      <c r="L152" s="177"/>
      <c r="M152" s="178"/>
      <c r="N152" s="178"/>
      <c r="O152" s="178"/>
      <c r="P152" s="178"/>
    </row>
    <row r="153" spans="2:16">
      <c r="B153" s="177"/>
      <c r="C153" s="177"/>
      <c r="D153" s="177"/>
      <c r="E153" s="177"/>
      <c r="F153" s="177"/>
      <c r="G153" s="177"/>
      <c r="H153" s="177"/>
      <c r="I153" s="177"/>
      <c r="J153" s="177"/>
      <c r="K153" s="177"/>
      <c r="L153" s="177"/>
      <c r="M153" s="178"/>
      <c r="N153" s="178"/>
      <c r="O153" s="178"/>
      <c r="P153" s="178"/>
    </row>
    <row r="154" spans="2:16">
      <c r="B154" s="177"/>
      <c r="C154" s="177"/>
      <c r="D154" s="177"/>
      <c r="E154" s="177"/>
      <c r="F154" s="177"/>
      <c r="G154" s="177"/>
      <c r="H154" s="177"/>
      <c r="I154" s="177"/>
      <c r="J154" s="177"/>
      <c r="K154" s="177"/>
      <c r="L154" s="177"/>
      <c r="M154" s="178"/>
      <c r="N154" s="178"/>
      <c r="O154" s="178"/>
      <c r="P154" s="178"/>
    </row>
    <row r="155" spans="2:16">
      <c r="B155" s="177"/>
      <c r="C155" s="177"/>
      <c r="D155" s="177"/>
      <c r="E155" s="177"/>
      <c r="F155" s="177"/>
      <c r="G155" s="177"/>
      <c r="H155" s="177"/>
      <c r="I155" s="177"/>
      <c r="J155" s="177"/>
      <c r="K155" s="177"/>
      <c r="L155" s="177"/>
      <c r="M155" s="178"/>
      <c r="N155" s="178"/>
      <c r="O155" s="178"/>
      <c r="P155" s="178"/>
    </row>
    <row r="156" spans="2:16">
      <c r="B156" s="177"/>
      <c r="C156" s="177"/>
      <c r="D156" s="177"/>
      <c r="E156" s="177"/>
      <c r="F156" s="177"/>
      <c r="G156" s="177"/>
      <c r="H156" s="177"/>
      <c r="I156" s="177"/>
      <c r="J156" s="177"/>
      <c r="K156" s="177"/>
      <c r="L156" s="177"/>
      <c r="M156" s="178"/>
      <c r="N156" s="178"/>
      <c r="O156" s="178"/>
      <c r="P156" s="178"/>
    </row>
    <row r="157" spans="2:16">
      <c r="B157" s="177"/>
      <c r="C157" s="177"/>
      <c r="D157" s="177"/>
      <c r="E157" s="177"/>
      <c r="F157" s="177"/>
      <c r="G157" s="177"/>
      <c r="H157" s="177"/>
      <c r="I157" s="177"/>
      <c r="J157" s="177"/>
      <c r="K157" s="177"/>
      <c r="L157" s="177"/>
      <c r="M157" s="178"/>
      <c r="N157" s="178"/>
      <c r="O157" s="178"/>
      <c r="P157" s="178"/>
    </row>
    <row r="158" spans="2:16">
      <c r="B158" s="177"/>
      <c r="C158" s="177"/>
      <c r="D158" s="177"/>
      <c r="E158" s="177"/>
      <c r="F158" s="177"/>
      <c r="G158" s="177"/>
      <c r="H158" s="177"/>
      <c r="I158" s="177"/>
      <c r="J158" s="177"/>
      <c r="K158" s="177"/>
      <c r="L158" s="177"/>
      <c r="M158" s="178"/>
      <c r="N158" s="178"/>
      <c r="O158" s="178"/>
      <c r="P158" s="178"/>
    </row>
    <row r="159" spans="2:16">
      <c r="B159" s="177"/>
      <c r="C159" s="177"/>
      <c r="D159" s="177"/>
      <c r="E159" s="177"/>
      <c r="F159" s="177"/>
      <c r="G159" s="177"/>
      <c r="H159" s="177"/>
      <c r="I159" s="177"/>
      <c r="J159" s="177"/>
      <c r="K159" s="177"/>
      <c r="L159" s="177"/>
      <c r="M159" s="178"/>
      <c r="N159" s="178"/>
      <c r="O159" s="178"/>
      <c r="P159" s="178"/>
    </row>
    <row r="160" spans="2:16">
      <c r="B160" s="177"/>
      <c r="C160" s="177"/>
      <c r="D160" s="177"/>
      <c r="E160" s="177"/>
      <c r="F160" s="177"/>
      <c r="G160" s="177"/>
      <c r="H160" s="177"/>
      <c r="I160" s="177"/>
      <c r="J160" s="177"/>
      <c r="K160" s="177"/>
      <c r="L160" s="177"/>
      <c r="M160" s="178"/>
      <c r="N160" s="178"/>
      <c r="O160" s="178"/>
      <c r="P160" s="178"/>
    </row>
    <row r="161" spans="2:16">
      <c r="B161" s="177"/>
      <c r="C161" s="177"/>
      <c r="D161" s="177"/>
      <c r="E161" s="177"/>
      <c r="F161" s="177"/>
      <c r="G161" s="177"/>
      <c r="H161" s="177"/>
      <c r="I161" s="177"/>
      <c r="J161" s="177"/>
      <c r="K161" s="177"/>
      <c r="L161" s="177"/>
      <c r="M161" s="178"/>
      <c r="N161" s="178"/>
      <c r="O161" s="178"/>
      <c r="P161" s="178"/>
    </row>
    <row r="162" spans="2:16">
      <c r="B162" s="177"/>
      <c r="C162" s="177"/>
      <c r="D162" s="177"/>
      <c r="E162" s="177"/>
      <c r="F162" s="177"/>
      <c r="G162" s="177"/>
      <c r="H162" s="177"/>
      <c r="I162" s="177"/>
      <c r="J162" s="177"/>
      <c r="K162" s="177"/>
      <c r="L162" s="177"/>
      <c r="M162" s="178"/>
      <c r="N162" s="178"/>
      <c r="O162" s="178"/>
      <c r="P162" s="178"/>
    </row>
    <row r="163" spans="2:16">
      <c r="B163" s="177"/>
      <c r="C163" s="177"/>
      <c r="D163" s="177"/>
      <c r="E163" s="177"/>
      <c r="F163" s="177"/>
      <c r="G163" s="177"/>
      <c r="H163" s="177"/>
      <c r="I163" s="177"/>
      <c r="J163" s="177"/>
      <c r="K163" s="177"/>
      <c r="L163" s="177"/>
      <c r="M163" s="178"/>
      <c r="N163" s="178"/>
      <c r="O163" s="178"/>
      <c r="P163" s="178"/>
    </row>
    <row r="164" spans="2:16">
      <c r="B164" s="177"/>
      <c r="C164" s="177"/>
      <c r="D164" s="177"/>
      <c r="E164" s="177"/>
      <c r="F164" s="177"/>
      <c r="G164" s="177"/>
      <c r="H164" s="177"/>
      <c r="I164" s="177"/>
      <c r="J164" s="177"/>
      <c r="K164" s="177"/>
      <c r="L164" s="177"/>
      <c r="M164" s="178"/>
      <c r="N164" s="178"/>
      <c r="O164" s="178"/>
      <c r="P164" s="178"/>
    </row>
    <row r="165" spans="2:16">
      <c r="B165" s="177"/>
      <c r="C165" s="177"/>
      <c r="D165" s="177"/>
      <c r="E165" s="177"/>
      <c r="F165" s="177"/>
      <c r="G165" s="177"/>
      <c r="H165" s="177"/>
      <c r="I165" s="177"/>
      <c r="J165" s="177"/>
      <c r="K165" s="177"/>
      <c r="L165" s="177"/>
      <c r="M165" s="178"/>
      <c r="N165" s="178"/>
      <c r="O165" s="178"/>
      <c r="P165" s="178"/>
    </row>
    <row r="166" spans="2:16">
      <c r="B166" s="177"/>
      <c r="C166" s="177"/>
      <c r="D166" s="177"/>
      <c r="E166" s="177"/>
      <c r="F166" s="177"/>
      <c r="G166" s="177"/>
      <c r="H166" s="177"/>
      <c r="I166" s="177"/>
      <c r="J166" s="177"/>
      <c r="K166" s="177"/>
      <c r="L166" s="177"/>
      <c r="M166" s="178"/>
      <c r="N166" s="178"/>
      <c r="O166" s="178"/>
      <c r="P166" s="178"/>
    </row>
    <row r="167" spans="2:16">
      <c r="B167" s="177"/>
      <c r="C167" s="177"/>
      <c r="D167" s="177"/>
      <c r="E167" s="177"/>
      <c r="F167" s="177"/>
      <c r="G167" s="177"/>
      <c r="H167" s="177"/>
      <c r="I167" s="177"/>
      <c r="J167" s="177"/>
      <c r="K167" s="177"/>
      <c r="L167" s="177"/>
      <c r="M167" s="178"/>
      <c r="N167" s="178"/>
      <c r="O167" s="178"/>
      <c r="P167" s="178"/>
    </row>
    <row r="168" spans="2:16">
      <c r="B168" s="177"/>
      <c r="C168" s="177"/>
      <c r="D168" s="177"/>
      <c r="E168" s="177"/>
      <c r="F168" s="177"/>
      <c r="G168" s="177"/>
      <c r="H168" s="177"/>
      <c r="I168" s="177"/>
      <c r="J168" s="177"/>
      <c r="K168" s="177"/>
      <c r="L168" s="177"/>
      <c r="M168" s="178"/>
      <c r="N168" s="178"/>
      <c r="O168" s="178"/>
      <c r="P168" s="178"/>
    </row>
    <row r="169" spans="2:16">
      <c r="B169" s="177"/>
      <c r="C169" s="177"/>
      <c r="D169" s="177"/>
      <c r="E169" s="177"/>
      <c r="F169" s="177"/>
      <c r="G169" s="177"/>
      <c r="H169" s="177"/>
      <c r="I169" s="177"/>
      <c r="J169" s="177"/>
      <c r="K169" s="177"/>
      <c r="L169" s="177"/>
      <c r="M169" s="178"/>
      <c r="N169" s="178"/>
      <c r="O169" s="178"/>
      <c r="P169" s="178"/>
    </row>
    <row r="170" spans="2:16">
      <c r="B170" s="177"/>
      <c r="C170" s="177"/>
      <c r="D170" s="177"/>
      <c r="E170" s="177"/>
      <c r="F170" s="177"/>
      <c r="G170" s="177"/>
      <c r="H170" s="177"/>
      <c r="I170" s="177"/>
      <c r="J170" s="177"/>
      <c r="K170" s="177"/>
      <c r="L170" s="177"/>
      <c r="M170" s="178"/>
      <c r="N170" s="178"/>
      <c r="O170" s="178"/>
      <c r="P170" s="178"/>
    </row>
    <row r="171" spans="2:16">
      <c r="B171" s="177"/>
      <c r="C171" s="177"/>
      <c r="D171" s="177"/>
      <c r="E171" s="177"/>
      <c r="F171" s="177"/>
      <c r="G171" s="177"/>
      <c r="H171" s="177"/>
      <c r="I171" s="177"/>
      <c r="J171" s="177"/>
      <c r="K171" s="177"/>
      <c r="L171" s="177"/>
      <c r="M171" s="178"/>
      <c r="N171" s="178"/>
      <c r="O171" s="178"/>
      <c r="P171" s="178"/>
    </row>
    <row r="172" spans="2:16">
      <c r="B172" s="177"/>
      <c r="C172" s="177"/>
      <c r="D172" s="177"/>
      <c r="E172" s="177"/>
      <c r="F172" s="177"/>
      <c r="G172" s="177"/>
      <c r="H172" s="177"/>
      <c r="I172" s="177"/>
      <c r="J172" s="177"/>
      <c r="K172" s="177"/>
      <c r="L172" s="177"/>
      <c r="M172" s="178"/>
      <c r="N172" s="178"/>
      <c r="O172" s="178"/>
      <c r="P172" s="178"/>
    </row>
    <row r="173" spans="2:16">
      <c r="B173" s="177"/>
      <c r="C173" s="177"/>
      <c r="D173" s="177"/>
      <c r="E173" s="177"/>
      <c r="F173" s="177"/>
      <c r="G173" s="177"/>
      <c r="H173" s="177"/>
      <c r="I173" s="177"/>
      <c r="J173" s="177"/>
      <c r="K173" s="177"/>
      <c r="L173" s="177"/>
      <c r="M173" s="178"/>
      <c r="N173" s="178"/>
      <c r="O173" s="178"/>
      <c r="P173" s="178"/>
    </row>
    <row r="174" spans="2:16">
      <c r="B174" s="177"/>
      <c r="C174" s="177"/>
      <c r="D174" s="177"/>
      <c r="E174" s="177"/>
      <c r="F174" s="177"/>
      <c r="G174" s="177"/>
      <c r="H174" s="177"/>
      <c r="I174" s="177"/>
      <c r="J174" s="177"/>
      <c r="K174" s="177"/>
      <c r="L174" s="177"/>
      <c r="M174" s="178"/>
      <c r="N174" s="178"/>
      <c r="O174" s="178"/>
      <c r="P174" s="178"/>
    </row>
    <row r="175" spans="2:16">
      <c r="B175" s="177"/>
      <c r="C175" s="177"/>
      <c r="D175" s="177"/>
      <c r="E175" s="177"/>
      <c r="F175" s="177"/>
      <c r="G175" s="177"/>
      <c r="H175" s="177"/>
      <c r="I175" s="177"/>
      <c r="J175" s="177"/>
      <c r="K175" s="177"/>
      <c r="L175" s="177"/>
      <c r="M175" s="178"/>
      <c r="N175" s="178"/>
      <c r="O175" s="178"/>
      <c r="P175" s="178"/>
    </row>
    <row r="176" spans="2:16">
      <c r="B176" s="177"/>
      <c r="C176" s="177"/>
      <c r="D176" s="177"/>
      <c r="E176" s="177"/>
      <c r="F176" s="177"/>
      <c r="G176" s="177"/>
      <c r="H176" s="177"/>
      <c r="I176" s="177"/>
      <c r="J176" s="177"/>
      <c r="K176" s="177"/>
      <c r="L176" s="177"/>
      <c r="M176" s="178"/>
      <c r="N176" s="178"/>
      <c r="O176" s="178"/>
      <c r="P176" s="178"/>
    </row>
    <row r="177" spans="2:16">
      <c r="B177" s="177"/>
      <c r="C177" s="177"/>
      <c r="D177" s="177"/>
      <c r="E177" s="177"/>
      <c r="F177" s="177"/>
      <c r="G177" s="177"/>
      <c r="H177" s="177"/>
      <c r="I177" s="177"/>
      <c r="J177" s="177"/>
      <c r="K177" s="177"/>
      <c r="L177" s="177"/>
      <c r="M177" s="178"/>
      <c r="N177" s="178"/>
      <c r="O177" s="178"/>
      <c r="P177" s="178"/>
    </row>
    <row r="178" spans="2:16">
      <c r="B178" s="177"/>
      <c r="C178" s="177"/>
      <c r="D178" s="177"/>
      <c r="E178" s="177"/>
      <c r="F178" s="177"/>
      <c r="G178" s="177"/>
      <c r="H178" s="177"/>
      <c r="I178" s="177"/>
      <c r="J178" s="177"/>
      <c r="K178" s="177"/>
      <c r="L178" s="177"/>
      <c r="M178" s="178"/>
      <c r="N178" s="178"/>
      <c r="O178" s="178"/>
      <c r="P178" s="178"/>
    </row>
    <row r="179" spans="2:16">
      <c r="B179" s="177"/>
      <c r="C179" s="177"/>
      <c r="D179" s="177"/>
      <c r="E179" s="177"/>
      <c r="F179" s="177"/>
      <c r="G179" s="177"/>
      <c r="H179" s="177"/>
      <c r="I179" s="177"/>
      <c r="J179" s="177"/>
      <c r="K179" s="177"/>
      <c r="L179" s="177"/>
      <c r="M179" s="178"/>
      <c r="N179" s="178"/>
      <c r="O179" s="178"/>
      <c r="P179" s="178"/>
    </row>
    <row r="180" spans="2:16">
      <c r="B180" s="177"/>
      <c r="C180" s="177"/>
      <c r="D180" s="177"/>
      <c r="E180" s="177"/>
      <c r="F180" s="177"/>
      <c r="G180" s="177"/>
      <c r="H180" s="177"/>
      <c r="I180" s="177"/>
      <c r="J180" s="177"/>
      <c r="K180" s="177"/>
      <c r="L180" s="177"/>
      <c r="M180" s="178"/>
      <c r="N180" s="178"/>
      <c r="O180" s="178"/>
      <c r="P180" s="178"/>
    </row>
    <row r="181" spans="2:16">
      <c r="B181" s="177"/>
      <c r="C181" s="177"/>
      <c r="D181" s="177"/>
      <c r="E181" s="177"/>
      <c r="F181" s="177"/>
      <c r="G181" s="177"/>
      <c r="H181" s="177"/>
      <c r="I181" s="177"/>
      <c r="J181" s="177"/>
      <c r="K181" s="177"/>
      <c r="L181" s="177"/>
      <c r="M181" s="178"/>
      <c r="N181" s="178"/>
      <c r="O181" s="178"/>
      <c r="P181" s="178"/>
    </row>
    <row r="182" spans="2:16">
      <c r="B182" s="177"/>
      <c r="C182" s="177"/>
      <c r="D182" s="177"/>
      <c r="E182" s="177"/>
      <c r="F182" s="177"/>
      <c r="G182" s="177"/>
      <c r="H182" s="177"/>
      <c r="I182" s="177"/>
      <c r="J182" s="177"/>
      <c r="K182" s="177"/>
      <c r="L182" s="177"/>
      <c r="M182" s="178"/>
      <c r="N182" s="178"/>
      <c r="O182" s="178"/>
      <c r="P182" s="178"/>
    </row>
    <row r="183" spans="2:16">
      <c r="B183" s="177"/>
      <c r="C183" s="177"/>
      <c r="D183" s="177"/>
      <c r="E183" s="177"/>
      <c r="F183" s="177"/>
      <c r="G183" s="177"/>
      <c r="H183" s="177"/>
      <c r="I183" s="177"/>
      <c r="J183" s="177"/>
      <c r="K183" s="177"/>
      <c r="L183" s="177"/>
      <c r="M183" s="178"/>
      <c r="N183" s="178"/>
      <c r="O183" s="178"/>
      <c r="P183" s="178"/>
    </row>
    <row r="184" spans="2:16">
      <c r="B184" s="177"/>
      <c r="C184" s="177"/>
      <c r="D184" s="177"/>
      <c r="E184" s="177"/>
      <c r="F184" s="177"/>
      <c r="G184" s="177"/>
      <c r="H184" s="177"/>
      <c r="I184" s="177"/>
      <c r="J184" s="177"/>
      <c r="K184" s="177"/>
      <c r="L184" s="177"/>
      <c r="M184" s="178"/>
      <c r="N184" s="178"/>
      <c r="O184" s="178"/>
      <c r="P184" s="178"/>
    </row>
    <row r="185" spans="2:16">
      <c r="B185" s="177"/>
      <c r="C185" s="177"/>
      <c r="D185" s="177"/>
      <c r="E185" s="177"/>
      <c r="F185" s="177"/>
      <c r="G185" s="177"/>
      <c r="H185" s="177"/>
      <c r="I185" s="177"/>
      <c r="J185" s="177"/>
      <c r="K185" s="177"/>
      <c r="L185" s="177"/>
      <c r="M185" s="178"/>
      <c r="N185" s="178"/>
      <c r="O185" s="178"/>
      <c r="P185" s="178"/>
    </row>
    <row r="186" spans="2:16">
      <c r="B186" s="177"/>
      <c r="C186" s="177"/>
      <c r="D186" s="177"/>
      <c r="E186" s="177"/>
      <c r="F186" s="177"/>
      <c r="G186" s="177"/>
      <c r="H186" s="177"/>
      <c r="I186" s="177"/>
      <c r="J186" s="177"/>
      <c r="K186" s="177"/>
      <c r="L186" s="177"/>
      <c r="M186" s="178"/>
      <c r="N186" s="178"/>
      <c r="O186" s="178"/>
      <c r="P186" s="178"/>
    </row>
    <row r="187" spans="2:16">
      <c r="B187" s="177"/>
      <c r="C187" s="177"/>
      <c r="D187" s="177"/>
      <c r="E187" s="177"/>
      <c r="F187" s="177"/>
      <c r="G187" s="177"/>
      <c r="H187" s="177"/>
      <c r="I187" s="177"/>
      <c r="J187" s="177"/>
      <c r="K187" s="177"/>
      <c r="L187" s="177"/>
      <c r="M187" s="178"/>
      <c r="N187" s="178"/>
      <c r="O187" s="178"/>
      <c r="P187" s="178"/>
    </row>
    <row r="188" spans="2:16">
      <c r="B188" s="177"/>
      <c r="C188" s="177"/>
      <c r="D188" s="177"/>
      <c r="E188" s="177"/>
      <c r="F188" s="177"/>
      <c r="G188" s="177"/>
      <c r="H188" s="177"/>
      <c r="I188" s="177"/>
      <c r="J188" s="177"/>
      <c r="K188" s="177"/>
      <c r="L188" s="177"/>
      <c r="M188" s="178"/>
      <c r="N188" s="178"/>
      <c r="O188" s="178"/>
      <c r="P188" s="178"/>
    </row>
    <row r="189" spans="2:16">
      <c r="B189" s="177"/>
      <c r="C189" s="177"/>
      <c r="D189" s="177"/>
      <c r="E189" s="177"/>
      <c r="F189" s="177"/>
      <c r="G189" s="177"/>
      <c r="H189" s="177"/>
      <c r="I189" s="177"/>
      <c r="J189" s="177"/>
      <c r="K189" s="177"/>
      <c r="L189" s="177"/>
      <c r="M189" s="178"/>
      <c r="N189" s="178"/>
      <c r="O189" s="178"/>
      <c r="P189" s="178"/>
    </row>
    <row r="190" spans="2:16">
      <c r="B190" s="177"/>
      <c r="C190" s="177"/>
      <c r="D190" s="177"/>
      <c r="E190" s="177"/>
      <c r="F190" s="177"/>
      <c r="G190" s="177"/>
      <c r="H190" s="177"/>
      <c r="I190" s="177"/>
      <c r="J190" s="177"/>
      <c r="K190" s="177"/>
      <c r="L190" s="177"/>
      <c r="M190" s="178"/>
      <c r="N190" s="178"/>
      <c r="O190" s="178"/>
      <c r="P190" s="178"/>
    </row>
    <row r="191" spans="2:16">
      <c r="B191" s="177"/>
      <c r="C191" s="177"/>
      <c r="D191" s="177"/>
      <c r="E191" s="177"/>
      <c r="F191" s="177"/>
      <c r="G191" s="177"/>
      <c r="H191" s="177"/>
      <c r="I191" s="177"/>
      <c r="J191" s="177"/>
      <c r="K191" s="177"/>
      <c r="L191" s="177"/>
      <c r="M191" s="178"/>
      <c r="N191" s="178"/>
      <c r="O191" s="178"/>
      <c r="P191" s="178"/>
    </row>
    <row r="192" spans="2:16">
      <c r="B192" s="177"/>
      <c r="C192" s="177"/>
      <c r="D192" s="177"/>
      <c r="E192" s="177"/>
      <c r="F192" s="177"/>
      <c r="G192" s="177"/>
      <c r="H192" s="177"/>
      <c r="I192" s="177"/>
      <c r="J192" s="177"/>
      <c r="K192" s="177"/>
      <c r="L192" s="177"/>
      <c r="M192" s="178"/>
      <c r="N192" s="178"/>
      <c r="O192" s="178"/>
      <c r="P192" s="178"/>
    </row>
    <row r="193" spans="2:38">
      <c r="B193" s="177"/>
      <c r="C193" s="177"/>
      <c r="D193" s="177"/>
      <c r="E193" s="177"/>
      <c r="F193" s="177"/>
      <c r="G193" s="177"/>
      <c r="H193" s="177"/>
      <c r="I193" s="177"/>
      <c r="J193" s="177"/>
      <c r="K193" s="177"/>
      <c r="L193" s="177"/>
      <c r="M193" s="178"/>
      <c r="N193" s="178"/>
      <c r="O193" s="178"/>
      <c r="P193" s="178"/>
    </row>
    <row r="194" spans="2:38">
      <c r="B194" s="177"/>
      <c r="C194" s="177"/>
      <c r="D194" s="177"/>
      <c r="E194" s="177"/>
      <c r="F194" s="177"/>
      <c r="G194" s="177"/>
      <c r="H194" s="177"/>
      <c r="I194" s="177"/>
      <c r="J194" s="177"/>
      <c r="K194" s="177"/>
      <c r="L194" s="177"/>
      <c r="M194" s="178"/>
      <c r="N194" s="178"/>
      <c r="O194" s="178"/>
      <c r="P194" s="178"/>
    </row>
    <row r="195" spans="2:38">
      <c r="B195" s="177"/>
      <c r="C195" s="177"/>
      <c r="D195" s="177"/>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c r="AA195" s="177"/>
      <c r="AB195" s="178"/>
      <c r="AC195" s="178"/>
      <c r="AD195" s="178"/>
      <c r="AE195" s="178"/>
      <c r="AF195" s="179"/>
      <c r="AG195" s="179"/>
      <c r="AH195" s="179"/>
      <c r="AI195" s="179"/>
      <c r="AJ195" s="179"/>
      <c r="AK195" s="179"/>
      <c r="AL195" s="179"/>
    </row>
    <row r="196" spans="2:38">
      <c r="B196" s="177"/>
      <c r="C196" s="177"/>
      <c r="D196" s="177"/>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c r="AA196" s="177"/>
      <c r="AB196" s="178"/>
      <c r="AC196" s="178"/>
      <c r="AD196" s="178"/>
      <c r="AE196" s="178"/>
      <c r="AF196" s="179"/>
      <c r="AG196" s="179"/>
      <c r="AH196" s="179"/>
      <c r="AI196" s="179"/>
      <c r="AJ196" s="179"/>
      <c r="AK196" s="179"/>
      <c r="AL196" s="179"/>
    </row>
    <row r="197" spans="2:38">
      <c r="B197" s="177"/>
      <c r="C197" s="177"/>
      <c r="D197" s="177"/>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c r="AA197" s="177"/>
      <c r="AB197" s="178"/>
      <c r="AC197" s="178"/>
      <c r="AD197" s="178"/>
      <c r="AE197" s="178"/>
      <c r="AF197" s="179"/>
      <c r="AG197" s="179"/>
      <c r="AH197" s="179"/>
      <c r="AI197" s="179"/>
      <c r="AJ197" s="179"/>
      <c r="AK197" s="179"/>
      <c r="AL197" s="179"/>
    </row>
    <row r="198" spans="2:38">
      <c r="B198" s="177"/>
      <c r="C198" s="177"/>
      <c r="D198" s="177"/>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c r="AA198" s="177"/>
      <c r="AB198" s="178"/>
      <c r="AC198" s="178"/>
      <c r="AD198" s="178"/>
      <c r="AE198" s="178"/>
      <c r="AF198" s="179"/>
      <c r="AG198" s="179"/>
      <c r="AH198" s="179"/>
      <c r="AI198" s="179"/>
      <c r="AJ198" s="179"/>
      <c r="AK198" s="179"/>
      <c r="AL198" s="179"/>
    </row>
    <row r="199" spans="2:38">
      <c r="B199" s="177"/>
      <c r="C199" s="177"/>
      <c r="D199" s="177"/>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c r="AA199" s="177"/>
      <c r="AB199" s="178"/>
      <c r="AC199" s="178"/>
      <c r="AD199" s="178"/>
      <c r="AE199" s="178"/>
      <c r="AF199" s="179"/>
      <c r="AG199" s="179"/>
      <c r="AH199" s="179"/>
      <c r="AI199" s="179"/>
      <c r="AJ199" s="179"/>
      <c r="AK199" s="179"/>
      <c r="AL199" s="179"/>
    </row>
    <row r="200" spans="2:38">
      <c r="B200" s="177"/>
      <c r="C200" s="177"/>
      <c r="D200" s="177"/>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c r="AA200" s="177"/>
      <c r="AB200" s="178"/>
      <c r="AC200" s="178"/>
      <c r="AD200" s="178"/>
      <c r="AE200" s="178"/>
      <c r="AF200" s="179"/>
      <c r="AG200" s="179"/>
      <c r="AH200" s="179"/>
      <c r="AI200" s="179"/>
      <c r="AJ200" s="179"/>
      <c r="AK200" s="179"/>
      <c r="AL200" s="179"/>
    </row>
    <row r="201" spans="2:38">
      <c r="B201" s="177"/>
      <c r="C201" s="177"/>
      <c r="D201" s="177"/>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c r="AA201" s="177"/>
      <c r="AB201" s="178"/>
      <c r="AC201" s="178"/>
      <c r="AD201" s="178"/>
      <c r="AE201" s="178"/>
      <c r="AF201" s="179"/>
      <c r="AG201" s="179"/>
      <c r="AH201" s="179"/>
      <c r="AI201" s="179"/>
      <c r="AJ201" s="179"/>
      <c r="AK201" s="179"/>
      <c r="AL201" s="179"/>
    </row>
    <row r="202" spans="2:38">
      <c r="B202" s="177"/>
      <c r="C202" s="177"/>
      <c r="D202" s="177"/>
      <c r="E202" s="177"/>
      <c r="F202" s="177"/>
      <c r="G202" s="177"/>
      <c r="H202" s="177"/>
      <c r="I202" s="177"/>
      <c r="J202" s="177"/>
      <c r="K202" s="177"/>
      <c r="L202" s="177"/>
      <c r="M202" s="177"/>
      <c r="N202" s="177"/>
      <c r="O202" s="177"/>
      <c r="P202" s="177"/>
      <c r="Q202" s="177"/>
      <c r="R202" s="177"/>
      <c r="S202" s="177"/>
      <c r="T202" s="177"/>
      <c r="U202" s="177"/>
      <c r="V202" s="177"/>
      <c r="W202" s="177"/>
      <c r="X202" s="177"/>
      <c r="Y202" s="177"/>
      <c r="Z202" s="177"/>
      <c r="AA202" s="177"/>
      <c r="AB202" s="178"/>
      <c r="AC202" s="178"/>
      <c r="AD202" s="178"/>
      <c r="AE202" s="178"/>
      <c r="AF202" s="179"/>
      <c r="AG202" s="179"/>
      <c r="AH202" s="179"/>
      <c r="AI202" s="179"/>
      <c r="AJ202" s="179"/>
      <c r="AK202" s="179"/>
      <c r="AL202" s="179"/>
    </row>
    <row r="203" spans="2:38">
      <c r="B203" s="177"/>
      <c r="C203" s="177"/>
      <c r="D203" s="177"/>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c r="AA203" s="177"/>
      <c r="AB203" s="178"/>
      <c r="AC203" s="178"/>
      <c r="AD203" s="178"/>
      <c r="AE203" s="178"/>
      <c r="AF203" s="179"/>
      <c r="AG203" s="179"/>
      <c r="AH203" s="179"/>
      <c r="AI203" s="179"/>
      <c r="AJ203" s="179"/>
      <c r="AK203" s="179"/>
      <c r="AL203" s="179"/>
    </row>
    <row r="204" spans="2:38">
      <c r="B204" s="177"/>
      <c r="C204" s="177"/>
      <c r="D204" s="177"/>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c r="AA204" s="177"/>
      <c r="AB204" s="178"/>
      <c r="AC204" s="178"/>
      <c r="AD204" s="178"/>
      <c r="AE204" s="178"/>
      <c r="AF204" s="179"/>
      <c r="AG204" s="179"/>
      <c r="AH204" s="179"/>
      <c r="AI204" s="179"/>
      <c r="AJ204" s="179"/>
      <c r="AK204" s="179"/>
      <c r="AL204" s="179"/>
    </row>
    <row r="205" spans="2:38">
      <c r="B205" s="177"/>
      <c r="C205" s="177"/>
      <c r="D205" s="177"/>
      <c r="E205" s="177"/>
      <c r="F205" s="177"/>
      <c r="G205" s="177"/>
      <c r="H205" s="177"/>
      <c r="I205" s="177"/>
      <c r="J205" s="177"/>
      <c r="K205" s="177"/>
      <c r="L205" s="177"/>
      <c r="M205" s="177"/>
      <c r="N205" s="177"/>
      <c r="O205" s="177"/>
      <c r="P205" s="177"/>
      <c r="Q205" s="177"/>
      <c r="R205" s="177"/>
      <c r="S205" s="177"/>
      <c r="T205" s="177"/>
      <c r="U205" s="177"/>
      <c r="V205" s="177"/>
      <c r="W205" s="177"/>
      <c r="X205" s="177"/>
      <c r="Y205" s="177"/>
      <c r="Z205" s="177"/>
      <c r="AA205" s="177"/>
      <c r="AB205" s="178"/>
      <c r="AC205" s="178"/>
      <c r="AD205" s="178"/>
      <c r="AE205" s="178"/>
      <c r="AF205" s="179"/>
      <c r="AG205" s="179"/>
      <c r="AH205" s="179"/>
      <c r="AI205" s="179"/>
      <c r="AJ205" s="179"/>
      <c r="AK205" s="179"/>
      <c r="AL205" s="179"/>
    </row>
    <row r="206" spans="2:38">
      <c r="B206" s="177"/>
      <c r="C206" s="177"/>
      <c r="D206" s="177"/>
      <c r="E206" s="177"/>
      <c r="F206" s="177"/>
      <c r="G206" s="177"/>
      <c r="H206" s="177"/>
      <c r="I206" s="177"/>
      <c r="J206" s="177"/>
      <c r="K206" s="177"/>
      <c r="L206" s="177"/>
      <c r="M206" s="177"/>
      <c r="N206" s="177"/>
      <c r="O206" s="177"/>
      <c r="P206" s="177"/>
      <c r="Q206" s="177"/>
      <c r="R206" s="177"/>
      <c r="S206" s="177"/>
      <c r="T206" s="177"/>
      <c r="U206" s="177"/>
      <c r="V206" s="177"/>
      <c r="W206" s="177"/>
      <c r="X206" s="177"/>
      <c r="Y206" s="177"/>
      <c r="Z206" s="177"/>
      <c r="AA206" s="177"/>
      <c r="AB206" s="178"/>
      <c r="AC206" s="178"/>
      <c r="AD206" s="178"/>
      <c r="AE206" s="178"/>
      <c r="AF206" s="179"/>
      <c r="AG206" s="179"/>
      <c r="AH206" s="179"/>
      <c r="AI206" s="179"/>
      <c r="AJ206" s="179"/>
      <c r="AK206" s="179"/>
      <c r="AL206" s="179"/>
    </row>
    <row r="207" spans="2:38">
      <c r="B207" s="177"/>
      <c r="C207" s="177"/>
      <c r="D207" s="177"/>
      <c r="E207" s="177"/>
      <c r="F207" s="177"/>
      <c r="G207" s="177"/>
      <c r="H207" s="177"/>
      <c r="I207" s="177"/>
      <c r="J207" s="177"/>
      <c r="K207" s="177"/>
      <c r="L207" s="177"/>
      <c r="M207" s="177"/>
      <c r="N207" s="177"/>
      <c r="O207" s="177"/>
      <c r="P207" s="177"/>
      <c r="Q207" s="177"/>
      <c r="R207" s="177"/>
      <c r="S207" s="177"/>
      <c r="T207" s="177"/>
      <c r="U207" s="177"/>
      <c r="V207" s="177"/>
      <c r="W207" s="177"/>
      <c r="X207" s="177"/>
      <c r="Y207" s="177"/>
      <c r="Z207" s="177"/>
      <c r="AA207" s="177"/>
      <c r="AB207" s="178"/>
      <c r="AC207" s="178"/>
      <c r="AD207" s="178"/>
      <c r="AE207" s="178"/>
      <c r="AF207" s="179"/>
      <c r="AG207" s="179"/>
      <c r="AH207" s="179"/>
      <c r="AI207" s="179"/>
      <c r="AJ207" s="179"/>
      <c r="AK207" s="179"/>
      <c r="AL207" s="179"/>
    </row>
    <row r="208" spans="2:38">
      <c r="B208" s="177"/>
      <c r="C208" s="177"/>
      <c r="D208" s="177"/>
      <c r="E208" s="177"/>
      <c r="F208" s="177"/>
      <c r="G208" s="177"/>
      <c r="H208" s="177"/>
      <c r="I208" s="177"/>
      <c r="J208" s="177"/>
      <c r="K208" s="177"/>
      <c r="L208" s="177"/>
      <c r="M208" s="177"/>
      <c r="N208" s="177"/>
      <c r="O208" s="177"/>
      <c r="P208" s="177"/>
      <c r="Q208" s="177"/>
      <c r="R208" s="177"/>
      <c r="S208" s="177"/>
      <c r="T208" s="177"/>
      <c r="U208" s="177"/>
      <c r="V208" s="177"/>
      <c r="W208" s="177"/>
      <c r="X208" s="177"/>
      <c r="Y208" s="177"/>
      <c r="Z208" s="177"/>
      <c r="AA208" s="177"/>
      <c r="AB208" s="178"/>
      <c r="AC208" s="178"/>
      <c r="AD208" s="178"/>
      <c r="AE208" s="178"/>
      <c r="AF208" s="179"/>
      <c r="AG208" s="179"/>
      <c r="AH208" s="179"/>
      <c r="AI208" s="179"/>
      <c r="AJ208" s="179"/>
      <c r="AK208" s="179"/>
      <c r="AL208" s="179"/>
    </row>
    <row r="209" spans="2:38">
      <c r="B209" s="177"/>
      <c r="C209" s="177"/>
      <c r="D209" s="177"/>
      <c r="E209" s="177"/>
      <c r="F209" s="177"/>
      <c r="G209" s="177"/>
      <c r="H209" s="177"/>
      <c r="I209" s="177"/>
      <c r="J209" s="177"/>
      <c r="K209" s="177"/>
      <c r="L209" s="177"/>
      <c r="M209" s="177"/>
      <c r="N209" s="177"/>
      <c r="O209" s="177"/>
      <c r="P209" s="177"/>
      <c r="Q209" s="177"/>
      <c r="R209" s="177"/>
      <c r="S209" s="177"/>
      <c r="T209" s="177"/>
      <c r="U209" s="177"/>
      <c r="V209" s="177"/>
      <c r="W209" s="177"/>
      <c r="X209" s="177"/>
      <c r="Y209" s="177"/>
      <c r="Z209" s="177"/>
      <c r="AA209" s="177"/>
      <c r="AB209" s="178"/>
      <c r="AC209" s="178"/>
      <c r="AD209" s="178"/>
      <c r="AE209" s="178"/>
      <c r="AF209" s="179"/>
      <c r="AG209" s="179"/>
      <c r="AH209" s="179"/>
      <c r="AI209" s="179"/>
      <c r="AJ209" s="179"/>
      <c r="AK209" s="179"/>
      <c r="AL209" s="179"/>
    </row>
    <row r="210" spans="2:38">
      <c r="B210" s="177"/>
      <c r="C210" s="177"/>
      <c r="D210" s="177"/>
      <c r="E210" s="177"/>
      <c r="F210" s="177"/>
      <c r="G210" s="177"/>
      <c r="H210" s="177"/>
      <c r="I210" s="177"/>
      <c r="J210" s="177"/>
      <c r="K210" s="177"/>
      <c r="L210" s="177"/>
      <c r="M210" s="177"/>
      <c r="N210" s="177"/>
      <c r="O210" s="177"/>
      <c r="P210" s="177"/>
      <c r="Q210" s="177"/>
      <c r="R210" s="177"/>
      <c r="S210" s="177"/>
      <c r="T210" s="177"/>
      <c r="U210" s="177"/>
      <c r="V210" s="177"/>
      <c r="W210" s="177"/>
      <c r="X210" s="177"/>
      <c r="Y210" s="177"/>
      <c r="Z210" s="177"/>
      <c r="AA210" s="177"/>
      <c r="AB210" s="178"/>
      <c r="AC210" s="178"/>
      <c r="AD210" s="178"/>
      <c r="AE210" s="178"/>
      <c r="AF210" s="179"/>
      <c r="AG210" s="179"/>
      <c r="AH210" s="179"/>
      <c r="AI210" s="179"/>
      <c r="AJ210" s="179"/>
      <c r="AK210" s="179"/>
      <c r="AL210" s="179"/>
    </row>
    <row r="211" spans="2:38">
      <c r="B211" s="177"/>
      <c r="C211" s="177"/>
      <c r="D211" s="177"/>
      <c r="E211" s="177"/>
      <c r="F211" s="177"/>
      <c r="G211" s="177"/>
      <c r="H211" s="177"/>
      <c r="I211" s="177"/>
      <c r="J211" s="177"/>
      <c r="K211" s="177"/>
      <c r="L211" s="177"/>
      <c r="M211" s="177"/>
      <c r="N211" s="177"/>
      <c r="O211" s="177"/>
      <c r="P211" s="177"/>
      <c r="Q211" s="177"/>
      <c r="R211" s="177"/>
      <c r="S211" s="177"/>
      <c r="T211" s="177"/>
      <c r="U211" s="177"/>
      <c r="V211" s="177"/>
      <c r="W211" s="177"/>
      <c r="X211" s="177"/>
      <c r="Y211" s="177"/>
      <c r="Z211" s="177"/>
      <c r="AA211" s="177"/>
      <c r="AB211" s="178"/>
      <c r="AC211" s="178"/>
      <c r="AD211" s="178"/>
      <c r="AE211" s="178"/>
      <c r="AF211" s="179"/>
      <c r="AG211" s="179"/>
      <c r="AH211" s="179"/>
      <c r="AI211" s="179"/>
      <c r="AJ211" s="179"/>
      <c r="AK211" s="179"/>
      <c r="AL211" s="179"/>
    </row>
    <row r="212" spans="2:38">
      <c r="B212" s="177"/>
      <c r="C212" s="177"/>
      <c r="D212" s="177"/>
      <c r="E212" s="177"/>
      <c r="F212" s="177"/>
      <c r="G212" s="177"/>
      <c r="H212" s="177"/>
      <c r="I212" s="177"/>
      <c r="J212" s="177"/>
      <c r="K212" s="177"/>
      <c r="L212" s="177"/>
      <c r="M212" s="177"/>
      <c r="N212" s="177"/>
      <c r="O212" s="177"/>
      <c r="P212" s="177"/>
      <c r="Q212" s="177"/>
      <c r="R212" s="177"/>
      <c r="S212" s="177"/>
      <c r="T212" s="177"/>
      <c r="U212" s="177"/>
      <c r="V212" s="177"/>
      <c r="W212" s="177"/>
      <c r="X212" s="177"/>
      <c r="Y212" s="177"/>
      <c r="Z212" s="177"/>
      <c r="AA212" s="177"/>
      <c r="AB212" s="178"/>
      <c r="AC212" s="178"/>
      <c r="AD212" s="178"/>
      <c r="AE212" s="178"/>
      <c r="AF212" s="179"/>
      <c r="AG212" s="179"/>
      <c r="AH212" s="179"/>
      <c r="AI212" s="179"/>
      <c r="AJ212" s="179"/>
      <c r="AK212" s="179"/>
      <c r="AL212" s="179"/>
    </row>
    <row r="213" spans="2:38">
      <c r="B213" s="177"/>
      <c r="C213" s="177"/>
      <c r="D213" s="177"/>
      <c r="E213" s="177"/>
      <c r="F213" s="177"/>
      <c r="G213" s="177"/>
      <c r="H213" s="177"/>
      <c r="I213" s="177"/>
      <c r="J213" s="177"/>
      <c r="K213" s="177"/>
      <c r="L213" s="177"/>
      <c r="M213" s="177"/>
      <c r="N213" s="177"/>
      <c r="O213" s="177"/>
      <c r="P213" s="177"/>
      <c r="Q213" s="177"/>
      <c r="R213" s="177"/>
      <c r="S213" s="177"/>
      <c r="T213" s="177"/>
      <c r="U213" s="177"/>
      <c r="V213" s="177"/>
      <c r="W213" s="177"/>
      <c r="X213" s="177"/>
      <c r="Y213" s="177"/>
      <c r="Z213" s="177"/>
      <c r="AA213" s="177"/>
      <c r="AB213" s="178"/>
      <c r="AC213" s="178"/>
      <c r="AD213" s="178"/>
      <c r="AE213" s="178"/>
      <c r="AF213" s="179"/>
      <c r="AG213" s="179"/>
      <c r="AH213" s="179"/>
      <c r="AI213" s="179"/>
      <c r="AJ213" s="179"/>
      <c r="AK213" s="179"/>
      <c r="AL213" s="179"/>
    </row>
    <row r="214" spans="2:38">
      <c r="B214" s="177"/>
      <c r="C214" s="177"/>
      <c r="D214" s="177"/>
      <c r="E214" s="177"/>
      <c r="F214" s="177"/>
      <c r="G214" s="177"/>
      <c r="H214" s="177"/>
      <c r="I214" s="177"/>
      <c r="J214" s="177"/>
      <c r="K214" s="177"/>
      <c r="L214" s="177"/>
      <c r="M214" s="177"/>
      <c r="N214" s="177"/>
      <c r="O214" s="177"/>
      <c r="P214" s="177"/>
      <c r="Q214" s="177"/>
      <c r="R214" s="177"/>
      <c r="S214" s="177"/>
      <c r="T214" s="177"/>
      <c r="U214" s="177"/>
      <c r="V214" s="177"/>
      <c r="W214" s="177"/>
      <c r="X214" s="177"/>
      <c r="Y214" s="177"/>
      <c r="Z214" s="177"/>
      <c r="AA214" s="177"/>
      <c r="AB214" s="178"/>
      <c r="AC214" s="178"/>
      <c r="AD214" s="178"/>
      <c r="AE214" s="178"/>
      <c r="AF214" s="179"/>
      <c r="AG214" s="179"/>
      <c r="AH214" s="179"/>
      <c r="AI214" s="179"/>
      <c r="AJ214" s="179"/>
      <c r="AK214" s="179"/>
      <c r="AL214" s="179"/>
    </row>
    <row r="215" spans="2:38">
      <c r="B215" s="177"/>
      <c r="C215" s="177"/>
      <c r="D215" s="177"/>
      <c r="E215" s="177"/>
      <c r="F215" s="177"/>
      <c r="G215" s="177"/>
      <c r="H215" s="177"/>
      <c r="I215" s="177"/>
      <c r="J215" s="177"/>
      <c r="K215" s="177"/>
      <c r="L215" s="177"/>
      <c r="M215" s="177"/>
      <c r="N215" s="177"/>
      <c r="O215" s="177"/>
      <c r="P215" s="177"/>
      <c r="Q215" s="177"/>
      <c r="R215" s="177"/>
      <c r="S215" s="177"/>
      <c r="T215" s="177"/>
      <c r="U215" s="177"/>
      <c r="V215" s="177"/>
      <c r="W215" s="177"/>
      <c r="X215" s="177"/>
      <c r="Y215" s="177"/>
      <c r="Z215" s="177"/>
      <c r="AA215" s="177"/>
      <c r="AB215" s="178"/>
      <c r="AC215" s="178"/>
      <c r="AD215" s="178"/>
      <c r="AE215" s="178"/>
      <c r="AF215" s="179"/>
      <c r="AG215" s="179"/>
      <c r="AH215" s="179"/>
      <c r="AI215" s="179"/>
      <c r="AJ215" s="179"/>
      <c r="AK215" s="179"/>
      <c r="AL215" s="179"/>
    </row>
    <row r="216" spans="2:38">
      <c r="B216" s="177"/>
      <c r="C216" s="177"/>
      <c r="D216" s="177"/>
      <c r="E216" s="177"/>
      <c r="F216" s="177"/>
      <c r="G216" s="177"/>
      <c r="H216" s="177"/>
      <c r="I216" s="177"/>
      <c r="J216" s="177"/>
      <c r="K216" s="177"/>
      <c r="L216" s="177"/>
      <c r="M216" s="177"/>
      <c r="N216" s="177"/>
      <c r="O216" s="177"/>
      <c r="P216" s="177"/>
      <c r="Q216" s="177"/>
      <c r="R216" s="177"/>
      <c r="S216" s="177"/>
      <c r="T216" s="177"/>
      <c r="U216" s="177"/>
      <c r="V216" s="177"/>
      <c r="W216" s="177"/>
      <c r="X216" s="177"/>
      <c r="Y216" s="177"/>
      <c r="Z216" s="177"/>
      <c r="AA216" s="177"/>
      <c r="AB216" s="178"/>
      <c r="AC216" s="178"/>
      <c r="AD216" s="178"/>
      <c r="AE216" s="178"/>
      <c r="AF216" s="179"/>
      <c r="AG216" s="179"/>
      <c r="AH216" s="179"/>
      <c r="AI216" s="179"/>
      <c r="AJ216" s="179"/>
      <c r="AK216" s="179"/>
      <c r="AL216" s="179"/>
    </row>
    <row r="217" spans="2:38">
      <c r="B217" s="177"/>
      <c r="C217" s="177"/>
      <c r="D217" s="177"/>
      <c r="E217" s="177"/>
      <c r="F217" s="177"/>
      <c r="G217" s="177"/>
      <c r="H217" s="177"/>
      <c r="I217" s="177"/>
      <c r="J217" s="177"/>
      <c r="K217" s="177"/>
      <c r="L217" s="177"/>
      <c r="M217" s="177"/>
      <c r="N217" s="177"/>
      <c r="O217" s="177"/>
      <c r="P217" s="177"/>
      <c r="Q217" s="177"/>
      <c r="R217" s="177"/>
      <c r="S217" s="177"/>
      <c r="T217" s="177"/>
      <c r="U217" s="177"/>
      <c r="V217" s="177"/>
      <c r="W217" s="177"/>
      <c r="X217" s="177"/>
      <c r="Y217" s="177"/>
      <c r="Z217" s="177"/>
      <c r="AA217" s="177"/>
      <c r="AB217" s="178"/>
      <c r="AC217" s="178"/>
      <c r="AD217" s="178"/>
      <c r="AE217" s="178"/>
      <c r="AF217" s="179"/>
      <c r="AG217" s="179"/>
      <c r="AH217" s="179"/>
      <c r="AI217" s="179"/>
      <c r="AJ217" s="179"/>
      <c r="AK217" s="179"/>
      <c r="AL217" s="179"/>
    </row>
    <row r="218" spans="2:38">
      <c r="B218" s="177"/>
      <c r="C218" s="177"/>
      <c r="D218" s="177"/>
      <c r="E218" s="177"/>
      <c r="F218" s="177"/>
      <c r="G218" s="177"/>
      <c r="H218" s="177"/>
      <c r="I218" s="177"/>
      <c r="J218" s="177"/>
      <c r="K218" s="177"/>
      <c r="L218" s="177"/>
      <c r="M218" s="177"/>
      <c r="N218" s="177"/>
      <c r="O218" s="177"/>
      <c r="P218" s="177"/>
      <c r="Q218" s="177"/>
      <c r="R218" s="177"/>
      <c r="S218" s="177"/>
      <c r="T218" s="177"/>
      <c r="U218" s="177"/>
      <c r="V218" s="177"/>
      <c r="W218" s="177"/>
      <c r="X218" s="177"/>
      <c r="Y218" s="177"/>
      <c r="Z218" s="177"/>
      <c r="AA218" s="177"/>
      <c r="AB218" s="178"/>
      <c r="AC218" s="178"/>
      <c r="AD218" s="178"/>
      <c r="AE218" s="178"/>
      <c r="AF218" s="179"/>
      <c r="AG218" s="179"/>
      <c r="AH218" s="179"/>
      <c r="AI218" s="179"/>
      <c r="AJ218" s="179"/>
      <c r="AK218" s="179"/>
      <c r="AL218" s="179"/>
    </row>
    <row r="219" spans="2:38">
      <c r="B219" s="177"/>
      <c r="C219" s="177"/>
      <c r="D219" s="177"/>
      <c r="E219" s="177"/>
      <c r="F219" s="177"/>
      <c r="G219" s="177"/>
      <c r="H219" s="177"/>
      <c r="I219" s="177"/>
      <c r="J219" s="177"/>
      <c r="K219" s="177"/>
      <c r="L219" s="177"/>
      <c r="M219" s="177"/>
      <c r="N219" s="177"/>
      <c r="O219" s="177"/>
      <c r="P219" s="177"/>
      <c r="Q219" s="177"/>
      <c r="R219" s="177"/>
      <c r="S219" s="177"/>
      <c r="T219" s="177"/>
      <c r="U219" s="177"/>
      <c r="V219" s="177"/>
      <c r="W219" s="177"/>
      <c r="X219" s="177"/>
      <c r="Y219" s="177"/>
      <c r="Z219" s="177"/>
      <c r="AA219" s="177"/>
      <c r="AB219" s="178"/>
      <c r="AC219" s="178"/>
      <c r="AD219" s="178"/>
      <c r="AE219" s="178"/>
      <c r="AF219" s="179"/>
      <c r="AG219" s="179"/>
      <c r="AH219" s="179"/>
      <c r="AI219" s="179"/>
      <c r="AJ219" s="179"/>
      <c r="AK219" s="179"/>
      <c r="AL219" s="179"/>
    </row>
    <row r="220" spans="2:38">
      <c r="B220" s="177"/>
      <c r="C220" s="177"/>
      <c r="D220" s="177"/>
      <c r="E220" s="177"/>
      <c r="F220" s="177"/>
      <c r="G220" s="177"/>
      <c r="H220" s="177"/>
      <c r="I220" s="177"/>
      <c r="J220" s="177"/>
      <c r="K220" s="177"/>
      <c r="L220" s="177"/>
      <c r="M220" s="177"/>
      <c r="N220" s="177"/>
      <c r="O220" s="177"/>
      <c r="P220" s="177"/>
      <c r="Q220" s="177"/>
      <c r="R220" s="177"/>
      <c r="S220" s="177"/>
      <c r="T220" s="177"/>
      <c r="U220" s="177"/>
      <c r="V220" s="177"/>
      <c r="W220" s="177"/>
      <c r="X220" s="177"/>
      <c r="Y220" s="177"/>
      <c r="Z220" s="177"/>
      <c r="AA220" s="177"/>
      <c r="AB220" s="178"/>
      <c r="AC220" s="178"/>
      <c r="AD220" s="178"/>
      <c r="AE220" s="178"/>
      <c r="AF220" s="179"/>
      <c r="AG220" s="179"/>
      <c r="AH220" s="179"/>
      <c r="AI220" s="179"/>
      <c r="AJ220" s="179"/>
      <c r="AK220" s="179"/>
      <c r="AL220" s="179"/>
    </row>
    <row r="221" spans="2:38">
      <c r="B221" s="177"/>
      <c r="C221" s="177"/>
      <c r="D221" s="177"/>
      <c r="E221" s="177"/>
      <c r="F221" s="177"/>
      <c r="G221" s="177"/>
      <c r="H221" s="177"/>
      <c r="I221" s="177"/>
      <c r="J221" s="177"/>
      <c r="K221" s="177"/>
      <c r="L221" s="177"/>
      <c r="M221" s="177"/>
      <c r="N221" s="177"/>
      <c r="O221" s="177"/>
      <c r="P221" s="177"/>
      <c r="Q221" s="177"/>
      <c r="R221" s="177"/>
      <c r="S221" s="177"/>
      <c r="T221" s="177"/>
      <c r="U221" s="177"/>
      <c r="V221" s="177"/>
      <c r="W221" s="177"/>
      <c r="X221" s="177"/>
      <c r="Y221" s="177"/>
      <c r="Z221" s="177"/>
      <c r="AA221" s="177"/>
      <c r="AB221" s="178"/>
      <c r="AC221" s="178"/>
      <c r="AD221" s="178"/>
      <c r="AE221" s="178"/>
      <c r="AF221" s="179"/>
      <c r="AG221" s="179"/>
      <c r="AH221" s="179"/>
      <c r="AI221" s="179"/>
      <c r="AJ221" s="179"/>
      <c r="AK221" s="179"/>
      <c r="AL221" s="179"/>
    </row>
    <row r="222" spans="2:38">
      <c r="B222" s="177"/>
      <c r="C222" s="177"/>
      <c r="D222" s="177"/>
      <c r="E222" s="177"/>
      <c r="F222" s="177"/>
      <c r="G222" s="177"/>
      <c r="H222" s="177"/>
      <c r="I222" s="177"/>
      <c r="J222" s="177"/>
      <c r="K222" s="177"/>
      <c r="L222" s="177"/>
      <c r="M222" s="177"/>
      <c r="N222" s="177"/>
      <c r="O222" s="177"/>
      <c r="P222" s="177"/>
      <c r="Q222" s="177"/>
      <c r="R222" s="177"/>
      <c r="S222" s="177"/>
      <c r="T222" s="177"/>
      <c r="U222" s="177"/>
      <c r="V222" s="177"/>
      <c r="W222" s="177"/>
      <c r="X222" s="177"/>
      <c r="Y222" s="177"/>
      <c r="Z222" s="177"/>
      <c r="AA222" s="177"/>
      <c r="AB222" s="178"/>
      <c r="AC222" s="178"/>
      <c r="AD222" s="178"/>
      <c r="AE222" s="178"/>
      <c r="AF222" s="179"/>
      <c r="AG222" s="179"/>
      <c r="AH222" s="179"/>
      <c r="AI222" s="179"/>
      <c r="AJ222" s="179"/>
      <c r="AK222" s="179"/>
      <c r="AL222" s="179"/>
    </row>
    <row r="223" spans="2:38">
      <c r="B223" s="177"/>
      <c r="C223" s="177"/>
      <c r="D223" s="177"/>
      <c r="E223" s="177"/>
      <c r="F223" s="177"/>
      <c r="G223" s="177"/>
      <c r="H223" s="177"/>
      <c r="I223" s="177"/>
      <c r="J223" s="177"/>
      <c r="K223" s="177"/>
      <c r="L223" s="177"/>
      <c r="M223" s="177"/>
      <c r="N223" s="177"/>
      <c r="O223" s="177"/>
      <c r="P223" s="177"/>
      <c r="Q223" s="177"/>
      <c r="R223" s="177"/>
      <c r="S223" s="177"/>
      <c r="T223" s="177"/>
      <c r="U223" s="177"/>
      <c r="V223" s="177"/>
      <c r="W223" s="177"/>
      <c r="X223" s="177"/>
      <c r="Y223" s="177"/>
      <c r="Z223" s="177"/>
      <c r="AA223" s="177"/>
      <c r="AB223" s="178"/>
      <c r="AC223" s="178"/>
      <c r="AD223" s="178"/>
      <c r="AE223" s="178"/>
      <c r="AF223" s="179"/>
      <c r="AG223" s="179"/>
      <c r="AH223" s="179"/>
      <c r="AI223" s="179"/>
      <c r="AJ223" s="179"/>
      <c r="AK223" s="179"/>
      <c r="AL223" s="179"/>
    </row>
    <row r="224" spans="2:38">
      <c r="B224" s="177"/>
      <c r="C224" s="177"/>
      <c r="D224" s="177"/>
      <c r="E224" s="177"/>
      <c r="F224" s="177"/>
      <c r="G224" s="177"/>
      <c r="H224" s="177"/>
      <c r="I224" s="177"/>
      <c r="J224" s="177"/>
      <c r="K224" s="177"/>
      <c r="L224" s="177"/>
      <c r="M224" s="177"/>
      <c r="N224" s="177"/>
      <c r="O224" s="177"/>
      <c r="P224" s="177"/>
      <c r="Q224" s="177"/>
      <c r="R224" s="177"/>
      <c r="S224" s="177"/>
      <c r="T224" s="177"/>
      <c r="U224" s="177"/>
      <c r="V224" s="177"/>
      <c r="W224" s="177"/>
      <c r="X224" s="177"/>
      <c r="Y224" s="177"/>
      <c r="Z224" s="177"/>
      <c r="AA224" s="177"/>
      <c r="AB224" s="178"/>
      <c r="AC224" s="178"/>
      <c r="AD224" s="178"/>
      <c r="AE224" s="178"/>
      <c r="AF224" s="179"/>
      <c r="AG224" s="179"/>
      <c r="AH224" s="179"/>
      <c r="AI224" s="179"/>
      <c r="AJ224" s="179"/>
      <c r="AK224" s="179"/>
      <c r="AL224" s="179"/>
    </row>
    <row r="225" spans="2:38">
      <c r="B225" s="177"/>
      <c r="C225" s="177"/>
      <c r="D225" s="177"/>
      <c r="E225" s="177"/>
      <c r="F225" s="177"/>
      <c r="G225" s="177"/>
      <c r="H225" s="177"/>
      <c r="I225" s="177"/>
      <c r="J225" s="177"/>
      <c r="K225" s="177"/>
      <c r="L225" s="177"/>
      <c r="M225" s="177"/>
      <c r="N225" s="177"/>
      <c r="O225" s="177"/>
      <c r="P225" s="177"/>
      <c r="Q225" s="177"/>
      <c r="R225" s="177"/>
      <c r="S225" s="177"/>
      <c r="T225" s="177"/>
      <c r="U225" s="177"/>
      <c r="V225" s="177"/>
      <c r="W225" s="177"/>
      <c r="X225" s="177"/>
      <c r="Y225" s="177"/>
      <c r="Z225" s="177"/>
      <c r="AA225" s="177"/>
      <c r="AB225" s="178"/>
      <c r="AC225" s="178"/>
      <c r="AD225" s="178"/>
      <c r="AE225" s="178"/>
      <c r="AF225" s="179"/>
      <c r="AG225" s="179"/>
      <c r="AH225" s="179"/>
      <c r="AI225" s="179"/>
      <c r="AJ225" s="179"/>
      <c r="AK225" s="179"/>
      <c r="AL225" s="179"/>
    </row>
    <row r="226" spans="2:38">
      <c r="B226" s="177"/>
      <c r="C226" s="177"/>
      <c r="D226" s="177"/>
      <c r="E226" s="177"/>
      <c r="F226" s="177"/>
      <c r="G226" s="177"/>
      <c r="H226" s="177"/>
      <c r="I226" s="177"/>
      <c r="J226" s="177"/>
      <c r="K226" s="177"/>
      <c r="L226" s="177"/>
      <c r="M226" s="177"/>
      <c r="N226" s="177"/>
      <c r="O226" s="177"/>
      <c r="P226" s="177"/>
      <c r="Q226" s="177"/>
      <c r="R226" s="177"/>
      <c r="S226" s="177"/>
      <c r="T226" s="177"/>
      <c r="U226" s="177"/>
      <c r="V226" s="177"/>
      <c r="W226" s="177"/>
      <c r="X226" s="177"/>
      <c r="Y226" s="177"/>
      <c r="Z226" s="177"/>
      <c r="AA226" s="177"/>
      <c r="AB226" s="178"/>
      <c r="AC226" s="178"/>
      <c r="AD226" s="178"/>
      <c r="AE226" s="178"/>
      <c r="AF226" s="179"/>
      <c r="AG226" s="179"/>
      <c r="AH226" s="179"/>
      <c r="AI226" s="179"/>
      <c r="AJ226" s="179"/>
      <c r="AK226" s="179"/>
      <c r="AL226" s="179"/>
    </row>
    <row r="227" spans="2:38">
      <c r="B227" s="177"/>
      <c r="C227" s="177"/>
      <c r="D227" s="177"/>
      <c r="E227" s="177"/>
      <c r="F227" s="177"/>
      <c r="G227" s="177"/>
      <c r="H227" s="177"/>
      <c r="I227" s="177"/>
      <c r="J227" s="177"/>
      <c r="K227" s="177"/>
      <c r="L227" s="177"/>
      <c r="M227" s="177"/>
      <c r="N227" s="177"/>
      <c r="O227" s="177"/>
      <c r="P227" s="177"/>
      <c r="Q227" s="177"/>
      <c r="R227" s="177"/>
      <c r="S227" s="177"/>
      <c r="T227" s="177"/>
      <c r="U227" s="177"/>
      <c r="V227" s="177"/>
      <c r="W227" s="177"/>
      <c r="X227" s="177"/>
      <c r="Y227" s="177"/>
      <c r="Z227" s="177"/>
      <c r="AA227" s="177"/>
      <c r="AB227" s="178"/>
      <c r="AC227" s="178"/>
      <c r="AD227" s="178"/>
      <c r="AE227" s="178"/>
      <c r="AF227" s="179"/>
      <c r="AG227" s="179"/>
      <c r="AH227" s="179"/>
      <c r="AI227" s="179"/>
      <c r="AJ227" s="179"/>
      <c r="AK227" s="179"/>
      <c r="AL227" s="179"/>
    </row>
    <row r="228" spans="2:38">
      <c r="B228" s="177"/>
      <c r="C228" s="177"/>
      <c r="D228" s="177"/>
      <c r="E228" s="177"/>
      <c r="F228" s="177"/>
      <c r="G228" s="177"/>
      <c r="H228" s="177"/>
      <c r="I228" s="177"/>
      <c r="J228" s="177"/>
      <c r="K228" s="177"/>
      <c r="L228" s="177"/>
      <c r="M228" s="177"/>
      <c r="N228" s="177"/>
      <c r="O228" s="177"/>
      <c r="P228" s="177"/>
      <c r="Q228" s="177"/>
      <c r="R228" s="177"/>
      <c r="S228" s="177"/>
      <c r="T228" s="177"/>
      <c r="U228" s="177"/>
      <c r="V228" s="177"/>
      <c r="W228" s="177"/>
      <c r="X228" s="177"/>
      <c r="Y228" s="177"/>
      <c r="Z228" s="177"/>
      <c r="AA228" s="177"/>
      <c r="AB228" s="178"/>
      <c r="AC228" s="178"/>
      <c r="AD228" s="178"/>
      <c r="AE228" s="178"/>
      <c r="AF228" s="179"/>
      <c r="AG228" s="179"/>
      <c r="AH228" s="179"/>
      <c r="AI228" s="179"/>
      <c r="AJ228" s="179"/>
      <c r="AK228" s="179"/>
      <c r="AL228" s="179"/>
    </row>
    <row r="229" spans="2:38">
      <c r="B229" s="177"/>
      <c r="C229" s="177"/>
      <c r="D229" s="177"/>
      <c r="E229" s="177"/>
      <c r="F229" s="177"/>
      <c r="G229" s="177"/>
      <c r="H229" s="177"/>
      <c r="I229" s="177"/>
      <c r="J229" s="177"/>
      <c r="K229" s="177"/>
      <c r="L229" s="177"/>
      <c r="M229" s="177"/>
      <c r="N229" s="177"/>
      <c r="O229" s="177"/>
      <c r="P229" s="177"/>
      <c r="Q229" s="177"/>
      <c r="R229" s="177"/>
      <c r="S229" s="177"/>
      <c r="T229" s="177"/>
      <c r="U229" s="177"/>
      <c r="V229" s="177"/>
      <c r="W229" s="177"/>
      <c r="X229" s="177"/>
      <c r="Y229" s="177"/>
      <c r="Z229" s="177"/>
      <c r="AA229" s="177"/>
      <c r="AB229" s="178"/>
      <c r="AC229" s="178"/>
      <c r="AD229" s="178"/>
      <c r="AE229" s="178"/>
      <c r="AF229" s="179"/>
      <c r="AG229" s="179"/>
      <c r="AH229" s="179"/>
      <c r="AI229" s="179"/>
      <c r="AJ229" s="179"/>
      <c r="AK229" s="179"/>
      <c r="AL229" s="179"/>
    </row>
    <row r="230" spans="2:38">
      <c r="B230" s="177"/>
      <c r="C230" s="177"/>
      <c r="D230" s="177"/>
      <c r="E230" s="177"/>
      <c r="F230" s="177"/>
      <c r="G230" s="177"/>
      <c r="H230" s="177"/>
      <c r="I230" s="177"/>
      <c r="J230" s="177"/>
      <c r="K230" s="177"/>
      <c r="L230" s="177"/>
      <c r="M230" s="177"/>
      <c r="N230" s="177"/>
      <c r="O230" s="177"/>
      <c r="P230" s="177"/>
      <c r="Q230" s="177"/>
      <c r="R230" s="177"/>
      <c r="S230" s="177"/>
      <c r="T230" s="177"/>
      <c r="U230" s="177"/>
      <c r="V230" s="177"/>
      <c r="W230" s="177"/>
      <c r="X230" s="177"/>
      <c r="Y230" s="177"/>
      <c r="Z230" s="177"/>
      <c r="AA230" s="177"/>
      <c r="AB230" s="178"/>
      <c r="AC230" s="178"/>
      <c r="AD230" s="178"/>
      <c r="AE230" s="178"/>
      <c r="AF230" s="179"/>
      <c r="AG230" s="179"/>
      <c r="AH230" s="179"/>
      <c r="AI230" s="179"/>
      <c r="AJ230" s="179"/>
      <c r="AK230" s="179"/>
      <c r="AL230" s="179"/>
    </row>
    <row r="231" spans="2:38">
      <c r="B231" s="177"/>
      <c r="C231" s="177"/>
      <c r="D231" s="177"/>
      <c r="E231" s="177"/>
      <c r="F231" s="177"/>
      <c r="G231" s="177"/>
      <c r="H231" s="177"/>
      <c r="I231" s="177"/>
      <c r="J231" s="177"/>
      <c r="K231" s="177"/>
      <c r="L231" s="177"/>
      <c r="M231" s="177"/>
      <c r="N231" s="177"/>
      <c r="O231" s="177"/>
      <c r="P231" s="177"/>
      <c r="Q231" s="177"/>
      <c r="R231" s="177"/>
      <c r="S231" s="177"/>
      <c r="T231" s="177"/>
      <c r="U231" s="177"/>
      <c r="V231" s="177"/>
      <c r="W231" s="177"/>
      <c r="X231" s="177"/>
      <c r="Y231" s="177"/>
      <c r="Z231" s="177"/>
      <c r="AA231" s="177"/>
      <c r="AB231" s="178"/>
      <c r="AC231" s="178"/>
      <c r="AD231" s="178"/>
      <c r="AE231" s="178"/>
      <c r="AF231" s="179"/>
      <c r="AG231" s="179"/>
      <c r="AH231" s="179"/>
      <c r="AI231" s="179"/>
      <c r="AJ231" s="179"/>
      <c r="AK231" s="179"/>
      <c r="AL231" s="179"/>
    </row>
    <row r="232" spans="2:38">
      <c r="B232" s="177"/>
      <c r="C232" s="177"/>
      <c r="D232" s="177"/>
      <c r="E232" s="177"/>
      <c r="F232" s="177"/>
      <c r="G232" s="177"/>
      <c r="H232" s="177"/>
      <c r="I232" s="177"/>
      <c r="J232" s="177"/>
      <c r="K232" s="177"/>
      <c r="L232" s="177"/>
      <c r="M232" s="177"/>
      <c r="N232" s="177"/>
      <c r="O232" s="177"/>
      <c r="P232" s="177"/>
      <c r="Q232" s="177"/>
      <c r="R232" s="177"/>
      <c r="S232" s="177"/>
      <c r="T232" s="177"/>
      <c r="U232" s="177"/>
      <c r="V232" s="177"/>
      <c r="W232" s="177"/>
      <c r="X232" s="177"/>
      <c r="Y232" s="177"/>
      <c r="Z232" s="177"/>
      <c r="AA232" s="177"/>
      <c r="AB232" s="178"/>
      <c r="AC232" s="178"/>
      <c r="AD232" s="178"/>
      <c r="AE232" s="178"/>
      <c r="AF232" s="179"/>
      <c r="AG232" s="179"/>
      <c r="AH232" s="179"/>
      <c r="AI232" s="179"/>
      <c r="AJ232" s="179"/>
      <c r="AK232" s="179"/>
      <c r="AL232" s="179"/>
    </row>
    <row r="233" spans="2:38">
      <c r="B233" s="177"/>
      <c r="C233" s="177"/>
      <c r="D233" s="177"/>
      <c r="E233" s="177"/>
      <c r="F233" s="177"/>
      <c r="G233" s="177"/>
      <c r="H233" s="177"/>
      <c r="I233" s="177"/>
      <c r="J233" s="177"/>
      <c r="K233" s="177"/>
      <c r="L233" s="177"/>
      <c r="M233" s="177"/>
      <c r="N233" s="177"/>
      <c r="O233" s="177"/>
      <c r="P233" s="177"/>
      <c r="Q233" s="177"/>
      <c r="R233" s="177"/>
      <c r="S233" s="177"/>
      <c r="T233" s="177"/>
      <c r="U233" s="177"/>
      <c r="V233" s="177"/>
      <c r="W233" s="177"/>
      <c r="X233" s="177"/>
      <c r="Y233" s="177"/>
      <c r="Z233" s="177"/>
      <c r="AA233" s="177"/>
      <c r="AB233" s="178"/>
      <c r="AC233" s="178"/>
      <c r="AD233" s="178"/>
      <c r="AE233" s="178"/>
      <c r="AF233" s="179"/>
      <c r="AG233" s="179"/>
      <c r="AH233" s="179"/>
      <c r="AI233" s="179"/>
      <c r="AJ233" s="179"/>
      <c r="AK233" s="179"/>
      <c r="AL233" s="179"/>
    </row>
    <row r="234" spans="2:38">
      <c r="B234" s="177"/>
      <c r="C234" s="177"/>
      <c r="D234" s="177"/>
      <c r="E234" s="177"/>
      <c r="F234" s="177"/>
      <c r="G234" s="177"/>
      <c r="H234" s="177"/>
      <c r="I234" s="177"/>
      <c r="J234" s="177"/>
      <c r="K234" s="177"/>
      <c r="L234" s="177"/>
      <c r="M234" s="177"/>
      <c r="N234" s="177"/>
      <c r="O234" s="177"/>
      <c r="P234" s="177"/>
      <c r="Q234" s="177"/>
      <c r="R234" s="177"/>
      <c r="S234" s="177"/>
      <c r="T234" s="177"/>
      <c r="U234" s="177"/>
      <c r="V234" s="177"/>
      <c r="W234" s="177"/>
      <c r="X234" s="177"/>
      <c r="Y234" s="177"/>
      <c r="Z234" s="177"/>
      <c r="AA234" s="177"/>
      <c r="AB234" s="178"/>
      <c r="AC234" s="178"/>
      <c r="AD234" s="178"/>
      <c r="AE234" s="178"/>
      <c r="AF234" s="179"/>
      <c r="AG234" s="179"/>
      <c r="AH234" s="179"/>
      <c r="AI234" s="179"/>
      <c r="AJ234" s="179"/>
      <c r="AK234" s="179"/>
      <c r="AL234" s="179"/>
    </row>
    <row r="235" spans="2:38">
      <c r="B235" s="177"/>
      <c r="C235" s="177"/>
      <c r="D235" s="177"/>
      <c r="E235" s="177"/>
      <c r="F235" s="177"/>
      <c r="G235" s="177"/>
      <c r="H235" s="177"/>
      <c r="I235" s="177"/>
      <c r="J235" s="177"/>
      <c r="K235" s="177"/>
      <c r="L235" s="177"/>
      <c r="M235" s="177"/>
      <c r="N235" s="177"/>
      <c r="O235" s="177"/>
      <c r="P235" s="177"/>
      <c r="Q235" s="177"/>
      <c r="R235" s="177"/>
      <c r="S235" s="177"/>
      <c r="T235" s="177"/>
      <c r="U235" s="177"/>
      <c r="V235" s="177"/>
      <c r="W235" s="177"/>
      <c r="X235" s="177"/>
      <c r="Y235" s="177"/>
      <c r="Z235" s="177"/>
      <c r="AA235" s="177"/>
      <c r="AB235" s="178"/>
      <c r="AC235" s="178"/>
      <c r="AD235" s="178"/>
      <c r="AE235" s="178"/>
      <c r="AF235" s="179"/>
      <c r="AG235" s="179"/>
      <c r="AH235" s="179"/>
      <c r="AI235" s="179"/>
      <c r="AJ235" s="179"/>
      <c r="AK235" s="179"/>
      <c r="AL235" s="179"/>
    </row>
    <row r="236" spans="2:38">
      <c r="B236" s="177"/>
      <c r="C236" s="177"/>
      <c r="D236" s="177"/>
      <c r="E236" s="177"/>
      <c r="F236" s="177"/>
      <c r="G236" s="177"/>
      <c r="H236" s="177"/>
      <c r="I236" s="177"/>
      <c r="J236" s="177"/>
      <c r="K236" s="177"/>
      <c r="L236" s="177"/>
      <c r="M236" s="177"/>
      <c r="N236" s="177"/>
      <c r="O236" s="177"/>
      <c r="P236" s="177"/>
      <c r="Q236" s="177"/>
      <c r="R236" s="177"/>
      <c r="S236" s="177"/>
      <c r="T236" s="177"/>
      <c r="U236" s="177"/>
      <c r="V236" s="177"/>
      <c r="W236" s="177"/>
      <c r="X236" s="177"/>
      <c r="Y236" s="177"/>
      <c r="Z236" s="177"/>
      <c r="AA236" s="177"/>
      <c r="AB236" s="178"/>
      <c r="AC236" s="178"/>
      <c r="AD236" s="178"/>
      <c r="AE236" s="178"/>
      <c r="AF236" s="179"/>
      <c r="AG236" s="179"/>
      <c r="AH236" s="179"/>
      <c r="AI236" s="179"/>
      <c r="AJ236" s="179"/>
      <c r="AK236" s="179"/>
      <c r="AL236" s="179"/>
    </row>
    <row r="237" spans="2:38">
      <c r="B237" s="177"/>
      <c r="C237" s="177"/>
      <c r="D237" s="177"/>
      <c r="E237" s="177"/>
      <c r="F237" s="177"/>
      <c r="G237" s="177"/>
      <c r="H237" s="177"/>
      <c r="I237" s="177"/>
      <c r="J237" s="177"/>
      <c r="K237" s="177"/>
      <c r="L237" s="177"/>
      <c r="M237" s="177"/>
      <c r="N237" s="177"/>
      <c r="O237" s="177"/>
      <c r="P237" s="177"/>
      <c r="Q237" s="177"/>
      <c r="R237" s="177"/>
      <c r="S237" s="177"/>
      <c r="T237" s="177"/>
      <c r="U237" s="177"/>
      <c r="V237" s="177"/>
      <c r="W237" s="177"/>
      <c r="X237" s="177"/>
      <c r="Y237" s="177"/>
      <c r="Z237" s="177"/>
      <c r="AA237" s="177"/>
      <c r="AB237" s="178"/>
      <c r="AC237" s="178"/>
      <c r="AD237" s="178"/>
      <c r="AE237" s="178"/>
      <c r="AF237" s="179"/>
      <c r="AG237" s="179"/>
      <c r="AH237" s="179"/>
      <c r="AI237" s="179"/>
      <c r="AJ237" s="179"/>
      <c r="AK237" s="179"/>
      <c r="AL237" s="179"/>
    </row>
    <row r="238" spans="2:38">
      <c r="B238" s="177"/>
      <c r="C238" s="177"/>
      <c r="D238" s="177"/>
      <c r="E238" s="177"/>
      <c r="F238" s="177"/>
      <c r="G238" s="177"/>
      <c r="H238" s="177"/>
      <c r="I238" s="177"/>
      <c r="J238" s="177"/>
      <c r="K238" s="177"/>
      <c r="L238" s="177"/>
      <c r="M238" s="177"/>
      <c r="N238" s="177"/>
      <c r="O238" s="177"/>
      <c r="P238" s="177"/>
      <c r="Q238" s="177"/>
      <c r="R238" s="177"/>
      <c r="S238" s="177"/>
      <c r="T238" s="177"/>
      <c r="U238" s="177"/>
      <c r="V238" s="177"/>
      <c r="W238" s="177"/>
      <c r="X238" s="177"/>
      <c r="Y238" s="177"/>
      <c r="Z238" s="177"/>
      <c r="AA238" s="177"/>
      <c r="AB238" s="178"/>
      <c r="AC238" s="178"/>
      <c r="AD238" s="178"/>
      <c r="AE238" s="178"/>
      <c r="AF238" s="179"/>
      <c r="AG238" s="179"/>
      <c r="AH238" s="179"/>
      <c r="AI238" s="179"/>
      <c r="AJ238" s="179"/>
      <c r="AK238" s="179"/>
      <c r="AL238" s="179"/>
    </row>
    <row r="239" spans="2:38">
      <c r="B239" s="177"/>
      <c r="C239" s="177"/>
      <c r="D239" s="177"/>
      <c r="E239" s="177"/>
      <c r="F239" s="177"/>
      <c r="G239" s="177"/>
      <c r="H239" s="177"/>
      <c r="I239" s="177"/>
      <c r="J239" s="177"/>
      <c r="K239" s="177"/>
      <c r="L239" s="177"/>
      <c r="M239" s="177"/>
      <c r="N239" s="177"/>
      <c r="O239" s="177"/>
      <c r="P239" s="177"/>
      <c r="Q239" s="177"/>
      <c r="R239" s="177"/>
      <c r="S239" s="177"/>
      <c r="T239" s="177"/>
      <c r="U239" s="177"/>
      <c r="V239" s="177"/>
      <c r="W239" s="177"/>
      <c r="X239" s="177"/>
      <c r="Y239" s="177"/>
      <c r="Z239" s="177"/>
      <c r="AA239" s="177"/>
      <c r="AB239" s="178"/>
      <c r="AC239" s="178"/>
      <c r="AD239" s="178"/>
      <c r="AE239" s="178"/>
      <c r="AF239" s="179"/>
      <c r="AG239" s="179"/>
      <c r="AH239" s="179"/>
      <c r="AI239" s="179"/>
      <c r="AJ239" s="179"/>
      <c r="AK239" s="179"/>
      <c r="AL239" s="179"/>
    </row>
    <row r="240" spans="2:38">
      <c r="B240" s="177"/>
      <c r="C240" s="177"/>
      <c r="D240" s="177"/>
      <c r="E240" s="177"/>
      <c r="F240" s="177"/>
      <c r="G240" s="177"/>
      <c r="H240" s="177"/>
      <c r="I240" s="177"/>
      <c r="J240" s="177"/>
      <c r="K240" s="177"/>
      <c r="L240" s="177"/>
      <c r="M240" s="177"/>
      <c r="N240" s="177"/>
      <c r="O240" s="177"/>
      <c r="P240" s="177"/>
      <c r="Q240" s="177"/>
      <c r="R240" s="177"/>
      <c r="S240" s="177"/>
      <c r="T240" s="177"/>
      <c r="U240" s="177"/>
      <c r="V240" s="177"/>
      <c r="W240" s="177"/>
      <c r="X240" s="177"/>
      <c r="Y240" s="177"/>
      <c r="Z240" s="177"/>
      <c r="AA240" s="177"/>
      <c r="AB240" s="178"/>
      <c r="AC240" s="178"/>
      <c r="AD240" s="178"/>
      <c r="AE240" s="178"/>
      <c r="AF240" s="179"/>
      <c r="AG240" s="179"/>
      <c r="AH240" s="179"/>
      <c r="AI240" s="179"/>
      <c r="AJ240" s="179"/>
      <c r="AK240" s="179"/>
      <c r="AL240" s="179"/>
    </row>
    <row r="241" spans="2:38">
      <c r="B241" s="177"/>
      <c r="C241" s="177"/>
      <c r="D241" s="177"/>
      <c r="E241" s="177"/>
      <c r="F241" s="177"/>
      <c r="G241" s="177"/>
      <c r="H241" s="177"/>
      <c r="I241" s="177"/>
      <c r="J241" s="177"/>
      <c r="K241" s="177"/>
      <c r="L241" s="177"/>
      <c r="M241" s="177"/>
      <c r="N241" s="177"/>
      <c r="O241" s="177"/>
      <c r="P241" s="177"/>
      <c r="Q241" s="177"/>
      <c r="R241" s="177"/>
      <c r="S241" s="177"/>
      <c r="T241" s="177"/>
      <c r="U241" s="177"/>
      <c r="V241" s="177"/>
      <c r="W241" s="177"/>
      <c r="X241" s="177"/>
      <c r="Y241" s="177"/>
      <c r="Z241" s="177"/>
      <c r="AA241" s="177"/>
      <c r="AB241" s="178"/>
      <c r="AC241" s="178"/>
      <c r="AD241" s="178"/>
      <c r="AE241" s="178"/>
      <c r="AF241" s="179"/>
      <c r="AG241" s="179"/>
      <c r="AH241" s="179"/>
      <c r="AI241" s="179"/>
      <c r="AJ241" s="179"/>
      <c r="AK241" s="179"/>
      <c r="AL241" s="179"/>
    </row>
    <row r="242" spans="2:38">
      <c r="B242" s="177"/>
      <c r="C242" s="177"/>
      <c r="D242" s="177"/>
      <c r="E242" s="177"/>
      <c r="F242" s="177"/>
      <c r="G242" s="177"/>
      <c r="H242" s="177"/>
      <c r="I242" s="177"/>
      <c r="J242" s="177"/>
      <c r="K242" s="177"/>
      <c r="L242" s="177"/>
      <c r="M242" s="177"/>
      <c r="N242" s="177"/>
      <c r="O242" s="177"/>
      <c r="P242" s="177"/>
      <c r="Q242" s="177"/>
      <c r="R242" s="177"/>
      <c r="S242" s="177"/>
      <c r="T242" s="177"/>
      <c r="U242" s="177"/>
      <c r="V242" s="177"/>
      <c r="W242" s="177"/>
      <c r="X242" s="177"/>
      <c r="Y242" s="177"/>
      <c r="Z242" s="177"/>
      <c r="AA242" s="177"/>
      <c r="AB242" s="178"/>
      <c r="AC242" s="178"/>
      <c r="AD242" s="178"/>
      <c r="AE242" s="178"/>
      <c r="AF242" s="179"/>
      <c r="AG242" s="179"/>
      <c r="AH242" s="179"/>
      <c r="AI242" s="179"/>
      <c r="AJ242" s="179"/>
      <c r="AK242" s="179"/>
      <c r="AL242" s="179"/>
    </row>
    <row r="243" spans="2:38">
      <c r="B243" s="177"/>
      <c r="C243" s="177"/>
      <c r="D243" s="177"/>
      <c r="E243" s="177"/>
      <c r="F243" s="177"/>
      <c r="G243" s="177"/>
      <c r="H243" s="177"/>
      <c r="I243" s="177"/>
      <c r="J243" s="177"/>
      <c r="K243" s="177"/>
      <c r="L243" s="177"/>
      <c r="M243" s="177"/>
      <c r="N243" s="177"/>
      <c r="O243" s="177"/>
      <c r="P243" s="177"/>
      <c r="Q243" s="177"/>
      <c r="R243" s="177"/>
      <c r="S243" s="177"/>
      <c r="T243" s="177"/>
      <c r="U243" s="177"/>
      <c r="V243" s="177"/>
      <c r="W243" s="177"/>
      <c r="X243" s="177"/>
      <c r="Y243" s="177"/>
      <c r="Z243" s="177"/>
      <c r="AA243" s="177"/>
      <c r="AB243" s="178"/>
      <c r="AC243" s="178"/>
      <c r="AD243" s="178"/>
      <c r="AE243" s="178"/>
      <c r="AF243" s="179"/>
      <c r="AG243" s="179"/>
      <c r="AH243" s="179"/>
      <c r="AI243" s="179"/>
      <c r="AJ243" s="179"/>
      <c r="AK243" s="179"/>
      <c r="AL243" s="179"/>
    </row>
    <row r="244" spans="2:38">
      <c r="B244" s="177"/>
      <c r="C244" s="177"/>
      <c r="D244" s="177"/>
      <c r="E244" s="177"/>
      <c r="F244" s="177"/>
      <c r="G244" s="177"/>
      <c r="H244" s="177"/>
      <c r="I244" s="177"/>
      <c r="J244" s="177"/>
      <c r="K244" s="177"/>
      <c r="L244" s="177"/>
      <c r="M244" s="177"/>
      <c r="N244" s="177"/>
      <c r="O244" s="177"/>
      <c r="P244" s="177"/>
      <c r="Q244" s="177"/>
      <c r="R244" s="177"/>
      <c r="S244" s="177"/>
      <c r="T244" s="177"/>
      <c r="U244" s="177"/>
      <c r="V244" s="177"/>
      <c r="W244" s="177"/>
      <c r="X244" s="177"/>
      <c r="Y244" s="177"/>
      <c r="Z244" s="177"/>
      <c r="AA244" s="177"/>
      <c r="AB244" s="178"/>
      <c r="AC244" s="178"/>
      <c r="AD244" s="178"/>
      <c r="AE244" s="178"/>
      <c r="AF244" s="179"/>
      <c r="AG244" s="179"/>
      <c r="AH244" s="179"/>
      <c r="AI244" s="179"/>
      <c r="AJ244" s="179"/>
      <c r="AK244" s="179"/>
      <c r="AL244" s="179"/>
    </row>
    <row r="245" spans="2:38">
      <c r="B245" s="177"/>
      <c r="C245" s="177"/>
      <c r="D245" s="177"/>
      <c r="E245" s="177"/>
      <c r="F245" s="177"/>
      <c r="G245" s="177"/>
      <c r="H245" s="177"/>
      <c r="I245" s="177"/>
      <c r="J245" s="177"/>
      <c r="K245" s="177"/>
      <c r="L245" s="177"/>
      <c r="M245" s="177"/>
      <c r="N245" s="177"/>
      <c r="O245" s="177"/>
      <c r="P245" s="177"/>
      <c r="Q245" s="177"/>
      <c r="R245" s="177"/>
      <c r="S245" s="177"/>
      <c r="T245" s="177"/>
      <c r="U245" s="177"/>
      <c r="V245" s="177"/>
      <c r="W245" s="177"/>
      <c r="X245" s="177"/>
      <c r="Y245" s="177"/>
      <c r="Z245" s="177"/>
      <c r="AA245" s="177"/>
      <c r="AB245" s="178"/>
      <c r="AC245" s="178"/>
      <c r="AD245" s="178"/>
      <c r="AE245" s="178"/>
      <c r="AF245" s="179"/>
      <c r="AG245" s="179"/>
      <c r="AH245" s="179"/>
      <c r="AI245" s="179"/>
      <c r="AJ245" s="179"/>
      <c r="AK245" s="179"/>
      <c r="AL245" s="179"/>
    </row>
    <row r="246" spans="2:38">
      <c r="B246" s="177"/>
      <c r="C246" s="177"/>
      <c r="D246" s="177"/>
      <c r="E246" s="177"/>
      <c r="F246" s="177"/>
      <c r="G246" s="177"/>
      <c r="H246" s="177"/>
      <c r="I246" s="177"/>
      <c r="J246" s="177"/>
      <c r="K246" s="177"/>
      <c r="L246" s="177"/>
      <c r="M246" s="177"/>
      <c r="N246" s="177"/>
      <c r="O246" s="177"/>
      <c r="P246" s="177"/>
      <c r="Q246" s="177"/>
      <c r="R246" s="177"/>
      <c r="S246" s="177"/>
      <c r="T246" s="177"/>
      <c r="U246" s="177"/>
      <c r="V246" s="177"/>
      <c r="W246" s="177"/>
      <c r="X246" s="177"/>
      <c r="Y246" s="177"/>
      <c r="Z246" s="177"/>
      <c r="AA246" s="177"/>
      <c r="AB246" s="178"/>
      <c r="AC246" s="178"/>
      <c r="AD246" s="178"/>
      <c r="AE246" s="178"/>
      <c r="AF246" s="179"/>
      <c r="AG246" s="179"/>
      <c r="AH246" s="179"/>
      <c r="AI246" s="179"/>
      <c r="AJ246" s="179"/>
      <c r="AK246" s="179"/>
      <c r="AL246" s="179"/>
    </row>
    <row r="247" spans="2:38">
      <c r="B247" s="177"/>
      <c r="C247" s="177"/>
      <c r="D247" s="177"/>
      <c r="E247" s="177"/>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8"/>
      <c r="AC247" s="178"/>
      <c r="AD247" s="178"/>
      <c r="AE247" s="178"/>
      <c r="AF247" s="179"/>
      <c r="AG247" s="179"/>
      <c r="AH247" s="179"/>
      <c r="AI247" s="179"/>
      <c r="AJ247" s="179"/>
      <c r="AK247" s="179"/>
      <c r="AL247" s="179"/>
    </row>
    <row r="248" spans="2:38">
      <c r="B248" s="177"/>
      <c r="C248" s="177"/>
      <c r="D248" s="177"/>
      <c r="E248" s="177"/>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8"/>
      <c r="AC248" s="178"/>
      <c r="AD248" s="178"/>
      <c r="AE248" s="178"/>
      <c r="AF248" s="179"/>
      <c r="AG248" s="179"/>
      <c r="AH248" s="179"/>
      <c r="AI248" s="179"/>
      <c r="AJ248" s="179"/>
      <c r="AK248" s="179"/>
      <c r="AL248" s="179"/>
    </row>
    <row r="249" spans="2:38">
      <c r="B249" s="177"/>
      <c r="C249" s="177"/>
      <c r="D249" s="177"/>
      <c r="E249" s="177"/>
      <c r="F249" s="177"/>
      <c r="G249" s="177"/>
      <c r="H249" s="177"/>
      <c r="I249" s="177"/>
      <c r="J249" s="177"/>
      <c r="K249" s="177"/>
      <c r="L249" s="177"/>
      <c r="M249" s="177"/>
      <c r="N249" s="177"/>
      <c r="O249" s="177"/>
      <c r="P249" s="177"/>
      <c r="Q249" s="177"/>
      <c r="R249" s="177"/>
      <c r="S249" s="177"/>
      <c r="T249" s="177"/>
      <c r="U249" s="177"/>
      <c r="V249" s="177"/>
      <c r="W249" s="177"/>
      <c r="X249" s="177"/>
      <c r="Y249" s="177"/>
      <c r="Z249" s="177"/>
      <c r="AA249" s="177"/>
      <c r="AB249" s="178"/>
      <c r="AC249" s="178"/>
      <c r="AD249" s="178"/>
      <c r="AE249" s="178"/>
      <c r="AF249" s="179"/>
      <c r="AG249" s="179"/>
      <c r="AH249" s="179"/>
      <c r="AI249" s="179"/>
      <c r="AJ249" s="179"/>
      <c r="AK249" s="179"/>
      <c r="AL249" s="179"/>
    </row>
    <row r="250" spans="2:38">
      <c r="B250" s="177"/>
      <c r="C250" s="177"/>
      <c r="D250" s="177"/>
      <c r="E250" s="177"/>
      <c r="F250" s="177"/>
      <c r="G250" s="177"/>
      <c r="H250" s="177"/>
      <c r="I250" s="177"/>
      <c r="J250" s="177"/>
      <c r="K250" s="177"/>
      <c r="L250" s="177"/>
      <c r="M250" s="177"/>
      <c r="N250" s="177"/>
      <c r="O250" s="177"/>
      <c r="P250" s="177"/>
      <c r="Q250" s="177"/>
      <c r="R250" s="177"/>
      <c r="S250" s="177"/>
      <c r="T250" s="177"/>
      <c r="U250" s="177"/>
      <c r="V250" s="177"/>
      <c r="W250" s="177"/>
      <c r="X250" s="177"/>
      <c r="Y250" s="177"/>
      <c r="Z250" s="177"/>
      <c r="AA250" s="177"/>
      <c r="AB250" s="178"/>
      <c r="AC250" s="178"/>
      <c r="AD250" s="178"/>
      <c r="AE250" s="178"/>
      <c r="AF250" s="179"/>
      <c r="AG250" s="179"/>
      <c r="AH250" s="179"/>
      <c r="AI250" s="179"/>
      <c r="AJ250" s="179"/>
      <c r="AK250" s="179"/>
      <c r="AL250" s="179"/>
    </row>
    <row r="251" spans="2:38">
      <c r="B251" s="177"/>
      <c r="C251" s="177"/>
      <c r="D251" s="177"/>
      <c r="E251" s="177"/>
      <c r="F251" s="177"/>
      <c r="G251" s="177"/>
      <c r="H251" s="177"/>
      <c r="I251" s="177"/>
      <c r="J251" s="177"/>
      <c r="K251" s="177"/>
      <c r="L251" s="177"/>
      <c r="M251" s="177"/>
      <c r="N251" s="177"/>
      <c r="O251" s="177"/>
      <c r="P251" s="177"/>
      <c r="Q251" s="177"/>
      <c r="R251" s="177"/>
      <c r="S251" s="177"/>
      <c r="T251" s="177"/>
      <c r="U251" s="177"/>
      <c r="V251" s="177"/>
      <c r="W251" s="177"/>
      <c r="X251" s="177"/>
      <c r="Y251" s="177"/>
      <c r="Z251" s="177"/>
      <c r="AA251" s="177"/>
      <c r="AB251" s="178"/>
      <c r="AC251" s="178"/>
      <c r="AD251" s="178"/>
      <c r="AE251" s="178"/>
      <c r="AF251" s="179"/>
      <c r="AG251" s="179"/>
      <c r="AH251" s="179"/>
      <c r="AI251" s="179"/>
      <c r="AJ251" s="179"/>
      <c r="AK251" s="179"/>
      <c r="AL251" s="179"/>
    </row>
    <row r="252" spans="2:38">
      <c r="B252" s="177"/>
      <c r="C252" s="177"/>
      <c r="D252" s="177"/>
      <c r="E252" s="177"/>
      <c r="F252" s="177"/>
      <c r="G252" s="177"/>
      <c r="H252" s="177"/>
      <c r="I252" s="177"/>
      <c r="J252" s="177"/>
      <c r="K252" s="177"/>
      <c r="L252" s="177"/>
      <c r="M252" s="177"/>
      <c r="N252" s="177"/>
      <c r="O252" s="177"/>
      <c r="P252" s="177"/>
      <c r="Q252" s="177"/>
      <c r="R252" s="177"/>
      <c r="S252" s="177"/>
      <c r="T252" s="177"/>
      <c r="U252" s="177"/>
      <c r="V252" s="177"/>
      <c r="W252" s="177"/>
      <c r="X252" s="177"/>
      <c r="Y252" s="177"/>
      <c r="Z252" s="177"/>
      <c r="AA252" s="177"/>
      <c r="AB252" s="178"/>
      <c r="AC252" s="178"/>
      <c r="AD252" s="178"/>
      <c r="AE252" s="178"/>
      <c r="AF252" s="179"/>
      <c r="AG252" s="179"/>
      <c r="AH252" s="179"/>
      <c r="AI252" s="179"/>
      <c r="AJ252" s="179"/>
      <c r="AK252" s="179"/>
      <c r="AL252" s="179"/>
    </row>
    <row r="253" spans="2:38">
      <c r="B253" s="177"/>
      <c r="C253" s="177"/>
      <c r="D253" s="177"/>
      <c r="E253" s="177"/>
      <c r="F253" s="177"/>
      <c r="G253" s="177"/>
      <c r="H253" s="177"/>
      <c r="I253" s="177"/>
      <c r="J253" s="177"/>
      <c r="K253" s="177"/>
      <c r="L253" s="177"/>
      <c r="M253" s="177"/>
      <c r="N253" s="177"/>
      <c r="O253" s="177"/>
      <c r="P253" s="177"/>
      <c r="Q253" s="177"/>
      <c r="R253" s="177"/>
      <c r="S253" s="177"/>
      <c r="T253" s="177"/>
      <c r="U253" s="177"/>
      <c r="V253" s="177"/>
      <c r="W253" s="177"/>
      <c r="X253" s="177"/>
      <c r="Y253" s="177"/>
      <c r="Z253" s="177"/>
      <c r="AA253" s="177"/>
      <c r="AB253" s="178"/>
      <c r="AC253" s="178"/>
      <c r="AD253" s="178"/>
      <c r="AE253" s="178"/>
      <c r="AF253" s="179"/>
      <c r="AG253" s="179"/>
      <c r="AH253" s="179"/>
      <c r="AI253" s="179"/>
      <c r="AJ253" s="179"/>
      <c r="AK253" s="179"/>
      <c r="AL253" s="179"/>
    </row>
    <row r="254" spans="2:38">
      <c r="B254" s="177"/>
      <c r="C254" s="177"/>
      <c r="D254" s="177"/>
      <c r="E254" s="177"/>
      <c r="F254" s="177"/>
      <c r="G254" s="177"/>
      <c r="H254" s="177"/>
      <c r="I254" s="177"/>
      <c r="J254" s="177"/>
      <c r="K254" s="177"/>
      <c r="L254" s="177"/>
      <c r="M254" s="177"/>
      <c r="N254" s="177"/>
      <c r="O254" s="177"/>
      <c r="P254" s="177"/>
      <c r="Q254" s="177"/>
      <c r="R254" s="177"/>
      <c r="S254" s="177"/>
      <c r="T254" s="177"/>
      <c r="U254" s="177"/>
      <c r="V254" s="177"/>
      <c r="W254" s="177"/>
      <c r="X254" s="177"/>
      <c r="Y254" s="177"/>
      <c r="Z254" s="177"/>
      <c r="AA254" s="177"/>
      <c r="AB254" s="178"/>
      <c r="AC254" s="178"/>
      <c r="AD254" s="178"/>
      <c r="AE254" s="178"/>
      <c r="AF254" s="179"/>
      <c r="AG254" s="179"/>
      <c r="AH254" s="179"/>
      <c r="AI254" s="179"/>
      <c r="AJ254" s="179"/>
      <c r="AK254" s="179"/>
      <c r="AL254" s="179"/>
    </row>
    <row r="255" spans="2:38">
      <c r="B255" s="177"/>
      <c r="C255" s="177"/>
      <c r="D255" s="177"/>
      <c r="E255" s="177"/>
      <c r="F255" s="177"/>
      <c r="G255" s="177"/>
      <c r="H255" s="177"/>
      <c r="I255" s="177"/>
      <c r="J255" s="177"/>
      <c r="K255" s="177"/>
      <c r="L255" s="177"/>
      <c r="M255" s="177"/>
      <c r="N255" s="177"/>
      <c r="O255" s="177"/>
      <c r="P255" s="177"/>
      <c r="Q255" s="177"/>
      <c r="R255" s="177"/>
      <c r="S255" s="177"/>
      <c r="T255" s="177"/>
      <c r="U255" s="177"/>
      <c r="V255" s="177"/>
      <c r="W255" s="177"/>
      <c r="X255" s="177"/>
      <c r="Y255" s="177"/>
      <c r="Z255" s="177"/>
      <c r="AA255" s="177"/>
      <c r="AB255" s="178"/>
      <c r="AC255" s="178"/>
      <c r="AD255" s="178"/>
      <c r="AE255" s="178"/>
      <c r="AF255" s="179"/>
      <c r="AG255" s="179"/>
      <c r="AH255" s="179"/>
      <c r="AI255" s="179"/>
      <c r="AJ255" s="179"/>
      <c r="AK255" s="179"/>
      <c r="AL255" s="179"/>
    </row>
    <row r="256" spans="2:38">
      <c r="B256" s="177"/>
      <c r="C256" s="177"/>
      <c r="D256" s="177"/>
      <c r="E256" s="177"/>
      <c r="F256" s="177"/>
      <c r="G256" s="177"/>
      <c r="H256" s="177"/>
      <c r="I256" s="177"/>
      <c r="J256" s="177"/>
      <c r="K256" s="177"/>
      <c r="L256" s="177"/>
      <c r="M256" s="177"/>
      <c r="N256" s="177"/>
      <c r="O256" s="177"/>
      <c r="P256" s="177"/>
      <c r="Q256" s="177"/>
      <c r="R256" s="177"/>
      <c r="S256" s="177"/>
      <c r="T256" s="177"/>
      <c r="U256" s="177"/>
      <c r="V256" s="177"/>
      <c r="W256" s="177"/>
      <c r="X256" s="177"/>
      <c r="Y256" s="177"/>
      <c r="Z256" s="177"/>
      <c r="AA256" s="177"/>
      <c r="AB256" s="178"/>
      <c r="AC256" s="178"/>
      <c r="AD256" s="178"/>
      <c r="AE256" s="178"/>
      <c r="AF256" s="179"/>
      <c r="AG256" s="179"/>
      <c r="AH256" s="179"/>
      <c r="AI256" s="179"/>
      <c r="AJ256" s="179"/>
      <c r="AK256" s="179"/>
      <c r="AL256" s="179"/>
    </row>
    <row r="257" spans="2:38">
      <c r="B257" s="177"/>
      <c r="C257" s="177"/>
      <c r="D257" s="177"/>
      <c r="E257" s="177"/>
      <c r="F257" s="177"/>
      <c r="G257" s="177"/>
      <c r="H257" s="177"/>
      <c r="I257" s="177"/>
      <c r="J257" s="177"/>
      <c r="K257" s="177"/>
      <c r="L257" s="177"/>
      <c r="M257" s="177"/>
      <c r="N257" s="177"/>
      <c r="O257" s="177"/>
      <c r="P257" s="177"/>
      <c r="Q257" s="177"/>
      <c r="R257" s="177"/>
      <c r="S257" s="177"/>
      <c r="T257" s="177"/>
      <c r="U257" s="177"/>
      <c r="V257" s="177"/>
      <c r="W257" s="177"/>
      <c r="X257" s="177"/>
      <c r="Y257" s="177"/>
      <c r="Z257" s="177"/>
      <c r="AA257" s="177"/>
      <c r="AB257" s="178"/>
      <c r="AC257" s="178"/>
      <c r="AD257" s="178"/>
      <c r="AE257" s="178"/>
      <c r="AF257" s="179"/>
      <c r="AG257" s="179"/>
      <c r="AH257" s="179"/>
      <c r="AI257" s="179"/>
      <c r="AJ257" s="179"/>
      <c r="AK257" s="179"/>
      <c r="AL257" s="179"/>
    </row>
    <row r="258" spans="2:38">
      <c r="B258" s="177"/>
      <c r="C258" s="177"/>
      <c r="D258" s="177"/>
      <c r="E258" s="177"/>
      <c r="F258" s="177"/>
      <c r="G258" s="177"/>
      <c r="H258" s="177"/>
      <c r="I258" s="177"/>
      <c r="J258" s="177"/>
      <c r="K258" s="177"/>
      <c r="L258" s="177"/>
      <c r="M258" s="177"/>
      <c r="N258" s="177"/>
      <c r="O258" s="177"/>
      <c r="P258" s="177"/>
      <c r="Q258" s="177"/>
      <c r="R258" s="177"/>
      <c r="S258" s="177"/>
      <c r="T258" s="177"/>
      <c r="U258" s="177"/>
      <c r="V258" s="177"/>
      <c r="W258" s="177"/>
      <c r="X258" s="177"/>
      <c r="Y258" s="177"/>
      <c r="Z258" s="177"/>
      <c r="AA258" s="177"/>
      <c r="AB258" s="178"/>
      <c r="AC258" s="178"/>
      <c r="AD258" s="178"/>
      <c r="AE258" s="178"/>
      <c r="AF258" s="179"/>
      <c r="AG258" s="179"/>
      <c r="AH258" s="179"/>
      <c r="AI258" s="179"/>
      <c r="AJ258" s="179"/>
      <c r="AK258" s="179"/>
      <c r="AL258" s="179"/>
    </row>
    <row r="259" spans="2:38">
      <c r="B259" s="177"/>
      <c r="C259" s="177"/>
      <c r="D259" s="177"/>
      <c r="E259" s="177"/>
      <c r="F259" s="177"/>
      <c r="G259" s="177"/>
      <c r="H259" s="177"/>
      <c r="I259" s="177"/>
      <c r="J259" s="177"/>
      <c r="K259" s="177"/>
      <c r="L259" s="177"/>
      <c r="M259" s="177"/>
      <c r="N259" s="177"/>
      <c r="O259" s="177"/>
      <c r="P259" s="177"/>
      <c r="Q259" s="177"/>
      <c r="R259" s="177"/>
      <c r="S259" s="177"/>
      <c r="T259" s="177"/>
      <c r="U259" s="177"/>
      <c r="V259" s="177"/>
      <c r="W259" s="177"/>
      <c r="X259" s="177"/>
      <c r="Y259" s="177"/>
      <c r="Z259" s="177"/>
      <c r="AA259" s="177"/>
      <c r="AB259" s="178"/>
      <c r="AC259" s="178"/>
      <c r="AD259" s="178"/>
      <c r="AE259" s="178"/>
      <c r="AF259" s="179"/>
      <c r="AG259" s="179"/>
      <c r="AH259" s="179"/>
      <c r="AI259" s="179"/>
      <c r="AJ259" s="179"/>
      <c r="AK259" s="179"/>
      <c r="AL259" s="179"/>
    </row>
    <row r="260" spans="2:38">
      <c r="B260" s="177"/>
      <c r="C260" s="177"/>
      <c r="D260" s="177"/>
      <c r="E260" s="177"/>
      <c r="F260" s="177"/>
      <c r="G260" s="177"/>
      <c r="H260" s="177"/>
      <c r="I260" s="177"/>
      <c r="J260" s="177"/>
      <c r="K260" s="177"/>
      <c r="L260" s="177"/>
      <c r="M260" s="177"/>
      <c r="N260" s="177"/>
      <c r="O260" s="177"/>
      <c r="P260" s="177"/>
      <c r="Q260" s="177"/>
      <c r="R260" s="177"/>
      <c r="S260" s="177"/>
      <c r="T260" s="177"/>
      <c r="U260" s="177"/>
      <c r="V260" s="177"/>
      <c r="W260" s="177"/>
      <c r="X260" s="177"/>
      <c r="Y260" s="177"/>
      <c r="Z260" s="177"/>
      <c r="AA260" s="177"/>
      <c r="AB260" s="178"/>
      <c r="AC260" s="178"/>
      <c r="AD260" s="178"/>
      <c r="AE260" s="178"/>
      <c r="AF260" s="179"/>
      <c r="AG260" s="179"/>
      <c r="AH260" s="179"/>
      <c r="AI260" s="179"/>
      <c r="AJ260" s="179"/>
      <c r="AK260" s="179"/>
      <c r="AL260" s="179"/>
    </row>
    <row r="261" spans="2:38">
      <c r="B261" s="177"/>
      <c r="C261" s="177"/>
      <c r="D261" s="177"/>
      <c r="E261" s="177"/>
      <c r="F261" s="177"/>
      <c r="G261" s="177"/>
      <c r="H261" s="177"/>
      <c r="I261" s="177"/>
      <c r="J261" s="177"/>
      <c r="K261" s="177"/>
      <c r="L261" s="177"/>
      <c r="M261" s="177"/>
      <c r="N261" s="177"/>
      <c r="O261" s="177"/>
      <c r="P261" s="177"/>
      <c r="Q261" s="177"/>
      <c r="R261" s="177"/>
      <c r="S261" s="177"/>
      <c r="T261" s="177"/>
      <c r="U261" s="177"/>
      <c r="V261" s="177"/>
      <c r="W261" s="177"/>
      <c r="X261" s="177"/>
      <c r="Y261" s="177"/>
      <c r="Z261" s="177"/>
      <c r="AA261" s="177"/>
      <c r="AB261" s="178"/>
      <c r="AC261" s="178"/>
      <c r="AD261" s="178"/>
      <c r="AE261" s="178"/>
      <c r="AF261" s="179"/>
      <c r="AG261" s="179"/>
      <c r="AH261" s="179"/>
      <c r="AI261" s="179"/>
      <c r="AJ261" s="179"/>
      <c r="AK261" s="179"/>
      <c r="AL261" s="179"/>
    </row>
    <row r="262" spans="2:38">
      <c r="B262" s="177"/>
      <c r="C262" s="177"/>
      <c r="D262" s="177"/>
      <c r="E262" s="177"/>
      <c r="F262" s="177"/>
      <c r="G262" s="177"/>
      <c r="H262" s="177"/>
      <c r="I262" s="177"/>
      <c r="J262" s="177"/>
      <c r="K262" s="177"/>
      <c r="L262" s="177"/>
      <c r="M262" s="177"/>
      <c r="N262" s="177"/>
      <c r="O262" s="177"/>
      <c r="P262" s="177"/>
      <c r="Q262" s="177"/>
      <c r="R262" s="177"/>
      <c r="S262" s="177"/>
      <c r="T262" s="177"/>
      <c r="U262" s="177"/>
      <c r="V262" s="177"/>
      <c r="W262" s="177"/>
      <c r="X262" s="177"/>
      <c r="Y262" s="177"/>
      <c r="Z262" s="177"/>
      <c r="AA262" s="177"/>
      <c r="AB262" s="178"/>
      <c r="AC262" s="178"/>
      <c r="AD262" s="178"/>
      <c r="AE262" s="178"/>
      <c r="AF262" s="179"/>
      <c r="AG262" s="179"/>
      <c r="AH262" s="179"/>
      <c r="AI262" s="179"/>
      <c r="AJ262" s="179"/>
      <c r="AK262" s="179"/>
      <c r="AL262" s="179"/>
    </row>
    <row r="263" spans="2:38">
      <c r="B263" s="177"/>
      <c r="C263" s="177"/>
      <c r="D263" s="177"/>
      <c r="E263" s="177"/>
      <c r="F263" s="177"/>
      <c r="G263" s="177"/>
      <c r="H263" s="177"/>
      <c r="I263" s="177"/>
      <c r="J263" s="177"/>
      <c r="K263" s="177"/>
      <c r="L263" s="177"/>
      <c r="M263" s="177"/>
      <c r="N263" s="177"/>
      <c r="O263" s="177"/>
      <c r="P263" s="177"/>
      <c r="Q263" s="177"/>
      <c r="R263" s="177"/>
      <c r="S263" s="177"/>
      <c r="T263" s="177"/>
      <c r="U263" s="177"/>
      <c r="V263" s="177"/>
      <c r="W263" s="177"/>
      <c r="X263" s="177"/>
      <c r="Y263" s="177"/>
      <c r="Z263" s="177"/>
      <c r="AA263" s="177"/>
      <c r="AB263" s="178"/>
      <c r="AC263" s="178"/>
      <c r="AD263" s="178"/>
      <c r="AE263" s="178"/>
      <c r="AF263" s="179"/>
      <c r="AG263" s="179"/>
      <c r="AH263" s="179"/>
      <c r="AI263" s="179"/>
      <c r="AJ263" s="179"/>
      <c r="AK263" s="179"/>
      <c r="AL263" s="179"/>
    </row>
    <row r="264" spans="2:38">
      <c r="B264" s="177"/>
      <c r="C264" s="177"/>
      <c r="D264" s="177"/>
      <c r="E264" s="177"/>
      <c r="F264" s="177"/>
      <c r="G264" s="177"/>
      <c r="H264" s="177"/>
      <c r="I264" s="177"/>
      <c r="J264" s="177"/>
      <c r="K264" s="177"/>
      <c r="L264" s="177"/>
      <c r="M264" s="177"/>
      <c r="N264" s="177"/>
      <c r="O264" s="177"/>
      <c r="P264" s="177"/>
      <c r="Q264" s="177"/>
      <c r="R264" s="177"/>
      <c r="S264" s="177"/>
      <c r="T264" s="177"/>
      <c r="U264" s="177"/>
      <c r="V264" s="177"/>
      <c r="W264" s="177"/>
      <c r="X264" s="177"/>
      <c r="Y264" s="177"/>
      <c r="Z264" s="177"/>
      <c r="AA264" s="177"/>
      <c r="AB264" s="178"/>
      <c r="AC264" s="178"/>
      <c r="AD264" s="178"/>
      <c r="AE264" s="178"/>
      <c r="AF264" s="179"/>
      <c r="AG264" s="179"/>
      <c r="AH264" s="179"/>
      <c r="AI264" s="179"/>
      <c r="AJ264" s="179"/>
      <c r="AK264" s="179"/>
      <c r="AL264" s="179"/>
    </row>
    <row r="265" spans="2:38">
      <c r="B265" s="177"/>
      <c r="C265" s="177"/>
      <c r="D265" s="177"/>
      <c r="E265" s="177"/>
      <c r="F265" s="177"/>
      <c r="G265" s="177"/>
      <c r="H265" s="177"/>
      <c r="I265" s="177"/>
      <c r="J265" s="177"/>
      <c r="K265" s="177"/>
      <c r="L265" s="177"/>
      <c r="M265" s="177"/>
      <c r="N265" s="177"/>
      <c r="O265" s="177"/>
      <c r="P265" s="177"/>
      <c r="Q265" s="177"/>
      <c r="R265" s="177"/>
      <c r="S265" s="177"/>
      <c r="T265" s="177"/>
      <c r="U265" s="177"/>
      <c r="V265" s="177"/>
      <c r="W265" s="177"/>
      <c r="X265" s="177"/>
      <c r="Y265" s="177"/>
      <c r="Z265" s="177"/>
      <c r="AA265" s="177"/>
      <c r="AB265" s="178"/>
      <c r="AC265" s="178"/>
      <c r="AD265" s="178"/>
      <c r="AE265" s="178"/>
      <c r="AF265" s="179"/>
      <c r="AG265" s="179"/>
      <c r="AH265" s="179"/>
      <c r="AI265" s="179"/>
      <c r="AJ265" s="179"/>
      <c r="AK265" s="179"/>
      <c r="AL265" s="179"/>
    </row>
    <row r="266" spans="2:38">
      <c r="B266" s="177"/>
      <c r="C266" s="177"/>
      <c r="D266" s="177"/>
      <c r="E266" s="177"/>
      <c r="F266" s="177"/>
      <c r="G266" s="177"/>
      <c r="H266" s="177"/>
      <c r="I266" s="177"/>
      <c r="J266" s="177"/>
      <c r="K266" s="177"/>
      <c r="L266" s="177"/>
      <c r="M266" s="177"/>
      <c r="N266" s="177"/>
      <c r="O266" s="177"/>
      <c r="P266" s="177"/>
      <c r="Q266" s="177"/>
      <c r="R266" s="177"/>
      <c r="S266" s="177"/>
      <c r="T266" s="177"/>
      <c r="U266" s="177"/>
      <c r="V266" s="177"/>
      <c r="W266" s="177"/>
      <c r="X266" s="177"/>
      <c r="Y266" s="177"/>
      <c r="Z266" s="177"/>
      <c r="AA266" s="177"/>
      <c r="AB266" s="178"/>
      <c r="AC266" s="178"/>
      <c r="AD266" s="178"/>
      <c r="AE266" s="178"/>
      <c r="AF266" s="179"/>
      <c r="AG266" s="179"/>
      <c r="AH266" s="179"/>
      <c r="AI266" s="179"/>
      <c r="AJ266" s="179"/>
      <c r="AK266" s="179"/>
      <c r="AL266" s="179"/>
    </row>
    <row r="267" spans="2:38">
      <c r="B267" s="177"/>
      <c r="C267" s="177"/>
      <c r="D267" s="177"/>
      <c r="E267" s="177"/>
      <c r="F267" s="177"/>
      <c r="G267" s="177"/>
      <c r="H267" s="177"/>
      <c r="I267" s="177"/>
      <c r="J267" s="177"/>
      <c r="K267" s="177"/>
      <c r="L267" s="177"/>
      <c r="M267" s="177"/>
      <c r="N267" s="177"/>
      <c r="O267" s="177"/>
      <c r="P267" s="177"/>
      <c r="Q267" s="177"/>
      <c r="R267" s="177"/>
      <c r="S267" s="177"/>
      <c r="T267" s="177"/>
      <c r="U267" s="177"/>
      <c r="V267" s="177"/>
      <c r="W267" s="177"/>
      <c r="X267" s="177"/>
      <c r="Y267" s="177"/>
      <c r="Z267" s="177"/>
      <c r="AA267" s="177"/>
      <c r="AB267" s="178"/>
      <c r="AC267" s="178"/>
      <c r="AD267" s="178"/>
      <c r="AE267" s="178"/>
      <c r="AF267" s="179"/>
      <c r="AG267" s="179"/>
      <c r="AH267" s="179"/>
      <c r="AI267" s="179"/>
      <c r="AJ267" s="179"/>
      <c r="AK267" s="179"/>
      <c r="AL267" s="179"/>
    </row>
    <row r="268" spans="2:38">
      <c r="B268" s="177"/>
      <c r="C268" s="177"/>
      <c r="D268" s="177"/>
      <c r="E268" s="177"/>
      <c r="F268" s="177"/>
      <c r="G268" s="177"/>
      <c r="H268" s="177"/>
      <c r="I268" s="177"/>
      <c r="J268" s="177"/>
      <c r="K268" s="177"/>
      <c r="L268" s="177"/>
      <c r="M268" s="177"/>
      <c r="N268" s="177"/>
      <c r="O268" s="177"/>
      <c r="P268" s="177"/>
      <c r="Q268" s="177"/>
      <c r="R268" s="177"/>
      <c r="S268" s="177"/>
      <c r="T268" s="177"/>
      <c r="U268" s="177"/>
      <c r="V268" s="177"/>
      <c r="W268" s="177"/>
      <c r="X268" s="177"/>
      <c r="Y268" s="177"/>
      <c r="Z268" s="177"/>
      <c r="AA268" s="177"/>
      <c r="AB268" s="178"/>
      <c r="AC268" s="178"/>
      <c r="AD268" s="178"/>
      <c r="AE268" s="178"/>
      <c r="AF268" s="179"/>
      <c r="AG268" s="179"/>
      <c r="AH268" s="179"/>
      <c r="AI268" s="179"/>
      <c r="AJ268" s="179"/>
      <c r="AK268" s="179"/>
      <c r="AL268" s="179"/>
    </row>
    <row r="269" spans="2:38">
      <c r="B269" s="177"/>
      <c r="C269" s="177"/>
      <c r="D269" s="177"/>
      <c r="E269" s="177"/>
      <c r="F269" s="177"/>
      <c r="G269" s="177"/>
      <c r="H269" s="177"/>
      <c r="I269" s="177"/>
      <c r="J269" s="177"/>
      <c r="K269" s="177"/>
      <c r="L269" s="177"/>
      <c r="M269" s="177"/>
      <c r="N269" s="177"/>
      <c r="O269" s="177"/>
      <c r="P269" s="177"/>
      <c r="Q269" s="177"/>
      <c r="R269" s="177"/>
      <c r="S269" s="177"/>
      <c r="T269" s="177"/>
      <c r="U269" s="177"/>
      <c r="V269" s="177"/>
      <c r="W269" s="177"/>
      <c r="X269" s="177"/>
      <c r="Y269" s="177"/>
      <c r="Z269" s="177"/>
      <c r="AA269" s="177"/>
      <c r="AB269" s="178"/>
      <c r="AC269" s="178"/>
      <c r="AD269" s="178"/>
      <c r="AE269" s="178"/>
      <c r="AF269" s="179"/>
      <c r="AG269" s="179"/>
      <c r="AH269" s="179"/>
      <c r="AI269" s="179"/>
      <c r="AJ269" s="179"/>
      <c r="AK269" s="179"/>
      <c r="AL269" s="179"/>
    </row>
    <row r="270" spans="2:38">
      <c r="B270" s="177"/>
      <c r="C270" s="177"/>
      <c r="D270" s="177"/>
      <c r="E270" s="177"/>
      <c r="F270" s="177"/>
      <c r="G270" s="177"/>
      <c r="H270" s="177"/>
      <c r="I270" s="177"/>
      <c r="J270" s="177"/>
      <c r="K270" s="177"/>
      <c r="L270" s="177"/>
      <c r="M270" s="177"/>
      <c r="N270" s="177"/>
      <c r="O270" s="177"/>
      <c r="P270" s="177"/>
      <c r="Q270" s="177"/>
      <c r="R270" s="177"/>
      <c r="S270" s="177"/>
      <c r="T270" s="177"/>
      <c r="U270" s="177"/>
      <c r="V270" s="177"/>
      <c r="W270" s="177"/>
      <c r="X270" s="177"/>
      <c r="Y270" s="177"/>
      <c r="Z270" s="177"/>
      <c r="AA270" s="177"/>
      <c r="AB270" s="178"/>
      <c r="AC270" s="178"/>
      <c r="AD270" s="178"/>
      <c r="AE270" s="178"/>
      <c r="AF270" s="179"/>
      <c r="AG270" s="179"/>
      <c r="AH270" s="179"/>
      <c r="AI270" s="179"/>
      <c r="AJ270" s="179"/>
      <c r="AK270" s="179"/>
      <c r="AL270" s="179"/>
    </row>
    <row r="271" spans="2:38">
      <c r="B271" s="177"/>
      <c r="C271" s="177"/>
      <c r="D271" s="177"/>
      <c r="E271" s="177"/>
      <c r="F271" s="177"/>
      <c r="G271" s="177"/>
      <c r="H271" s="177"/>
      <c r="I271" s="177"/>
      <c r="J271" s="177"/>
      <c r="K271" s="177"/>
      <c r="L271" s="177"/>
      <c r="M271" s="177"/>
      <c r="N271" s="177"/>
      <c r="O271" s="177"/>
      <c r="P271" s="177"/>
      <c r="Q271" s="177"/>
      <c r="R271" s="177"/>
      <c r="S271" s="177"/>
      <c r="T271" s="177"/>
      <c r="U271" s="177"/>
      <c r="V271" s="177"/>
      <c r="W271" s="177"/>
      <c r="X271" s="177"/>
      <c r="Y271" s="177"/>
      <c r="Z271" s="177"/>
      <c r="AA271" s="177"/>
      <c r="AB271" s="178"/>
      <c r="AC271" s="178"/>
      <c r="AD271" s="178"/>
      <c r="AE271" s="178"/>
      <c r="AF271" s="179"/>
      <c r="AG271" s="179"/>
      <c r="AH271" s="179"/>
      <c r="AI271" s="179"/>
      <c r="AJ271" s="179"/>
      <c r="AK271" s="179"/>
      <c r="AL271" s="179"/>
    </row>
    <row r="272" spans="2:38">
      <c r="B272" s="177"/>
      <c r="C272" s="177"/>
      <c r="D272" s="177"/>
      <c r="E272" s="177"/>
      <c r="F272" s="177"/>
      <c r="G272" s="177"/>
      <c r="H272" s="177"/>
      <c r="I272" s="177"/>
      <c r="J272" s="177"/>
      <c r="K272" s="177"/>
      <c r="L272" s="177"/>
      <c r="M272" s="177"/>
      <c r="N272" s="177"/>
      <c r="O272" s="177"/>
      <c r="P272" s="177"/>
      <c r="Q272" s="177"/>
      <c r="R272" s="177"/>
      <c r="S272" s="177"/>
      <c r="T272" s="177"/>
      <c r="U272" s="177"/>
      <c r="V272" s="177"/>
      <c r="W272" s="177"/>
      <c r="X272" s="177"/>
      <c r="Y272" s="177"/>
      <c r="Z272" s="177"/>
      <c r="AA272" s="177"/>
      <c r="AB272" s="178"/>
      <c r="AC272" s="178"/>
      <c r="AD272" s="178"/>
      <c r="AE272" s="178"/>
      <c r="AF272" s="179"/>
      <c r="AG272" s="179"/>
      <c r="AH272" s="179"/>
      <c r="AI272" s="179"/>
      <c r="AJ272" s="179"/>
      <c r="AK272" s="179"/>
      <c r="AL272" s="179"/>
    </row>
    <row r="273" spans="2:38">
      <c r="B273" s="177"/>
      <c r="C273" s="177"/>
      <c r="D273" s="177"/>
      <c r="E273" s="177"/>
      <c r="F273" s="177"/>
      <c r="G273" s="177"/>
      <c r="H273" s="177"/>
      <c r="I273" s="177"/>
      <c r="J273" s="177"/>
      <c r="K273" s="177"/>
      <c r="L273" s="177"/>
      <c r="M273" s="177"/>
      <c r="N273" s="177"/>
      <c r="O273" s="177"/>
      <c r="P273" s="177"/>
      <c r="Q273" s="177"/>
      <c r="R273" s="177"/>
      <c r="S273" s="177"/>
      <c r="T273" s="177"/>
      <c r="U273" s="177"/>
      <c r="V273" s="177"/>
      <c r="W273" s="177"/>
      <c r="X273" s="177"/>
      <c r="Y273" s="177"/>
      <c r="Z273" s="177"/>
      <c r="AA273" s="177"/>
      <c r="AB273" s="178"/>
      <c r="AC273" s="178"/>
      <c r="AD273" s="178"/>
      <c r="AE273" s="178"/>
      <c r="AF273" s="179"/>
      <c r="AG273" s="179"/>
      <c r="AH273" s="179"/>
      <c r="AI273" s="179"/>
      <c r="AJ273" s="179"/>
      <c r="AK273" s="179"/>
      <c r="AL273" s="179"/>
    </row>
    <row r="274" spans="2:38">
      <c r="B274" s="177"/>
      <c r="C274" s="177"/>
      <c r="D274" s="177"/>
      <c r="E274" s="177"/>
      <c r="F274" s="177"/>
      <c r="G274" s="177"/>
      <c r="H274" s="177"/>
      <c r="I274" s="177"/>
      <c r="J274" s="177"/>
      <c r="K274" s="177"/>
      <c r="L274" s="177"/>
      <c r="M274" s="177"/>
      <c r="N274" s="177"/>
      <c r="O274" s="177"/>
      <c r="P274" s="177"/>
      <c r="Q274" s="177"/>
      <c r="R274" s="177"/>
      <c r="S274" s="177"/>
      <c r="T274" s="177"/>
      <c r="U274" s="177"/>
      <c r="V274" s="177"/>
      <c r="W274" s="177"/>
      <c r="X274" s="177"/>
      <c r="Y274" s="177"/>
      <c r="Z274" s="177"/>
      <c r="AA274" s="177"/>
      <c r="AB274" s="178"/>
      <c r="AC274" s="178"/>
      <c r="AD274" s="178"/>
      <c r="AE274" s="178"/>
      <c r="AF274" s="179"/>
      <c r="AG274" s="179"/>
      <c r="AH274" s="179"/>
      <c r="AI274" s="179"/>
      <c r="AJ274" s="179"/>
      <c r="AK274" s="179"/>
      <c r="AL274" s="179"/>
    </row>
    <row r="275" spans="2:38">
      <c r="B275" s="177"/>
      <c r="C275" s="177"/>
      <c r="D275" s="177"/>
      <c r="E275" s="177"/>
      <c r="F275" s="177"/>
      <c r="G275" s="177"/>
      <c r="H275" s="177"/>
      <c r="I275" s="177"/>
      <c r="J275" s="177"/>
      <c r="K275" s="177"/>
      <c r="L275" s="177"/>
      <c r="M275" s="177"/>
      <c r="N275" s="177"/>
      <c r="O275" s="177"/>
      <c r="P275" s="177"/>
      <c r="Q275" s="177"/>
      <c r="R275" s="177"/>
      <c r="S275" s="177"/>
      <c r="T275" s="177"/>
      <c r="U275" s="177"/>
      <c r="V275" s="177"/>
      <c r="W275" s="177"/>
      <c r="X275" s="177"/>
      <c r="Y275" s="177"/>
      <c r="Z275" s="177"/>
      <c r="AA275" s="177"/>
      <c r="AB275" s="178"/>
      <c r="AC275" s="178"/>
      <c r="AD275" s="178"/>
      <c r="AE275" s="178"/>
      <c r="AF275" s="179"/>
      <c r="AG275" s="179"/>
      <c r="AH275" s="179"/>
      <c r="AI275" s="179"/>
      <c r="AJ275" s="179"/>
      <c r="AK275" s="179"/>
      <c r="AL275" s="179"/>
    </row>
    <row r="276" spans="2:38">
      <c r="B276" s="177"/>
      <c r="C276" s="177"/>
      <c r="D276" s="177"/>
      <c r="E276" s="177"/>
      <c r="F276" s="177"/>
      <c r="G276" s="177"/>
      <c r="H276" s="177"/>
      <c r="I276" s="177"/>
      <c r="J276" s="177"/>
      <c r="K276" s="177"/>
      <c r="L276" s="177"/>
      <c r="M276" s="177"/>
      <c r="N276" s="177"/>
      <c r="O276" s="177"/>
      <c r="P276" s="177"/>
      <c r="Q276" s="177"/>
      <c r="R276" s="177"/>
      <c r="S276" s="177"/>
      <c r="T276" s="177"/>
      <c r="U276" s="177"/>
      <c r="V276" s="177"/>
      <c r="W276" s="177"/>
      <c r="X276" s="177"/>
      <c r="Y276" s="177"/>
      <c r="Z276" s="177"/>
      <c r="AA276" s="177"/>
      <c r="AB276" s="178"/>
      <c r="AC276" s="178"/>
      <c r="AD276" s="178"/>
      <c r="AE276" s="178"/>
      <c r="AF276" s="179"/>
      <c r="AG276" s="179"/>
      <c r="AH276" s="179"/>
      <c r="AI276" s="179"/>
      <c r="AJ276" s="179"/>
      <c r="AK276" s="179"/>
      <c r="AL276" s="179"/>
    </row>
    <row r="277" spans="2:38">
      <c r="B277" s="177"/>
      <c r="C277" s="177"/>
      <c r="D277" s="177"/>
      <c r="E277" s="177"/>
      <c r="F277" s="177"/>
      <c r="G277" s="177"/>
      <c r="H277" s="177"/>
      <c r="I277" s="177"/>
      <c r="J277" s="177"/>
      <c r="K277" s="177"/>
      <c r="L277" s="177"/>
      <c r="M277" s="177"/>
      <c r="N277" s="177"/>
      <c r="O277" s="177"/>
      <c r="P277" s="177"/>
      <c r="Q277" s="177"/>
      <c r="R277" s="177"/>
      <c r="S277" s="177"/>
      <c r="T277" s="177"/>
      <c r="U277" s="177"/>
      <c r="V277" s="177"/>
      <c r="W277" s="177"/>
      <c r="X277" s="177"/>
      <c r="Y277" s="177"/>
      <c r="Z277" s="177"/>
      <c r="AA277" s="177"/>
      <c r="AB277" s="178"/>
      <c r="AC277" s="178"/>
      <c r="AD277" s="178"/>
      <c r="AE277" s="178"/>
      <c r="AF277" s="179"/>
      <c r="AG277" s="179"/>
      <c r="AH277" s="179"/>
      <c r="AI277" s="179"/>
      <c r="AJ277" s="179"/>
      <c r="AK277" s="179"/>
      <c r="AL277" s="179"/>
    </row>
    <row r="278" spans="2:38">
      <c r="B278" s="177"/>
      <c r="C278" s="177"/>
      <c r="D278" s="177"/>
      <c r="E278" s="177"/>
      <c r="F278" s="177"/>
      <c r="G278" s="177"/>
      <c r="H278" s="177"/>
      <c r="I278" s="177"/>
      <c r="J278" s="177"/>
      <c r="K278" s="177"/>
      <c r="L278" s="177"/>
      <c r="M278" s="177"/>
      <c r="N278" s="177"/>
      <c r="O278" s="177"/>
      <c r="P278" s="177"/>
      <c r="Q278" s="177"/>
      <c r="R278" s="177"/>
      <c r="S278" s="177"/>
      <c r="T278" s="177"/>
      <c r="U278" s="177"/>
      <c r="V278" s="177"/>
      <c r="W278" s="177"/>
      <c r="X278" s="177"/>
      <c r="Y278" s="177"/>
      <c r="Z278" s="177"/>
      <c r="AA278" s="177"/>
      <c r="AB278" s="178"/>
      <c r="AC278" s="178"/>
      <c r="AD278" s="178"/>
      <c r="AE278" s="178"/>
      <c r="AF278" s="179"/>
      <c r="AG278" s="179"/>
      <c r="AH278" s="179"/>
      <c r="AI278" s="179"/>
      <c r="AJ278" s="179"/>
      <c r="AK278" s="179"/>
      <c r="AL278" s="179"/>
    </row>
    <row r="279" spans="2:38">
      <c r="B279" s="177"/>
      <c r="C279" s="177"/>
      <c r="D279" s="177"/>
      <c r="E279" s="177"/>
      <c r="F279" s="177"/>
      <c r="G279" s="177"/>
      <c r="H279" s="177"/>
      <c r="I279" s="177"/>
      <c r="J279" s="177"/>
      <c r="K279" s="177"/>
      <c r="L279" s="177"/>
      <c r="M279" s="177"/>
      <c r="N279" s="177"/>
      <c r="O279" s="177"/>
      <c r="P279" s="177"/>
      <c r="Q279" s="177"/>
      <c r="R279" s="177"/>
      <c r="S279" s="177"/>
      <c r="T279" s="177"/>
      <c r="U279" s="177"/>
      <c r="V279" s="177"/>
      <c r="W279" s="177"/>
      <c r="X279" s="177"/>
      <c r="Y279" s="177"/>
      <c r="Z279" s="177"/>
      <c r="AA279" s="177"/>
      <c r="AB279" s="178"/>
      <c r="AC279" s="178"/>
      <c r="AD279" s="178"/>
      <c r="AE279" s="178"/>
      <c r="AF279" s="179"/>
      <c r="AG279" s="179"/>
      <c r="AH279" s="179"/>
      <c r="AI279" s="179"/>
      <c r="AJ279" s="179"/>
      <c r="AK279" s="179"/>
      <c r="AL279" s="179"/>
    </row>
    <row r="280" spans="2:38">
      <c r="B280" s="177"/>
      <c r="C280" s="177"/>
      <c r="D280" s="177"/>
      <c r="E280" s="177"/>
      <c r="F280" s="177"/>
      <c r="G280" s="177"/>
      <c r="H280" s="177"/>
      <c r="I280" s="177"/>
      <c r="J280" s="177"/>
      <c r="K280" s="177"/>
      <c r="L280" s="177"/>
      <c r="M280" s="177"/>
      <c r="N280" s="177"/>
      <c r="O280" s="177"/>
      <c r="P280" s="177"/>
      <c r="Q280" s="177"/>
      <c r="R280" s="177"/>
      <c r="S280" s="177"/>
      <c r="T280" s="177"/>
      <c r="U280" s="177"/>
      <c r="V280" s="177"/>
      <c r="W280" s="177"/>
      <c r="X280" s="177"/>
      <c r="Y280" s="177"/>
      <c r="Z280" s="177"/>
      <c r="AA280" s="177"/>
      <c r="AB280" s="178"/>
      <c r="AC280" s="178"/>
      <c r="AD280" s="178"/>
      <c r="AE280" s="178"/>
      <c r="AF280" s="179"/>
      <c r="AG280" s="179"/>
      <c r="AH280" s="179"/>
      <c r="AI280" s="179"/>
      <c r="AJ280" s="179"/>
      <c r="AK280" s="179"/>
      <c r="AL280" s="179"/>
    </row>
    <row r="281" spans="2:38">
      <c r="B281" s="177"/>
      <c r="C281" s="177"/>
      <c r="D281" s="177"/>
      <c r="E281" s="177"/>
      <c r="F281" s="177"/>
      <c r="G281" s="177"/>
      <c r="H281" s="177"/>
      <c r="I281" s="177"/>
      <c r="J281" s="177"/>
      <c r="K281" s="177"/>
      <c r="L281" s="177"/>
      <c r="M281" s="177"/>
      <c r="N281" s="177"/>
      <c r="O281" s="177"/>
      <c r="P281" s="177"/>
      <c r="Q281" s="177"/>
      <c r="R281" s="177"/>
      <c r="S281" s="177"/>
      <c r="T281" s="177"/>
      <c r="U281" s="177"/>
      <c r="V281" s="177"/>
      <c r="W281" s="177"/>
      <c r="X281" s="177"/>
      <c r="Y281" s="177"/>
      <c r="Z281" s="177"/>
      <c r="AA281" s="177"/>
      <c r="AB281" s="178"/>
      <c r="AC281" s="178"/>
      <c r="AD281" s="178"/>
      <c r="AE281" s="178"/>
      <c r="AF281" s="179"/>
      <c r="AG281" s="179"/>
      <c r="AH281" s="179"/>
      <c r="AI281" s="179"/>
      <c r="AJ281" s="179"/>
      <c r="AK281" s="179"/>
      <c r="AL281" s="179"/>
    </row>
    <row r="282" spans="2:38">
      <c r="B282" s="177"/>
      <c r="C282" s="177"/>
      <c r="D282" s="177"/>
      <c r="E282" s="177"/>
      <c r="F282" s="177"/>
      <c r="G282" s="177"/>
      <c r="H282" s="177"/>
      <c r="I282" s="177"/>
      <c r="J282" s="177"/>
      <c r="K282" s="177"/>
      <c r="L282" s="177"/>
      <c r="M282" s="177"/>
      <c r="N282" s="177"/>
      <c r="O282" s="177"/>
      <c r="P282" s="177"/>
      <c r="Q282" s="177"/>
      <c r="R282" s="177"/>
      <c r="S282" s="177"/>
      <c r="T282" s="177"/>
      <c r="U282" s="177"/>
      <c r="V282" s="177"/>
      <c r="W282" s="177"/>
      <c r="X282" s="177"/>
      <c r="Y282" s="177"/>
      <c r="Z282" s="177"/>
      <c r="AA282" s="177"/>
      <c r="AB282" s="178"/>
      <c r="AC282" s="178"/>
      <c r="AD282" s="178"/>
      <c r="AE282" s="178"/>
      <c r="AF282" s="179"/>
      <c r="AG282" s="179"/>
      <c r="AH282" s="179"/>
      <c r="AI282" s="179"/>
      <c r="AJ282" s="179"/>
      <c r="AK282" s="179"/>
      <c r="AL282" s="179"/>
    </row>
    <row r="283" spans="2:38">
      <c r="B283" s="177"/>
      <c r="C283" s="177"/>
      <c r="D283" s="177"/>
      <c r="E283" s="177"/>
      <c r="F283" s="177"/>
      <c r="G283" s="177"/>
      <c r="H283" s="177"/>
      <c r="I283" s="177"/>
      <c r="J283" s="177"/>
      <c r="K283" s="177"/>
      <c r="L283" s="177"/>
      <c r="M283" s="177"/>
      <c r="N283" s="177"/>
      <c r="O283" s="177"/>
      <c r="P283" s="177"/>
      <c r="Q283" s="177"/>
      <c r="R283" s="177"/>
      <c r="S283" s="177"/>
      <c r="T283" s="177"/>
      <c r="U283" s="177"/>
      <c r="V283" s="177"/>
      <c r="W283" s="177"/>
      <c r="X283" s="177"/>
      <c r="Y283" s="177"/>
      <c r="Z283" s="177"/>
      <c r="AA283" s="177"/>
      <c r="AB283" s="178"/>
      <c r="AC283" s="178"/>
      <c r="AD283" s="178"/>
      <c r="AE283" s="178"/>
      <c r="AF283" s="179"/>
      <c r="AG283" s="179"/>
      <c r="AH283" s="179"/>
      <c r="AI283" s="179"/>
      <c r="AJ283" s="179"/>
      <c r="AK283" s="179"/>
      <c r="AL283" s="179"/>
    </row>
    <row r="284" spans="2:38">
      <c r="B284" s="177"/>
      <c r="C284" s="177"/>
      <c r="D284" s="177"/>
      <c r="E284" s="177"/>
      <c r="F284" s="177"/>
      <c r="G284" s="177"/>
      <c r="H284" s="177"/>
      <c r="I284" s="177"/>
      <c r="J284" s="177"/>
      <c r="K284" s="177"/>
      <c r="L284" s="177"/>
      <c r="M284" s="177"/>
      <c r="N284" s="177"/>
      <c r="O284" s="177"/>
      <c r="P284" s="177"/>
      <c r="Q284" s="177"/>
      <c r="R284" s="177"/>
      <c r="S284" s="177"/>
      <c r="T284" s="177"/>
      <c r="U284" s="177"/>
      <c r="V284" s="177"/>
      <c r="W284" s="177"/>
      <c r="X284" s="177"/>
      <c r="Y284" s="177"/>
      <c r="Z284" s="177"/>
      <c r="AA284" s="177"/>
      <c r="AB284" s="178"/>
      <c r="AC284" s="178"/>
      <c r="AD284" s="178"/>
      <c r="AE284" s="178"/>
      <c r="AF284" s="179"/>
      <c r="AG284" s="179"/>
      <c r="AH284" s="179"/>
      <c r="AI284" s="179"/>
      <c r="AJ284" s="179"/>
      <c r="AK284" s="179"/>
      <c r="AL284" s="179"/>
    </row>
    <row r="285" spans="2:38">
      <c r="B285" s="177"/>
      <c r="C285" s="177"/>
      <c r="D285" s="177"/>
      <c r="E285" s="177"/>
      <c r="F285" s="177"/>
      <c r="G285" s="177"/>
      <c r="H285" s="177"/>
      <c r="I285" s="177"/>
      <c r="J285" s="177"/>
      <c r="K285" s="177"/>
      <c r="L285" s="177"/>
      <c r="M285" s="177"/>
      <c r="N285" s="177"/>
      <c r="O285" s="177"/>
      <c r="P285" s="177"/>
      <c r="Q285" s="177"/>
      <c r="R285" s="177"/>
      <c r="S285" s="177"/>
      <c r="T285" s="177"/>
      <c r="U285" s="177"/>
      <c r="V285" s="177"/>
      <c r="W285" s="177"/>
      <c r="X285" s="177"/>
      <c r="Y285" s="177"/>
      <c r="Z285" s="177"/>
      <c r="AA285" s="177"/>
      <c r="AB285" s="178"/>
      <c r="AC285" s="178"/>
      <c r="AD285" s="178"/>
      <c r="AE285" s="178"/>
      <c r="AF285" s="179"/>
      <c r="AG285" s="179"/>
      <c r="AH285" s="179"/>
      <c r="AI285" s="179"/>
      <c r="AJ285" s="179"/>
      <c r="AK285" s="179"/>
      <c r="AL285" s="179"/>
    </row>
    <row r="286" spans="2:38">
      <c r="B286" s="177"/>
      <c r="C286" s="177"/>
      <c r="D286" s="177"/>
      <c r="E286" s="177"/>
      <c r="F286" s="177"/>
      <c r="G286" s="177"/>
      <c r="H286" s="177"/>
      <c r="I286" s="177"/>
      <c r="J286" s="177"/>
      <c r="K286" s="177"/>
      <c r="L286" s="177"/>
      <c r="M286" s="177"/>
      <c r="N286" s="177"/>
      <c r="O286" s="177"/>
      <c r="P286" s="177"/>
      <c r="Q286" s="177"/>
      <c r="R286" s="177"/>
      <c r="S286" s="177"/>
      <c r="T286" s="177"/>
      <c r="U286" s="177"/>
      <c r="V286" s="177"/>
      <c r="W286" s="177"/>
      <c r="X286" s="177"/>
      <c r="Y286" s="177"/>
      <c r="Z286" s="177"/>
      <c r="AA286" s="177"/>
      <c r="AB286" s="178"/>
      <c r="AC286" s="178"/>
      <c r="AD286" s="178"/>
      <c r="AE286" s="178"/>
      <c r="AF286" s="179"/>
      <c r="AG286" s="179"/>
      <c r="AH286" s="179"/>
      <c r="AI286" s="179"/>
      <c r="AJ286" s="179"/>
      <c r="AK286" s="179"/>
      <c r="AL286" s="179"/>
    </row>
    <row r="287" spans="2:38">
      <c r="B287" s="177"/>
      <c r="C287" s="177"/>
      <c r="D287" s="177"/>
      <c r="E287" s="177"/>
      <c r="F287" s="177"/>
      <c r="G287" s="177"/>
      <c r="H287" s="177"/>
      <c r="I287" s="177"/>
      <c r="J287" s="177"/>
      <c r="K287" s="177"/>
      <c r="L287" s="177"/>
      <c r="M287" s="177"/>
      <c r="N287" s="177"/>
      <c r="O287" s="177"/>
      <c r="P287" s="177"/>
      <c r="Q287" s="177"/>
      <c r="R287" s="177"/>
      <c r="S287" s="177"/>
      <c r="T287" s="177"/>
      <c r="U287" s="177"/>
      <c r="V287" s="177"/>
      <c r="W287" s="177"/>
      <c r="X287" s="177"/>
      <c r="Y287" s="177"/>
      <c r="Z287" s="177"/>
      <c r="AA287" s="177"/>
      <c r="AB287" s="178"/>
      <c r="AC287" s="178"/>
      <c r="AD287" s="178"/>
      <c r="AE287" s="178"/>
      <c r="AF287" s="179"/>
      <c r="AG287" s="179"/>
      <c r="AH287" s="179"/>
      <c r="AI287" s="179"/>
      <c r="AJ287" s="179"/>
      <c r="AK287" s="179"/>
      <c r="AL287" s="179"/>
    </row>
    <row r="288" spans="2:38">
      <c r="B288" s="177"/>
      <c r="C288" s="177"/>
      <c r="D288" s="177"/>
      <c r="E288" s="177"/>
      <c r="F288" s="177"/>
      <c r="G288" s="177"/>
      <c r="H288" s="177"/>
      <c r="I288" s="177"/>
      <c r="J288" s="177"/>
      <c r="K288" s="177"/>
      <c r="L288" s="177"/>
      <c r="M288" s="177"/>
      <c r="N288" s="177"/>
      <c r="O288" s="177"/>
      <c r="P288" s="177"/>
      <c r="Q288" s="177"/>
      <c r="R288" s="177"/>
      <c r="S288" s="177"/>
      <c r="T288" s="177"/>
      <c r="U288" s="177"/>
      <c r="V288" s="177"/>
      <c r="W288" s="177"/>
      <c r="X288" s="177"/>
      <c r="Y288" s="177"/>
      <c r="Z288" s="177"/>
      <c r="AA288" s="177"/>
      <c r="AB288" s="178"/>
      <c r="AC288" s="178"/>
      <c r="AD288" s="178"/>
      <c r="AE288" s="178"/>
      <c r="AF288" s="179"/>
      <c r="AG288" s="179"/>
      <c r="AH288" s="179"/>
      <c r="AI288" s="179"/>
      <c r="AJ288" s="179"/>
      <c r="AK288" s="179"/>
      <c r="AL288" s="179"/>
    </row>
    <row r="289" spans="2:38">
      <c r="B289" s="177"/>
      <c r="C289" s="177"/>
      <c r="D289" s="177"/>
      <c r="E289" s="177"/>
      <c r="F289" s="177"/>
      <c r="G289" s="177"/>
      <c r="H289" s="177"/>
      <c r="I289" s="177"/>
      <c r="J289" s="177"/>
      <c r="K289" s="177"/>
      <c r="L289" s="177"/>
      <c r="M289" s="177"/>
      <c r="N289" s="177"/>
      <c r="O289" s="177"/>
      <c r="P289" s="177"/>
      <c r="Q289" s="177"/>
      <c r="R289" s="177"/>
      <c r="S289" s="177"/>
      <c r="T289" s="177"/>
      <c r="U289" s="177"/>
      <c r="V289" s="177"/>
      <c r="W289" s="177"/>
      <c r="X289" s="177"/>
      <c r="Y289" s="177"/>
      <c r="Z289" s="177"/>
      <c r="AA289" s="177"/>
      <c r="AB289" s="178"/>
      <c r="AC289" s="178"/>
      <c r="AD289" s="178"/>
      <c r="AE289" s="178"/>
      <c r="AF289" s="179"/>
      <c r="AG289" s="179"/>
      <c r="AH289" s="179"/>
      <c r="AI289" s="179"/>
      <c r="AJ289" s="179"/>
      <c r="AK289" s="179"/>
      <c r="AL289" s="179"/>
    </row>
    <row r="290" spans="2:38">
      <c r="B290" s="177"/>
      <c r="C290" s="177"/>
      <c r="D290" s="177"/>
      <c r="E290" s="177"/>
      <c r="F290" s="177"/>
      <c r="G290" s="177"/>
      <c r="H290" s="177"/>
      <c r="I290" s="177"/>
      <c r="J290" s="177"/>
      <c r="K290" s="177"/>
      <c r="L290" s="177"/>
      <c r="M290" s="177"/>
      <c r="N290" s="177"/>
      <c r="O290" s="177"/>
      <c r="P290" s="177"/>
      <c r="Q290" s="177"/>
      <c r="R290" s="177"/>
      <c r="S290" s="177"/>
      <c r="T290" s="177"/>
      <c r="U290" s="177"/>
      <c r="V290" s="177"/>
      <c r="W290" s="177"/>
      <c r="X290" s="177"/>
      <c r="Y290" s="177"/>
      <c r="Z290" s="177"/>
      <c r="AA290" s="177"/>
      <c r="AB290" s="178"/>
      <c r="AC290" s="178"/>
      <c r="AD290" s="178"/>
      <c r="AE290" s="178"/>
      <c r="AF290" s="179"/>
      <c r="AG290" s="179"/>
      <c r="AH290" s="179"/>
      <c r="AI290" s="179"/>
      <c r="AJ290" s="179"/>
      <c r="AK290" s="179"/>
      <c r="AL290" s="179"/>
    </row>
    <row r="291" spans="2:38">
      <c r="B291" s="177"/>
      <c r="C291" s="177"/>
      <c r="D291" s="177"/>
      <c r="E291" s="177"/>
      <c r="F291" s="177"/>
      <c r="G291" s="177"/>
      <c r="H291" s="177"/>
      <c r="I291" s="177"/>
      <c r="J291" s="177"/>
      <c r="K291" s="177"/>
      <c r="L291" s="177"/>
      <c r="M291" s="177"/>
      <c r="N291" s="177"/>
      <c r="O291" s="177"/>
      <c r="P291" s="177"/>
      <c r="Q291" s="177"/>
      <c r="R291" s="177"/>
      <c r="S291" s="177"/>
      <c r="T291" s="177"/>
      <c r="U291" s="177"/>
      <c r="V291" s="177"/>
      <c r="W291" s="177"/>
      <c r="X291" s="177"/>
      <c r="Y291" s="177"/>
      <c r="Z291" s="177"/>
      <c r="AA291" s="177"/>
      <c r="AB291" s="178"/>
      <c r="AC291" s="178"/>
      <c r="AD291" s="178"/>
      <c r="AE291" s="178"/>
      <c r="AF291" s="179"/>
      <c r="AG291" s="179"/>
      <c r="AH291" s="179"/>
      <c r="AI291" s="179"/>
      <c r="AJ291" s="179"/>
      <c r="AK291" s="179"/>
      <c r="AL291" s="179"/>
    </row>
    <row r="292" spans="2:38">
      <c r="B292" s="177"/>
      <c r="C292" s="177"/>
      <c r="D292" s="177"/>
      <c r="E292" s="177"/>
      <c r="F292" s="177"/>
      <c r="G292" s="177"/>
      <c r="H292" s="177"/>
      <c r="I292" s="177"/>
      <c r="J292" s="177"/>
      <c r="K292" s="177"/>
      <c r="L292" s="177"/>
      <c r="M292" s="177"/>
      <c r="N292" s="177"/>
      <c r="O292" s="177"/>
      <c r="P292" s="177"/>
      <c r="Q292" s="177"/>
      <c r="R292" s="177"/>
      <c r="S292" s="177"/>
      <c r="T292" s="177"/>
      <c r="U292" s="177"/>
      <c r="V292" s="177"/>
      <c r="W292" s="177"/>
      <c r="X292" s="177"/>
      <c r="Y292" s="177"/>
      <c r="Z292" s="177"/>
      <c r="AA292" s="177"/>
      <c r="AB292" s="178"/>
      <c r="AC292" s="178"/>
      <c r="AD292" s="178"/>
      <c r="AE292" s="178"/>
      <c r="AF292" s="179"/>
      <c r="AG292" s="179"/>
      <c r="AH292" s="179"/>
      <c r="AI292" s="179"/>
      <c r="AJ292" s="179"/>
      <c r="AK292" s="179"/>
      <c r="AL292" s="179"/>
    </row>
    <row r="293" spans="2:38">
      <c r="B293" s="177"/>
      <c r="C293" s="177"/>
      <c r="D293" s="177"/>
      <c r="E293" s="177"/>
      <c r="F293" s="177"/>
      <c r="G293" s="177"/>
      <c r="H293" s="177"/>
      <c r="I293" s="177"/>
      <c r="J293" s="177"/>
      <c r="K293" s="177"/>
      <c r="L293" s="177"/>
      <c r="M293" s="177"/>
      <c r="N293" s="177"/>
      <c r="O293" s="177"/>
      <c r="P293" s="177"/>
      <c r="Q293" s="177"/>
      <c r="R293" s="177"/>
      <c r="S293" s="177"/>
      <c r="T293" s="177"/>
      <c r="U293" s="177"/>
      <c r="V293" s="177"/>
      <c r="W293" s="177"/>
      <c r="X293" s="177"/>
      <c r="Y293" s="177"/>
      <c r="Z293" s="177"/>
      <c r="AA293" s="177"/>
      <c r="AB293" s="178"/>
      <c r="AC293" s="178"/>
      <c r="AD293" s="178"/>
      <c r="AE293" s="178"/>
      <c r="AF293" s="179"/>
      <c r="AG293" s="179"/>
      <c r="AH293" s="179"/>
      <c r="AI293" s="179"/>
      <c r="AJ293" s="179"/>
      <c r="AK293" s="179"/>
      <c r="AL293" s="179"/>
    </row>
    <row r="294" spans="2:38">
      <c r="B294" s="177"/>
      <c r="C294" s="177"/>
      <c r="D294" s="177"/>
      <c r="E294" s="177"/>
      <c r="F294" s="177"/>
      <c r="G294" s="177"/>
      <c r="H294" s="177"/>
      <c r="I294" s="177"/>
      <c r="J294" s="177"/>
      <c r="K294" s="177"/>
      <c r="L294" s="177"/>
      <c r="M294" s="177"/>
      <c r="N294" s="177"/>
      <c r="O294" s="177"/>
      <c r="P294" s="177"/>
      <c r="Q294" s="177"/>
      <c r="R294" s="177"/>
      <c r="S294" s="177"/>
      <c r="T294" s="177"/>
      <c r="U294" s="177"/>
      <c r="V294" s="177"/>
      <c r="W294" s="177"/>
      <c r="X294" s="177"/>
      <c r="Y294" s="177"/>
      <c r="Z294" s="177"/>
      <c r="AA294" s="177"/>
      <c r="AB294" s="178"/>
      <c r="AC294" s="178"/>
      <c r="AD294" s="178"/>
      <c r="AE294" s="178"/>
      <c r="AF294" s="179"/>
      <c r="AG294" s="179"/>
      <c r="AH294" s="179"/>
      <c r="AI294" s="179"/>
      <c r="AJ294" s="179"/>
      <c r="AK294" s="179"/>
      <c r="AL294" s="179"/>
    </row>
    <row r="295" spans="2:38">
      <c r="B295" s="177"/>
      <c r="C295" s="177"/>
      <c r="D295" s="177"/>
      <c r="E295" s="177"/>
      <c r="F295" s="177"/>
      <c r="G295" s="177"/>
      <c r="H295" s="177"/>
      <c r="I295" s="177"/>
      <c r="J295" s="177"/>
      <c r="K295" s="177"/>
      <c r="L295" s="177"/>
      <c r="M295" s="177"/>
      <c r="N295" s="177"/>
      <c r="O295" s="177"/>
      <c r="P295" s="177"/>
      <c r="Q295" s="177"/>
      <c r="R295" s="177"/>
      <c r="S295" s="177"/>
      <c r="T295" s="177"/>
      <c r="U295" s="177"/>
      <c r="V295" s="177"/>
      <c r="W295" s="177"/>
      <c r="X295" s="177"/>
      <c r="Y295" s="177"/>
      <c r="Z295" s="177"/>
      <c r="AA295" s="177"/>
      <c r="AB295" s="178"/>
      <c r="AC295" s="178"/>
      <c r="AD295" s="178"/>
      <c r="AE295" s="178"/>
      <c r="AF295" s="179"/>
      <c r="AG295" s="179"/>
      <c r="AH295" s="179"/>
      <c r="AI295" s="179"/>
      <c r="AJ295" s="179"/>
      <c r="AK295" s="179"/>
      <c r="AL295" s="179"/>
    </row>
    <row r="296" spans="2:38">
      <c r="B296" s="177"/>
      <c r="C296" s="177"/>
      <c r="D296" s="177"/>
      <c r="E296" s="177"/>
      <c r="F296" s="177"/>
      <c r="G296" s="177"/>
      <c r="H296" s="177"/>
      <c r="I296" s="177"/>
      <c r="J296" s="177"/>
      <c r="K296" s="177"/>
      <c r="L296" s="177"/>
      <c r="M296" s="177"/>
      <c r="N296" s="177"/>
      <c r="O296" s="177"/>
      <c r="P296" s="177"/>
      <c r="Q296" s="177"/>
      <c r="R296" s="177"/>
      <c r="S296" s="177"/>
      <c r="T296" s="177"/>
      <c r="U296" s="177"/>
      <c r="V296" s="177"/>
      <c r="W296" s="177"/>
      <c r="X296" s="177"/>
      <c r="Y296" s="177"/>
      <c r="Z296" s="177"/>
      <c r="AA296" s="177"/>
      <c r="AB296" s="178"/>
      <c r="AC296" s="178"/>
      <c r="AD296" s="178"/>
      <c r="AE296" s="178"/>
      <c r="AF296" s="179"/>
      <c r="AG296" s="179"/>
      <c r="AH296" s="179"/>
      <c r="AI296" s="179"/>
      <c r="AJ296" s="179"/>
      <c r="AK296" s="179"/>
      <c r="AL296" s="179"/>
    </row>
    <row r="297" spans="2:38">
      <c r="B297" s="177"/>
      <c r="C297" s="177"/>
      <c r="D297" s="177"/>
      <c r="E297" s="177"/>
      <c r="F297" s="177"/>
      <c r="G297" s="177"/>
      <c r="H297" s="177"/>
      <c r="I297" s="177"/>
      <c r="J297" s="177"/>
      <c r="K297" s="177"/>
      <c r="L297" s="177"/>
      <c r="M297" s="177"/>
      <c r="N297" s="177"/>
      <c r="O297" s="177"/>
      <c r="P297" s="177"/>
      <c r="Q297" s="177"/>
      <c r="R297" s="177"/>
      <c r="S297" s="177"/>
      <c r="T297" s="177"/>
      <c r="U297" s="177"/>
      <c r="V297" s="177"/>
      <c r="W297" s="177"/>
      <c r="X297" s="177"/>
      <c r="Y297" s="177"/>
      <c r="Z297" s="177"/>
      <c r="AA297" s="177"/>
      <c r="AB297" s="178"/>
      <c r="AC297" s="178"/>
      <c r="AD297" s="178"/>
      <c r="AE297" s="178"/>
      <c r="AF297" s="179"/>
      <c r="AG297" s="179"/>
      <c r="AH297" s="179"/>
      <c r="AI297" s="179"/>
      <c r="AJ297" s="179"/>
      <c r="AK297" s="179"/>
      <c r="AL297" s="179"/>
    </row>
    <row r="298" spans="2:38">
      <c r="B298" s="177"/>
      <c r="C298" s="177"/>
      <c r="D298" s="177"/>
      <c r="E298" s="177"/>
      <c r="F298" s="177"/>
      <c r="G298" s="177"/>
      <c r="H298" s="177"/>
      <c r="I298" s="177"/>
      <c r="J298" s="177"/>
      <c r="K298" s="177"/>
      <c r="L298" s="177"/>
      <c r="M298" s="177"/>
      <c r="N298" s="177"/>
      <c r="O298" s="177"/>
      <c r="P298" s="177"/>
      <c r="Q298" s="177"/>
      <c r="R298" s="177"/>
      <c r="S298" s="177"/>
      <c r="T298" s="177"/>
      <c r="U298" s="177"/>
      <c r="V298" s="177"/>
      <c r="W298" s="177"/>
      <c r="X298" s="177"/>
      <c r="Y298" s="177"/>
      <c r="Z298" s="177"/>
      <c r="AA298" s="177"/>
      <c r="AB298" s="178"/>
      <c r="AC298" s="178"/>
      <c r="AD298" s="178"/>
      <c r="AE298" s="178"/>
      <c r="AF298" s="179"/>
      <c r="AG298" s="179"/>
      <c r="AH298" s="179"/>
      <c r="AI298" s="179"/>
      <c r="AJ298" s="179"/>
      <c r="AK298" s="179"/>
      <c r="AL298" s="179"/>
    </row>
    <row r="299" spans="2:38">
      <c r="B299" s="177"/>
      <c r="C299" s="177"/>
      <c r="D299" s="177"/>
      <c r="E299" s="177"/>
      <c r="F299" s="177"/>
      <c r="G299" s="177"/>
      <c r="H299" s="177"/>
      <c r="I299" s="177"/>
      <c r="J299" s="177"/>
      <c r="K299" s="177"/>
      <c r="L299" s="177"/>
      <c r="M299" s="177"/>
      <c r="N299" s="177"/>
      <c r="O299" s="177"/>
      <c r="P299" s="177"/>
      <c r="Q299" s="177"/>
      <c r="R299" s="177"/>
      <c r="S299" s="177"/>
      <c r="T299" s="177"/>
      <c r="U299" s="177"/>
      <c r="V299" s="177"/>
      <c r="W299" s="177"/>
      <c r="X299" s="177"/>
      <c r="Y299" s="177"/>
      <c r="Z299" s="177"/>
      <c r="AA299" s="177"/>
      <c r="AB299" s="178"/>
      <c r="AC299" s="178"/>
      <c r="AD299" s="178"/>
      <c r="AE299" s="178"/>
      <c r="AF299" s="179"/>
      <c r="AG299" s="179"/>
      <c r="AH299" s="179"/>
      <c r="AI299" s="179"/>
      <c r="AJ299" s="179"/>
      <c r="AK299" s="179"/>
      <c r="AL299" s="179"/>
    </row>
    <row r="300" spans="2:38">
      <c r="B300" s="177"/>
      <c r="C300" s="177"/>
      <c r="D300" s="177"/>
      <c r="E300" s="177"/>
      <c r="F300" s="177"/>
      <c r="G300" s="177"/>
      <c r="H300" s="177"/>
      <c r="I300" s="177"/>
      <c r="J300" s="177"/>
      <c r="K300" s="177"/>
      <c r="L300" s="177"/>
      <c r="M300" s="177"/>
      <c r="N300" s="177"/>
      <c r="O300" s="177"/>
      <c r="P300" s="177"/>
      <c r="Q300" s="177"/>
      <c r="R300" s="177"/>
      <c r="S300" s="177"/>
      <c r="T300" s="177"/>
      <c r="U300" s="177"/>
      <c r="V300" s="177"/>
      <c r="W300" s="177"/>
      <c r="X300" s="177"/>
      <c r="Y300" s="177"/>
      <c r="Z300" s="177"/>
      <c r="AA300" s="177"/>
      <c r="AB300" s="178"/>
      <c r="AC300" s="178"/>
      <c r="AD300" s="178"/>
      <c r="AE300" s="178"/>
      <c r="AF300" s="179"/>
      <c r="AG300" s="179"/>
      <c r="AH300" s="179"/>
      <c r="AI300" s="179"/>
      <c r="AJ300" s="179"/>
      <c r="AK300" s="179"/>
      <c r="AL300" s="179"/>
    </row>
    <row r="301" spans="2:38">
      <c r="B301" s="177"/>
      <c r="C301" s="177"/>
      <c r="D301" s="177"/>
      <c r="E301" s="177"/>
      <c r="F301" s="177"/>
      <c r="G301" s="177"/>
      <c r="H301" s="177"/>
      <c r="I301" s="177"/>
      <c r="J301" s="177"/>
      <c r="K301" s="177"/>
      <c r="L301" s="177"/>
      <c r="M301" s="177"/>
      <c r="N301" s="177"/>
      <c r="O301" s="177"/>
      <c r="P301" s="177"/>
      <c r="Q301" s="177"/>
      <c r="R301" s="177"/>
      <c r="S301" s="177"/>
      <c r="T301" s="177"/>
      <c r="U301" s="177"/>
      <c r="V301" s="177"/>
      <c r="W301" s="177"/>
      <c r="X301" s="177"/>
      <c r="Y301" s="177"/>
      <c r="Z301" s="177"/>
      <c r="AA301" s="177"/>
      <c r="AB301" s="178"/>
      <c r="AC301" s="178"/>
      <c r="AD301" s="178"/>
      <c r="AE301" s="178"/>
      <c r="AF301" s="179"/>
      <c r="AG301" s="179"/>
      <c r="AH301" s="179"/>
      <c r="AI301" s="179"/>
      <c r="AJ301" s="179"/>
      <c r="AK301" s="179"/>
      <c r="AL301" s="179"/>
    </row>
    <row r="302" spans="2:38">
      <c r="B302" s="177"/>
      <c r="C302" s="177"/>
      <c r="D302" s="177"/>
      <c r="E302" s="177"/>
      <c r="F302" s="177"/>
      <c r="G302" s="177"/>
      <c r="H302" s="177"/>
      <c r="I302" s="177"/>
      <c r="J302" s="177"/>
      <c r="K302" s="177"/>
      <c r="L302" s="177"/>
      <c r="M302" s="177"/>
      <c r="N302" s="177"/>
      <c r="O302" s="177"/>
      <c r="P302" s="177"/>
      <c r="Q302" s="177"/>
      <c r="R302" s="177"/>
      <c r="S302" s="177"/>
      <c r="T302" s="177"/>
      <c r="U302" s="177"/>
      <c r="V302" s="177"/>
      <c r="W302" s="177"/>
      <c r="X302" s="177"/>
      <c r="Y302" s="177"/>
      <c r="Z302" s="177"/>
      <c r="AA302" s="177"/>
      <c r="AB302" s="178"/>
      <c r="AC302" s="178"/>
      <c r="AD302" s="178"/>
      <c r="AE302" s="178"/>
      <c r="AF302" s="179"/>
      <c r="AG302" s="179"/>
      <c r="AH302" s="179"/>
      <c r="AI302" s="179"/>
      <c r="AJ302" s="179"/>
      <c r="AK302" s="179"/>
      <c r="AL302" s="179"/>
    </row>
    <row r="303" spans="2:38">
      <c r="B303" s="177"/>
      <c r="C303" s="177"/>
      <c r="D303" s="177"/>
      <c r="E303" s="177"/>
      <c r="F303" s="177"/>
      <c r="G303" s="177"/>
      <c r="H303" s="177"/>
      <c r="I303" s="177"/>
      <c r="J303" s="177"/>
      <c r="K303" s="177"/>
      <c r="L303" s="177"/>
      <c r="M303" s="177"/>
      <c r="N303" s="177"/>
      <c r="O303" s="177"/>
      <c r="P303" s="177"/>
      <c r="Q303" s="177"/>
      <c r="R303" s="177"/>
      <c r="S303" s="177"/>
      <c r="T303" s="177"/>
      <c r="U303" s="177"/>
      <c r="V303" s="177"/>
      <c r="W303" s="177"/>
      <c r="X303" s="177"/>
      <c r="Y303" s="177"/>
      <c r="Z303" s="177"/>
      <c r="AA303" s="177"/>
      <c r="AB303" s="178"/>
      <c r="AC303" s="178"/>
      <c r="AD303" s="178"/>
      <c r="AE303" s="178"/>
      <c r="AF303" s="179"/>
      <c r="AG303" s="179"/>
      <c r="AH303" s="179"/>
      <c r="AI303" s="179"/>
      <c r="AJ303" s="179"/>
      <c r="AK303" s="179"/>
      <c r="AL303" s="179"/>
    </row>
    <row r="304" spans="2:38">
      <c r="B304" s="177"/>
      <c r="C304" s="177"/>
      <c r="D304" s="177"/>
      <c r="E304" s="177"/>
      <c r="F304" s="177"/>
      <c r="G304" s="177"/>
      <c r="H304" s="177"/>
      <c r="I304" s="177"/>
      <c r="J304" s="177"/>
      <c r="K304" s="177"/>
      <c r="L304" s="177"/>
      <c r="M304" s="177"/>
      <c r="N304" s="177"/>
      <c r="O304" s="177"/>
      <c r="P304" s="177"/>
      <c r="Q304" s="177"/>
      <c r="R304" s="177"/>
      <c r="S304" s="177"/>
      <c r="T304" s="177"/>
      <c r="U304" s="177"/>
      <c r="V304" s="177"/>
      <c r="W304" s="177"/>
      <c r="X304" s="177"/>
      <c r="Y304" s="177"/>
      <c r="Z304" s="177"/>
      <c r="AA304" s="177"/>
      <c r="AB304" s="178"/>
      <c r="AC304" s="178"/>
      <c r="AD304" s="178"/>
      <c r="AE304" s="178"/>
      <c r="AF304" s="179"/>
      <c r="AG304" s="179"/>
      <c r="AH304" s="179"/>
      <c r="AI304" s="179"/>
      <c r="AJ304" s="179"/>
      <c r="AK304" s="179"/>
      <c r="AL304" s="179"/>
    </row>
    <row r="305" spans="2:38">
      <c r="B305" s="177"/>
      <c r="C305" s="177"/>
      <c r="D305" s="177"/>
      <c r="E305" s="177"/>
      <c r="F305" s="177"/>
      <c r="G305" s="177"/>
      <c r="H305" s="177"/>
      <c r="I305" s="177"/>
      <c r="J305" s="177"/>
      <c r="K305" s="177"/>
      <c r="L305" s="177"/>
      <c r="M305" s="177"/>
      <c r="N305" s="177"/>
      <c r="O305" s="177"/>
      <c r="P305" s="177"/>
      <c r="Q305" s="177"/>
      <c r="R305" s="177"/>
      <c r="S305" s="177"/>
      <c r="T305" s="177"/>
      <c r="U305" s="177"/>
      <c r="V305" s="177"/>
      <c r="W305" s="177"/>
      <c r="X305" s="177"/>
      <c r="Y305" s="177"/>
      <c r="Z305" s="177"/>
      <c r="AA305" s="177"/>
      <c r="AB305" s="178"/>
      <c r="AC305" s="178"/>
      <c r="AD305" s="178"/>
      <c r="AE305" s="178"/>
      <c r="AF305" s="179"/>
      <c r="AG305" s="179"/>
      <c r="AH305" s="179"/>
      <c r="AI305" s="179"/>
      <c r="AJ305" s="179"/>
      <c r="AK305" s="179"/>
      <c r="AL305" s="179"/>
    </row>
    <row r="306" spans="2:38">
      <c r="B306" s="177"/>
      <c r="C306" s="177"/>
      <c r="D306" s="177"/>
      <c r="E306" s="177"/>
      <c r="F306" s="177"/>
      <c r="G306" s="177"/>
      <c r="H306" s="177"/>
      <c r="I306" s="177"/>
      <c r="J306" s="177"/>
      <c r="K306" s="177"/>
      <c r="L306" s="177"/>
      <c r="M306" s="177"/>
      <c r="N306" s="177"/>
      <c r="O306" s="177"/>
      <c r="P306" s="177"/>
      <c r="Q306" s="177"/>
      <c r="R306" s="177"/>
      <c r="S306" s="177"/>
      <c r="T306" s="177"/>
      <c r="U306" s="177"/>
      <c r="V306" s="177"/>
      <c r="W306" s="177"/>
      <c r="X306" s="177"/>
      <c r="Y306" s="177"/>
      <c r="Z306" s="177"/>
      <c r="AA306" s="177"/>
      <c r="AB306" s="178"/>
      <c r="AC306" s="178"/>
      <c r="AD306" s="178"/>
      <c r="AE306" s="178"/>
      <c r="AF306" s="179"/>
      <c r="AG306" s="179"/>
      <c r="AH306" s="179"/>
      <c r="AI306" s="179"/>
      <c r="AJ306" s="179"/>
      <c r="AK306" s="179"/>
      <c r="AL306" s="179"/>
    </row>
    <row r="307" spans="2:38">
      <c r="B307" s="177"/>
      <c r="C307" s="177"/>
      <c r="D307" s="177"/>
      <c r="E307" s="177"/>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8"/>
      <c r="AC307" s="178"/>
      <c r="AD307" s="178"/>
      <c r="AE307" s="178"/>
      <c r="AF307" s="179"/>
      <c r="AG307" s="179"/>
      <c r="AH307" s="179"/>
      <c r="AI307" s="179"/>
      <c r="AJ307" s="179"/>
      <c r="AK307" s="179"/>
      <c r="AL307" s="179"/>
    </row>
    <row r="308" spans="2:38">
      <c r="B308" s="177"/>
      <c r="C308" s="177"/>
      <c r="D308" s="177"/>
      <c r="E308" s="177"/>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8"/>
      <c r="AC308" s="178"/>
      <c r="AD308" s="178"/>
      <c r="AE308" s="178"/>
      <c r="AF308" s="179"/>
      <c r="AG308" s="179"/>
      <c r="AH308" s="179"/>
      <c r="AI308" s="179"/>
      <c r="AJ308" s="179"/>
      <c r="AK308" s="179"/>
      <c r="AL308" s="179"/>
    </row>
    <row r="309" spans="2:38">
      <c r="B309" s="177"/>
      <c r="C309" s="177"/>
      <c r="D309" s="177"/>
      <c r="E309" s="177"/>
      <c r="F309" s="177"/>
      <c r="G309" s="177"/>
      <c r="H309" s="177"/>
      <c r="I309" s="177"/>
      <c r="J309" s="177"/>
      <c r="K309" s="177"/>
      <c r="L309" s="177"/>
      <c r="M309" s="177"/>
      <c r="N309" s="177"/>
      <c r="O309" s="177"/>
      <c r="P309" s="177"/>
      <c r="Q309" s="177"/>
      <c r="R309" s="177"/>
      <c r="S309" s="177"/>
      <c r="T309" s="177"/>
      <c r="U309" s="177"/>
      <c r="V309" s="177"/>
      <c r="W309" s="177"/>
      <c r="X309" s="177"/>
      <c r="Y309" s="177"/>
      <c r="Z309" s="177"/>
      <c r="AA309" s="177"/>
      <c r="AB309" s="178"/>
      <c r="AC309" s="178"/>
      <c r="AD309" s="178"/>
      <c r="AE309" s="178"/>
      <c r="AF309" s="179"/>
      <c r="AG309" s="179"/>
      <c r="AH309" s="179"/>
      <c r="AI309" s="179"/>
      <c r="AJ309" s="179"/>
      <c r="AK309" s="179"/>
      <c r="AL309" s="179"/>
    </row>
    <row r="310" spans="2:38">
      <c r="B310" s="177"/>
      <c r="C310" s="177"/>
      <c r="D310" s="177"/>
      <c r="E310" s="177"/>
      <c r="F310" s="177"/>
      <c r="G310" s="177"/>
      <c r="H310" s="177"/>
      <c r="I310" s="177"/>
      <c r="J310" s="177"/>
      <c r="K310" s="177"/>
      <c r="L310" s="177"/>
      <c r="M310" s="177"/>
      <c r="N310" s="177"/>
      <c r="O310" s="177"/>
      <c r="P310" s="177"/>
      <c r="Q310" s="177"/>
      <c r="R310" s="177"/>
      <c r="S310" s="177"/>
      <c r="T310" s="177"/>
      <c r="U310" s="177"/>
      <c r="V310" s="177"/>
      <c r="W310" s="177"/>
      <c r="X310" s="177"/>
      <c r="Y310" s="177"/>
      <c r="Z310" s="177"/>
      <c r="AA310" s="177"/>
      <c r="AB310" s="178"/>
      <c r="AC310" s="178"/>
      <c r="AD310" s="178"/>
      <c r="AE310" s="178"/>
      <c r="AF310" s="179"/>
      <c r="AG310" s="179"/>
      <c r="AH310" s="179"/>
      <c r="AI310" s="179"/>
      <c r="AJ310" s="179"/>
      <c r="AK310" s="179"/>
      <c r="AL310" s="179"/>
    </row>
    <row r="311" spans="2:38">
      <c r="B311" s="177"/>
      <c r="C311" s="177"/>
      <c r="D311" s="177"/>
      <c r="E311" s="177"/>
      <c r="F311" s="177"/>
      <c r="G311" s="177"/>
      <c r="H311" s="177"/>
      <c r="I311" s="177"/>
      <c r="J311" s="177"/>
      <c r="K311" s="177"/>
      <c r="L311" s="177"/>
      <c r="M311" s="177"/>
      <c r="N311" s="177"/>
      <c r="O311" s="177"/>
      <c r="P311" s="177"/>
      <c r="Q311" s="177"/>
      <c r="R311" s="177"/>
      <c r="S311" s="177"/>
      <c r="T311" s="177"/>
      <c r="U311" s="177"/>
      <c r="V311" s="177"/>
      <c r="W311" s="177"/>
      <c r="X311" s="177"/>
      <c r="Y311" s="177"/>
      <c r="Z311" s="177"/>
      <c r="AA311" s="177"/>
      <c r="AB311" s="178"/>
      <c r="AC311" s="178"/>
      <c r="AD311" s="178"/>
      <c r="AE311" s="178"/>
      <c r="AF311" s="179"/>
      <c r="AG311" s="179"/>
      <c r="AH311" s="179"/>
      <c r="AI311" s="179"/>
      <c r="AJ311" s="179"/>
      <c r="AK311" s="179"/>
      <c r="AL311" s="179"/>
    </row>
    <row r="312" spans="2:38">
      <c r="B312" s="177"/>
      <c r="C312" s="177"/>
      <c r="D312" s="177"/>
      <c r="E312" s="177"/>
      <c r="F312" s="177"/>
      <c r="G312" s="177"/>
      <c r="H312" s="177"/>
      <c r="I312" s="177"/>
      <c r="J312" s="177"/>
      <c r="K312" s="177"/>
      <c r="L312" s="177"/>
      <c r="M312" s="177"/>
      <c r="N312" s="177"/>
      <c r="O312" s="177"/>
      <c r="P312" s="177"/>
      <c r="Q312" s="177"/>
      <c r="R312" s="177"/>
      <c r="S312" s="177"/>
      <c r="T312" s="177"/>
      <c r="U312" s="177"/>
      <c r="V312" s="177"/>
      <c r="W312" s="177"/>
      <c r="X312" s="177"/>
      <c r="Y312" s="177"/>
      <c r="Z312" s="177"/>
      <c r="AA312" s="177"/>
      <c r="AB312" s="178"/>
      <c r="AC312" s="178"/>
      <c r="AD312" s="178"/>
      <c r="AE312" s="178"/>
      <c r="AF312" s="179"/>
      <c r="AG312" s="179"/>
      <c r="AH312" s="179"/>
      <c r="AI312" s="179"/>
      <c r="AJ312" s="179"/>
      <c r="AK312" s="179"/>
      <c r="AL312" s="179"/>
    </row>
    <row r="313" spans="2:38">
      <c r="B313" s="177"/>
      <c r="C313" s="177"/>
      <c r="D313" s="177"/>
      <c r="E313" s="177"/>
      <c r="F313" s="177"/>
      <c r="G313" s="177"/>
      <c r="H313" s="177"/>
      <c r="I313" s="177"/>
      <c r="J313" s="177"/>
      <c r="K313" s="177"/>
      <c r="L313" s="177"/>
      <c r="M313" s="177"/>
      <c r="N313" s="177"/>
      <c r="O313" s="177"/>
      <c r="P313" s="177"/>
      <c r="Q313" s="177"/>
      <c r="R313" s="177"/>
      <c r="S313" s="177"/>
      <c r="T313" s="177"/>
      <c r="U313" s="177"/>
      <c r="V313" s="177"/>
      <c r="W313" s="177"/>
      <c r="X313" s="177"/>
      <c r="Y313" s="177"/>
      <c r="Z313" s="177"/>
      <c r="AA313" s="177"/>
      <c r="AB313" s="178"/>
      <c r="AC313" s="178"/>
      <c r="AD313" s="178"/>
      <c r="AE313" s="178"/>
      <c r="AF313" s="179"/>
      <c r="AG313" s="179"/>
      <c r="AH313" s="179"/>
      <c r="AI313" s="179"/>
      <c r="AJ313" s="179"/>
      <c r="AK313" s="179"/>
      <c r="AL313" s="179"/>
    </row>
    <row r="314" spans="2:38">
      <c r="B314" s="177"/>
      <c r="C314" s="177"/>
      <c r="D314" s="177"/>
      <c r="E314" s="177"/>
      <c r="F314" s="177"/>
      <c r="G314" s="177"/>
      <c r="H314" s="177"/>
      <c r="I314" s="177"/>
      <c r="J314" s="177"/>
      <c r="K314" s="177"/>
      <c r="L314" s="177"/>
      <c r="M314" s="177"/>
      <c r="N314" s="177"/>
      <c r="O314" s="177"/>
      <c r="P314" s="177"/>
      <c r="Q314" s="177"/>
      <c r="R314" s="177"/>
      <c r="S314" s="177"/>
      <c r="T314" s="177"/>
      <c r="U314" s="177"/>
      <c r="V314" s="177"/>
      <c r="W314" s="177"/>
      <c r="X314" s="177"/>
      <c r="Y314" s="177"/>
      <c r="Z314" s="177"/>
      <c r="AA314" s="177"/>
      <c r="AB314" s="178"/>
      <c r="AC314" s="178"/>
      <c r="AD314" s="178"/>
      <c r="AE314" s="178"/>
      <c r="AF314" s="179"/>
      <c r="AG314" s="179"/>
      <c r="AH314" s="179"/>
      <c r="AI314" s="179"/>
      <c r="AJ314" s="179"/>
      <c r="AK314" s="179"/>
      <c r="AL314" s="179"/>
    </row>
    <row r="315" spans="2:38">
      <c r="B315" s="177"/>
      <c r="C315" s="177"/>
      <c r="D315" s="177"/>
      <c r="E315" s="177"/>
      <c r="F315" s="177"/>
      <c r="G315" s="177"/>
      <c r="H315" s="177"/>
      <c r="I315" s="177"/>
      <c r="J315" s="177"/>
      <c r="K315" s="177"/>
      <c r="L315" s="177"/>
      <c r="M315" s="177"/>
      <c r="N315" s="177"/>
      <c r="O315" s="177"/>
      <c r="P315" s="177"/>
      <c r="Q315" s="177"/>
      <c r="R315" s="177"/>
      <c r="S315" s="177"/>
      <c r="T315" s="177"/>
      <c r="U315" s="177"/>
      <c r="V315" s="177"/>
      <c r="W315" s="177"/>
      <c r="X315" s="177"/>
      <c r="Y315" s="177"/>
      <c r="Z315" s="177"/>
      <c r="AA315" s="177"/>
      <c r="AB315" s="178"/>
      <c r="AC315" s="178"/>
      <c r="AD315" s="178"/>
      <c r="AE315" s="178"/>
      <c r="AF315" s="179"/>
      <c r="AG315" s="179"/>
      <c r="AH315" s="179"/>
      <c r="AI315" s="179"/>
      <c r="AJ315" s="179"/>
      <c r="AK315" s="179"/>
      <c r="AL315" s="179"/>
    </row>
    <row r="316" spans="2:38">
      <c r="B316" s="177"/>
      <c r="C316" s="177"/>
      <c r="D316" s="177"/>
      <c r="E316" s="177"/>
      <c r="F316" s="177"/>
      <c r="G316" s="177"/>
      <c r="H316" s="177"/>
      <c r="I316" s="177"/>
      <c r="J316" s="177"/>
      <c r="K316" s="177"/>
      <c r="L316" s="177"/>
      <c r="M316" s="177"/>
      <c r="N316" s="177"/>
      <c r="O316" s="177"/>
      <c r="P316" s="177"/>
      <c r="Q316" s="177"/>
      <c r="R316" s="177"/>
      <c r="S316" s="177"/>
      <c r="T316" s="177"/>
      <c r="U316" s="177"/>
      <c r="V316" s="177"/>
      <c r="W316" s="177"/>
      <c r="X316" s="177"/>
      <c r="Y316" s="177"/>
      <c r="Z316" s="177"/>
      <c r="AA316" s="177"/>
      <c r="AB316" s="178"/>
      <c r="AC316" s="178"/>
      <c r="AD316" s="178"/>
      <c r="AE316" s="178"/>
      <c r="AF316" s="179"/>
      <c r="AG316" s="179"/>
      <c r="AH316" s="179"/>
      <c r="AI316" s="179"/>
      <c r="AJ316" s="179"/>
      <c r="AK316" s="179"/>
      <c r="AL316" s="179"/>
    </row>
    <row r="317" spans="2:38">
      <c r="B317" s="177"/>
      <c r="C317" s="177"/>
      <c r="D317" s="177"/>
      <c r="E317" s="177"/>
      <c r="F317" s="177"/>
      <c r="G317" s="177"/>
      <c r="H317" s="177"/>
      <c r="I317" s="177"/>
      <c r="J317" s="177"/>
      <c r="K317" s="177"/>
      <c r="L317" s="177"/>
      <c r="M317" s="177"/>
      <c r="N317" s="177"/>
      <c r="O317" s="177"/>
      <c r="P317" s="177"/>
      <c r="Q317" s="177"/>
      <c r="R317" s="177"/>
      <c r="S317" s="177"/>
      <c r="T317" s="177"/>
      <c r="U317" s="177"/>
      <c r="V317" s="177"/>
      <c r="W317" s="177"/>
      <c r="X317" s="177"/>
      <c r="Y317" s="177"/>
      <c r="Z317" s="177"/>
      <c r="AA317" s="177"/>
      <c r="AB317" s="178"/>
      <c r="AC317" s="178"/>
      <c r="AD317" s="178"/>
      <c r="AE317" s="178"/>
      <c r="AF317" s="179"/>
      <c r="AG317" s="179"/>
      <c r="AH317" s="179"/>
      <c r="AI317" s="179"/>
      <c r="AJ317" s="179"/>
      <c r="AK317" s="179"/>
      <c r="AL317" s="179"/>
    </row>
    <row r="318" spans="2:38">
      <c r="B318" s="177"/>
      <c r="C318" s="177"/>
      <c r="D318" s="177"/>
      <c r="E318" s="177"/>
      <c r="F318" s="177"/>
      <c r="G318" s="177"/>
      <c r="H318" s="177"/>
      <c r="I318" s="177"/>
      <c r="J318" s="177"/>
      <c r="K318" s="177"/>
      <c r="L318" s="177"/>
      <c r="M318" s="177"/>
      <c r="N318" s="177"/>
      <c r="O318" s="177"/>
      <c r="P318" s="177"/>
      <c r="Q318" s="177"/>
      <c r="R318" s="177"/>
      <c r="S318" s="177"/>
      <c r="T318" s="177"/>
      <c r="U318" s="177"/>
      <c r="V318" s="177"/>
      <c r="W318" s="177"/>
      <c r="X318" s="177"/>
      <c r="Y318" s="177"/>
      <c r="Z318" s="177"/>
      <c r="AA318" s="177"/>
      <c r="AB318" s="178"/>
      <c r="AC318" s="178"/>
      <c r="AD318" s="178"/>
      <c r="AE318" s="178"/>
      <c r="AF318" s="179"/>
      <c r="AG318" s="179"/>
      <c r="AH318" s="179"/>
      <c r="AI318" s="179"/>
      <c r="AJ318" s="179"/>
      <c r="AK318" s="179"/>
      <c r="AL318" s="179"/>
    </row>
    <row r="319" spans="2:38">
      <c r="B319" s="177"/>
      <c r="C319" s="177"/>
      <c r="D319" s="177"/>
      <c r="E319" s="177"/>
      <c r="F319" s="177"/>
      <c r="G319" s="177"/>
      <c r="H319" s="177"/>
      <c r="I319" s="177"/>
      <c r="J319" s="177"/>
      <c r="K319" s="177"/>
      <c r="L319" s="177"/>
      <c r="M319" s="177"/>
      <c r="N319" s="177"/>
      <c r="O319" s="177"/>
      <c r="P319" s="177"/>
      <c r="Q319" s="177"/>
      <c r="R319" s="177"/>
      <c r="S319" s="177"/>
      <c r="T319" s="177"/>
      <c r="U319" s="177"/>
      <c r="V319" s="177"/>
      <c r="W319" s="177"/>
      <c r="X319" s="177"/>
      <c r="Y319" s="177"/>
      <c r="Z319" s="177"/>
      <c r="AA319" s="177"/>
      <c r="AB319" s="178"/>
      <c r="AC319" s="178"/>
      <c r="AD319" s="178"/>
      <c r="AE319" s="178"/>
      <c r="AF319" s="179"/>
      <c r="AG319" s="179"/>
      <c r="AH319" s="179"/>
      <c r="AI319" s="179"/>
      <c r="AJ319" s="179"/>
      <c r="AK319" s="179"/>
      <c r="AL319" s="179"/>
    </row>
    <row r="320" spans="2:38">
      <c r="B320" s="177"/>
      <c r="C320" s="177"/>
      <c r="D320" s="177"/>
      <c r="E320" s="177"/>
      <c r="F320" s="177"/>
      <c r="G320" s="177"/>
      <c r="H320" s="177"/>
      <c r="I320" s="177"/>
      <c r="J320" s="177"/>
      <c r="K320" s="177"/>
      <c r="L320" s="177"/>
      <c r="M320" s="177"/>
      <c r="N320" s="177"/>
      <c r="O320" s="177"/>
      <c r="P320" s="177"/>
      <c r="Q320" s="177"/>
      <c r="R320" s="177"/>
      <c r="S320" s="177"/>
      <c r="T320" s="177"/>
      <c r="U320" s="177"/>
      <c r="V320" s="177"/>
      <c r="W320" s="177"/>
      <c r="X320" s="177"/>
      <c r="Y320" s="177"/>
      <c r="Z320" s="177"/>
      <c r="AA320" s="177"/>
      <c r="AB320" s="178"/>
      <c r="AC320" s="178"/>
      <c r="AD320" s="178"/>
      <c r="AE320" s="178"/>
      <c r="AF320" s="179"/>
      <c r="AG320" s="179"/>
      <c r="AH320" s="179"/>
      <c r="AI320" s="179"/>
      <c r="AJ320" s="179"/>
      <c r="AK320" s="179"/>
      <c r="AL320" s="179"/>
    </row>
    <row r="321" spans="2:38">
      <c r="B321" s="177"/>
      <c r="C321" s="177"/>
      <c r="D321" s="177"/>
      <c r="E321" s="177"/>
      <c r="F321" s="177"/>
      <c r="G321" s="177"/>
      <c r="H321" s="177"/>
      <c r="I321" s="177"/>
      <c r="J321" s="177"/>
      <c r="K321" s="177"/>
      <c r="L321" s="177"/>
      <c r="M321" s="177"/>
      <c r="N321" s="177"/>
      <c r="O321" s="177"/>
      <c r="P321" s="177"/>
      <c r="Q321" s="177"/>
      <c r="R321" s="177"/>
      <c r="S321" s="177"/>
      <c r="T321" s="177"/>
      <c r="U321" s="177"/>
      <c r="V321" s="177"/>
      <c r="W321" s="177"/>
      <c r="X321" s="177"/>
      <c r="Y321" s="177"/>
      <c r="Z321" s="177"/>
      <c r="AA321" s="177"/>
      <c r="AB321" s="178"/>
      <c r="AC321" s="178"/>
      <c r="AD321" s="178"/>
      <c r="AE321" s="178"/>
      <c r="AF321" s="179"/>
      <c r="AG321" s="179"/>
      <c r="AH321" s="179"/>
      <c r="AI321" s="179"/>
      <c r="AJ321" s="179"/>
      <c r="AK321" s="179"/>
      <c r="AL321" s="179"/>
    </row>
    <row r="322" spans="2:38">
      <c r="B322" s="177"/>
      <c r="C322" s="177"/>
      <c r="D322" s="177"/>
      <c r="E322" s="177"/>
      <c r="F322" s="177"/>
      <c r="G322" s="177"/>
      <c r="H322" s="177"/>
      <c r="I322" s="177"/>
      <c r="J322" s="177"/>
      <c r="K322" s="177"/>
      <c r="L322" s="177"/>
      <c r="M322" s="177"/>
      <c r="N322" s="177"/>
      <c r="O322" s="177"/>
      <c r="P322" s="177"/>
      <c r="Q322" s="177"/>
      <c r="R322" s="177"/>
      <c r="S322" s="177"/>
      <c r="T322" s="177"/>
      <c r="U322" s="177"/>
      <c r="V322" s="177"/>
      <c r="W322" s="177"/>
      <c r="X322" s="177"/>
      <c r="Y322" s="177"/>
      <c r="Z322" s="177"/>
      <c r="AA322" s="177"/>
      <c r="AB322" s="178"/>
      <c r="AC322" s="178"/>
      <c r="AD322" s="178"/>
      <c r="AE322" s="178"/>
      <c r="AF322" s="179"/>
      <c r="AG322" s="179"/>
      <c r="AH322" s="179"/>
      <c r="AI322" s="179"/>
      <c r="AJ322" s="179"/>
      <c r="AK322" s="179"/>
      <c r="AL322" s="179"/>
    </row>
    <row r="323" spans="2:38">
      <c r="B323" s="177"/>
      <c r="C323" s="177"/>
      <c r="D323" s="177"/>
      <c r="E323" s="177"/>
      <c r="F323" s="177"/>
      <c r="G323" s="177"/>
      <c r="H323" s="177"/>
      <c r="I323" s="177"/>
      <c r="J323" s="177"/>
      <c r="K323" s="177"/>
      <c r="L323" s="177"/>
      <c r="M323" s="177"/>
      <c r="N323" s="177"/>
      <c r="O323" s="177"/>
      <c r="P323" s="177"/>
      <c r="Q323" s="177"/>
      <c r="R323" s="177"/>
      <c r="S323" s="177"/>
      <c r="T323" s="177"/>
      <c r="U323" s="177"/>
      <c r="V323" s="177"/>
      <c r="W323" s="177"/>
      <c r="X323" s="177"/>
      <c r="Y323" s="177"/>
      <c r="Z323" s="177"/>
      <c r="AA323" s="177"/>
      <c r="AB323" s="178"/>
      <c r="AC323" s="178"/>
      <c r="AD323" s="178"/>
      <c r="AE323" s="178"/>
      <c r="AF323" s="179"/>
      <c r="AG323" s="179"/>
      <c r="AH323" s="179"/>
      <c r="AI323" s="179"/>
      <c r="AJ323" s="179"/>
      <c r="AK323" s="179"/>
      <c r="AL323" s="179"/>
    </row>
    <row r="324" spans="2:38">
      <c r="B324" s="177"/>
      <c r="C324" s="177"/>
      <c r="D324" s="177"/>
      <c r="E324" s="177"/>
      <c r="F324" s="177"/>
      <c r="G324" s="177"/>
      <c r="H324" s="177"/>
      <c r="I324" s="177"/>
      <c r="J324" s="177"/>
      <c r="K324" s="177"/>
      <c r="L324" s="177"/>
      <c r="M324" s="177"/>
      <c r="N324" s="177"/>
      <c r="O324" s="177"/>
      <c r="P324" s="177"/>
      <c r="Q324" s="177"/>
      <c r="R324" s="177"/>
      <c r="S324" s="177"/>
      <c r="T324" s="177"/>
      <c r="U324" s="177"/>
      <c r="V324" s="177"/>
      <c r="W324" s="177"/>
      <c r="X324" s="177"/>
      <c r="Y324" s="177"/>
      <c r="Z324" s="177"/>
      <c r="AA324" s="177"/>
      <c r="AB324" s="178"/>
      <c r="AC324" s="178"/>
      <c r="AD324" s="178"/>
      <c r="AE324" s="178"/>
      <c r="AF324" s="179"/>
      <c r="AG324" s="179"/>
      <c r="AH324" s="179"/>
      <c r="AI324" s="179"/>
      <c r="AJ324" s="179"/>
      <c r="AK324" s="179"/>
      <c r="AL324" s="179"/>
    </row>
    <row r="325" spans="2:38">
      <c r="B325" s="177"/>
      <c r="C325" s="177"/>
      <c r="D325" s="177"/>
      <c r="E325" s="177"/>
      <c r="F325" s="177"/>
      <c r="G325" s="177"/>
      <c r="H325" s="177"/>
      <c r="I325" s="177"/>
      <c r="J325" s="177"/>
      <c r="K325" s="177"/>
      <c r="L325" s="177"/>
      <c r="M325" s="177"/>
      <c r="N325" s="177"/>
      <c r="O325" s="177"/>
      <c r="P325" s="177"/>
      <c r="Q325" s="177"/>
      <c r="R325" s="177"/>
      <c r="S325" s="177"/>
      <c r="T325" s="177"/>
      <c r="U325" s="177"/>
      <c r="V325" s="177"/>
      <c r="W325" s="177"/>
      <c r="X325" s="177"/>
      <c r="Y325" s="177"/>
      <c r="Z325" s="177"/>
      <c r="AA325" s="177"/>
      <c r="AB325" s="178"/>
      <c r="AC325" s="178"/>
      <c r="AD325" s="178"/>
      <c r="AE325" s="178"/>
      <c r="AF325" s="179"/>
      <c r="AG325" s="179"/>
      <c r="AH325" s="179"/>
      <c r="AI325" s="179"/>
      <c r="AJ325" s="179"/>
      <c r="AK325" s="179"/>
      <c r="AL325" s="179"/>
    </row>
    <row r="326" spans="2:38">
      <c r="B326" s="177"/>
      <c r="C326" s="177"/>
      <c r="D326" s="177"/>
      <c r="E326" s="177"/>
      <c r="F326" s="177"/>
      <c r="G326" s="177"/>
      <c r="H326" s="177"/>
      <c r="I326" s="177"/>
      <c r="J326" s="177"/>
      <c r="K326" s="177"/>
      <c r="L326" s="177"/>
      <c r="M326" s="177"/>
      <c r="N326" s="177"/>
      <c r="O326" s="177"/>
      <c r="P326" s="177"/>
      <c r="Q326" s="177"/>
      <c r="R326" s="177"/>
      <c r="S326" s="177"/>
      <c r="T326" s="177"/>
      <c r="U326" s="177"/>
      <c r="V326" s="177"/>
      <c r="W326" s="177"/>
      <c r="X326" s="177"/>
      <c r="Y326" s="177"/>
      <c r="Z326" s="177"/>
      <c r="AA326" s="177"/>
      <c r="AB326" s="178"/>
      <c r="AC326" s="178"/>
      <c r="AD326" s="178"/>
      <c r="AE326" s="178"/>
      <c r="AF326" s="179"/>
      <c r="AG326" s="179"/>
      <c r="AH326" s="179"/>
      <c r="AI326" s="179"/>
      <c r="AJ326" s="179"/>
      <c r="AK326" s="179"/>
      <c r="AL326" s="179"/>
    </row>
    <row r="327" spans="2:38">
      <c r="B327" s="177"/>
      <c r="C327" s="177"/>
      <c r="D327" s="177"/>
      <c r="E327" s="177"/>
      <c r="F327" s="177"/>
      <c r="G327" s="177"/>
      <c r="H327" s="177"/>
      <c r="I327" s="177"/>
      <c r="J327" s="177"/>
      <c r="K327" s="177"/>
      <c r="L327" s="177"/>
      <c r="M327" s="177"/>
      <c r="N327" s="177"/>
      <c r="O327" s="177"/>
      <c r="P327" s="177"/>
      <c r="Q327" s="177"/>
      <c r="R327" s="177"/>
      <c r="S327" s="177"/>
      <c r="T327" s="177"/>
      <c r="U327" s="177"/>
      <c r="V327" s="177"/>
      <c r="W327" s="177"/>
      <c r="X327" s="177"/>
      <c r="Y327" s="177"/>
      <c r="Z327" s="177"/>
      <c r="AA327" s="177"/>
      <c r="AB327" s="178"/>
      <c r="AC327" s="178"/>
      <c r="AD327" s="178"/>
      <c r="AE327" s="178"/>
      <c r="AF327" s="179"/>
      <c r="AG327" s="179"/>
      <c r="AH327" s="179"/>
      <c r="AI327" s="179"/>
      <c r="AJ327" s="179"/>
      <c r="AK327" s="179"/>
      <c r="AL327" s="179"/>
    </row>
    <row r="328" spans="2:38">
      <c r="B328" s="177"/>
      <c r="C328" s="177"/>
      <c r="D328" s="177"/>
      <c r="E328" s="177"/>
      <c r="F328" s="177"/>
      <c r="G328" s="177"/>
      <c r="H328" s="177"/>
      <c r="I328" s="177"/>
      <c r="J328" s="177"/>
      <c r="K328" s="177"/>
      <c r="L328" s="177"/>
      <c r="M328" s="177"/>
      <c r="N328" s="177"/>
      <c r="O328" s="177"/>
      <c r="P328" s="177"/>
      <c r="Q328" s="177"/>
      <c r="R328" s="177"/>
      <c r="S328" s="177"/>
      <c r="T328" s="177"/>
      <c r="U328" s="177"/>
      <c r="V328" s="177"/>
      <c r="W328" s="177"/>
      <c r="X328" s="177"/>
      <c r="Y328" s="177"/>
      <c r="Z328" s="177"/>
      <c r="AA328" s="177"/>
      <c r="AB328" s="178"/>
      <c r="AC328" s="178"/>
      <c r="AD328" s="178"/>
      <c r="AE328" s="178"/>
      <c r="AF328" s="179"/>
      <c r="AG328" s="179"/>
      <c r="AH328" s="179"/>
      <c r="AI328" s="179"/>
      <c r="AJ328" s="179"/>
      <c r="AK328" s="179"/>
      <c r="AL328" s="179"/>
    </row>
    <row r="329" spans="2:38">
      <c r="B329" s="177"/>
      <c r="C329" s="177"/>
      <c r="D329" s="177"/>
      <c r="E329" s="177"/>
      <c r="F329" s="177"/>
      <c r="G329" s="177"/>
      <c r="H329" s="177"/>
      <c r="I329" s="177"/>
      <c r="J329" s="177"/>
      <c r="K329" s="177"/>
      <c r="L329" s="177"/>
      <c r="M329" s="177"/>
      <c r="N329" s="177"/>
      <c r="O329" s="177"/>
      <c r="P329" s="177"/>
      <c r="Q329" s="177"/>
      <c r="R329" s="177"/>
      <c r="S329" s="177"/>
      <c r="T329" s="177"/>
      <c r="U329" s="177"/>
      <c r="V329" s="177"/>
      <c r="W329" s="177"/>
      <c r="X329" s="177"/>
      <c r="Y329" s="177"/>
      <c r="Z329" s="177"/>
      <c r="AA329" s="177"/>
      <c r="AB329" s="178"/>
      <c r="AC329" s="178"/>
      <c r="AD329" s="178"/>
      <c r="AE329" s="178"/>
      <c r="AF329" s="179"/>
      <c r="AG329" s="179"/>
      <c r="AH329" s="179"/>
      <c r="AI329" s="179"/>
      <c r="AJ329" s="179"/>
      <c r="AK329" s="179"/>
      <c r="AL329" s="179"/>
    </row>
    <row r="330" spans="2:38">
      <c r="B330" s="177"/>
      <c r="C330" s="177"/>
      <c r="D330" s="177"/>
      <c r="E330" s="177"/>
      <c r="F330" s="177"/>
      <c r="G330" s="177"/>
      <c r="H330" s="177"/>
      <c r="I330" s="177"/>
      <c r="J330" s="177"/>
      <c r="K330" s="177"/>
      <c r="L330" s="177"/>
      <c r="M330" s="177"/>
      <c r="N330" s="177"/>
      <c r="O330" s="177"/>
      <c r="P330" s="177"/>
      <c r="Q330" s="177"/>
      <c r="R330" s="177"/>
      <c r="S330" s="177"/>
      <c r="T330" s="177"/>
      <c r="U330" s="177"/>
      <c r="V330" s="177"/>
      <c r="W330" s="177"/>
      <c r="X330" s="177"/>
      <c r="Y330" s="177"/>
      <c r="Z330" s="177"/>
      <c r="AA330" s="177"/>
      <c r="AB330" s="178"/>
      <c r="AC330" s="178"/>
      <c r="AD330" s="178"/>
      <c r="AE330" s="178"/>
      <c r="AF330" s="179"/>
      <c r="AG330" s="179"/>
      <c r="AH330" s="179"/>
      <c r="AI330" s="179"/>
      <c r="AJ330" s="179"/>
      <c r="AK330" s="179"/>
      <c r="AL330" s="179"/>
    </row>
    <row r="331" spans="2:38">
      <c r="B331" s="177"/>
      <c r="C331" s="177"/>
      <c r="D331" s="177"/>
      <c r="E331" s="177"/>
      <c r="F331" s="177"/>
      <c r="G331" s="177"/>
      <c r="H331" s="177"/>
      <c r="I331" s="177"/>
      <c r="J331" s="177"/>
      <c r="K331" s="177"/>
      <c r="L331" s="177"/>
      <c r="M331" s="177"/>
      <c r="N331" s="177"/>
      <c r="O331" s="177"/>
      <c r="P331" s="177"/>
      <c r="Q331" s="177"/>
      <c r="R331" s="177"/>
      <c r="S331" s="177"/>
      <c r="T331" s="177"/>
      <c r="U331" s="177"/>
      <c r="V331" s="177"/>
      <c r="W331" s="177"/>
      <c r="X331" s="177"/>
      <c r="Y331" s="177"/>
      <c r="Z331" s="177"/>
      <c r="AA331" s="177"/>
      <c r="AB331" s="178"/>
      <c r="AC331" s="178"/>
      <c r="AD331" s="178"/>
      <c r="AE331" s="178"/>
      <c r="AF331" s="179"/>
      <c r="AG331" s="179"/>
      <c r="AH331" s="179"/>
      <c r="AI331" s="179"/>
      <c r="AJ331" s="179"/>
      <c r="AK331" s="179"/>
      <c r="AL331" s="179"/>
    </row>
    <row r="332" spans="2:38">
      <c r="B332" s="177"/>
      <c r="C332" s="177"/>
      <c r="D332" s="177"/>
      <c r="E332" s="177"/>
      <c r="F332" s="177"/>
      <c r="G332" s="177"/>
      <c r="H332" s="177"/>
      <c r="I332" s="177"/>
      <c r="J332" s="177"/>
      <c r="K332" s="177"/>
      <c r="L332" s="177"/>
      <c r="M332" s="177"/>
      <c r="N332" s="177"/>
      <c r="O332" s="177"/>
      <c r="P332" s="177"/>
      <c r="Q332" s="177"/>
      <c r="R332" s="177"/>
      <c r="S332" s="177"/>
      <c r="T332" s="177"/>
      <c r="U332" s="177"/>
      <c r="V332" s="177"/>
      <c r="W332" s="177"/>
      <c r="X332" s="177"/>
      <c r="Y332" s="177"/>
      <c r="Z332" s="177"/>
      <c r="AA332" s="177"/>
      <c r="AB332" s="178"/>
      <c r="AC332" s="178"/>
      <c r="AD332" s="178"/>
      <c r="AE332" s="178"/>
      <c r="AF332" s="179"/>
      <c r="AG332" s="179"/>
      <c r="AH332" s="179"/>
      <c r="AI332" s="179"/>
      <c r="AJ332" s="179"/>
      <c r="AK332" s="179"/>
      <c r="AL332" s="179"/>
    </row>
    <row r="333" spans="2:38">
      <c r="B333" s="177"/>
      <c r="C333" s="177"/>
      <c r="D333" s="177"/>
      <c r="E333" s="177"/>
      <c r="F333" s="177"/>
      <c r="G333" s="177"/>
      <c r="H333" s="177"/>
      <c r="I333" s="177"/>
      <c r="J333" s="177"/>
      <c r="K333" s="177"/>
      <c r="L333" s="177"/>
      <c r="M333" s="177"/>
      <c r="N333" s="177"/>
      <c r="O333" s="177"/>
      <c r="P333" s="177"/>
      <c r="Q333" s="177"/>
      <c r="R333" s="177"/>
      <c r="S333" s="177"/>
      <c r="T333" s="177"/>
      <c r="U333" s="177"/>
      <c r="V333" s="177"/>
      <c r="W333" s="177"/>
      <c r="X333" s="177"/>
      <c r="Y333" s="177"/>
      <c r="Z333" s="177"/>
      <c r="AA333" s="177"/>
      <c r="AB333" s="178"/>
      <c r="AC333" s="178"/>
      <c r="AD333" s="178"/>
      <c r="AE333" s="178"/>
      <c r="AF333" s="179"/>
      <c r="AG333" s="179"/>
      <c r="AH333" s="179"/>
      <c r="AI333" s="179"/>
      <c r="AJ333" s="179"/>
      <c r="AK333" s="179"/>
      <c r="AL333" s="179"/>
    </row>
    <row r="334" spans="2:38">
      <c r="B334" s="177"/>
      <c r="C334" s="177"/>
      <c r="D334" s="177"/>
      <c r="E334" s="177"/>
      <c r="F334" s="177"/>
      <c r="G334" s="177"/>
      <c r="H334" s="177"/>
      <c r="I334" s="177"/>
      <c r="J334" s="177"/>
      <c r="K334" s="177"/>
      <c r="L334" s="177"/>
      <c r="M334" s="177"/>
      <c r="N334" s="177"/>
      <c r="O334" s="177"/>
      <c r="P334" s="177"/>
      <c r="Q334" s="177"/>
      <c r="R334" s="177"/>
      <c r="S334" s="177"/>
      <c r="T334" s="177"/>
      <c r="U334" s="177"/>
      <c r="V334" s="177"/>
      <c r="W334" s="177"/>
      <c r="X334" s="177"/>
      <c r="Y334" s="177"/>
      <c r="Z334" s="177"/>
      <c r="AA334" s="177"/>
      <c r="AB334" s="178"/>
      <c r="AC334" s="178"/>
      <c r="AD334" s="178"/>
      <c r="AE334" s="178"/>
      <c r="AF334" s="179"/>
      <c r="AG334" s="179"/>
      <c r="AH334" s="179"/>
      <c r="AI334" s="179"/>
      <c r="AJ334" s="179"/>
      <c r="AK334" s="179"/>
      <c r="AL334" s="179"/>
    </row>
    <row r="335" spans="2:38">
      <c r="B335" s="177"/>
      <c r="C335" s="177"/>
      <c r="D335" s="177"/>
      <c r="E335" s="177"/>
      <c r="F335" s="177"/>
      <c r="G335" s="177"/>
      <c r="H335" s="177"/>
      <c r="I335" s="177"/>
      <c r="J335" s="177"/>
      <c r="K335" s="177"/>
      <c r="L335" s="177"/>
      <c r="M335" s="177"/>
      <c r="N335" s="177"/>
      <c r="O335" s="177"/>
      <c r="P335" s="177"/>
      <c r="Q335" s="177"/>
      <c r="R335" s="177"/>
      <c r="S335" s="177"/>
      <c r="T335" s="177"/>
      <c r="U335" s="177"/>
      <c r="V335" s="177"/>
      <c r="W335" s="177"/>
      <c r="X335" s="177"/>
      <c r="Y335" s="177"/>
      <c r="Z335" s="177"/>
      <c r="AA335" s="177"/>
      <c r="AB335" s="178"/>
      <c r="AC335" s="178"/>
      <c r="AD335" s="178"/>
      <c r="AE335" s="178"/>
      <c r="AF335" s="179"/>
      <c r="AG335" s="179"/>
      <c r="AH335" s="179"/>
      <c r="AI335" s="179"/>
      <c r="AJ335" s="179"/>
      <c r="AK335" s="179"/>
      <c r="AL335" s="179"/>
    </row>
    <row r="336" spans="2:38">
      <c r="B336" s="177"/>
      <c r="C336" s="177"/>
      <c r="D336" s="177"/>
      <c r="E336" s="177"/>
      <c r="F336" s="177"/>
      <c r="G336" s="177"/>
      <c r="H336" s="177"/>
      <c r="I336" s="177"/>
      <c r="J336" s="177"/>
      <c r="K336" s="177"/>
      <c r="L336" s="177"/>
      <c r="M336" s="177"/>
      <c r="N336" s="177"/>
      <c r="O336" s="177"/>
      <c r="P336" s="177"/>
      <c r="Q336" s="177"/>
      <c r="R336" s="177"/>
      <c r="S336" s="177"/>
      <c r="T336" s="177"/>
      <c r="U336" s="177"/>
      <c r="V336" s="177"/>
      <c r="W336" s="177"/>
      <c r="X336" s="177"/>
      <c r="Y336" s="177"/>
      <c r="Z336" s="177"/>
      <c r="AA336" s="177"/>
      <c r="AB336" s="178"/>
      <c r="AC336" s="178"/>
      <c r="AD336" s="178"/>
      <c r="AE336" s="178"/>
      <c r="AF336" s="179"/>
      <c r="AG336" s="179"/>
      <c r="AH336" s="179"/>
      <c r="AI336" s="179"/>
      <c r="AJ336" s="179"/>
      <c r="AK336" s="179"/>
      <c r="AL336" s="179"/>
    </row>
    <row r="337" spans="2:38">
      <c r="B337" s="177"/>
      <c r="C337" s="177"/>
      <c r="D337" s="177"/>
      <c r="E337" s="177"/>
      <c r="F337" s="177"/>
      <c r="G337" s="177"/>
      <c r="H337" s="177"/>
      <c r="I337" s="177"/>
      <c r="J337" s="177"/>
      <c r="K337" s="177"/>
      <c r="L337" s="177"/>
      <c r="M337" s="177"/>
      <c r="N337" s="177"/>
      <c r="O337" s="177"/>
      <c r="P337" s="177"/>
      <c r="Q337" s="177"/>
      <c r="R337" s="177"/>
      <c r="S337" s="177"/>
      <c r="T337" s="177"/>
      <c r="U337" s="177"/>
      <c r="V337" s="177"/>
      <c r="W337" s="177"/>
      <c r="X337" s="177"/>
      <c r="Y337" s="177"/>
      <c r="Z337" s="177"/>
      <c r="AA337" s="177"/>
      <c r="AB337" s="178"/>
      <c r="AC337" s="178"/>
      <c r="AD337" s="178"/>
      <c r="AE337" s="178"/>
      <c r="AF337" s="179"/>
      <c r="AG337" s="179"/>
      <c r="AH337" s="179"/>
      <c r="AI337" s="179"/>
      <c r="AJ337" s="179"/>
      <c r="AK337" s="179"/>
      <c r="AL337" s="179"/>
    </row>
    <row r="338" spans="2:38">
      <c r="B338" s="177"/>
      <c r="C338" s="177"/>
      <c r="D338" s="177"/>
      <c r="E338" s="177"/>
      <c r="F338" s="177"/>
      <c r="G338" s="177"/>
      <c r="H338" s="177"/>
      <c r="I338" s="177"/>
      <c r="J338" s="177"/>
      <c r="K338" s="177"/>
      <c r="L338" s="177"/>
      <c r="M338" s="177"/>
      <c r="N338" s="177"/>
      <c r="O338" s="177"/>
      <c r="P338" s="177"/>
      <c r="Q338" s="177"/>
      <c r="R338" s="177"/>
      <c r="S338" s="177"/>
      <c r="T338" s="177"/>
      <c r="U338" s="177"/>
      <c r="V338" s="177"/>
      <c r="W338" s="177"/>
      <c r="X338" s="177"/>
      <c r="Y338" s="177"/>
      <c r="Z338" s="177"/>
      <c r="AA338" s="177"/>
      <c r="AB338" s="178"/>
      <c r="AC338" s="178"/>
      <c r="AD338" s="178"/>
      <c r="AE338" s="178"/>
      <c r="AF338" s="179"/>
      <c r="AG338" s="179"/>
      <c r="AH338" s="179"/>
      <c r="AI338" s="179"/>
      <c r="AJ338" s="179"/>
      <c r="AK338" s="179"/>
      <c r="AL338" s="179"/>
    </row>
    <row r="339" spans="2:38">
      <c r="B339" s="177"/>
      <c r="C339" s="177"/>
      <c r="D339" s="177"/>
      <c r="E339" s="177"/>
      <c r="F339" s="177"/>
      <c r="G339" s="177"/>
      <c r="H339" s="177"/>
      <c r="I339" s="177"/>
      <c r="J339" s="177"/>
      <c r="K339" s="177"/>
      <c r="L339" s="177"/>
      <c r="M339" s="177"/>
      <c r="N339" s="177"/>
      <c r="O339" s="177"/>
      <c r="P339" s="177"/>
      <c r="Q339" s="177"/>
      <c r="R339" s="177"/>
      <c r="S339" s="177"/>
      <c r="T339" s="177"/>
      <c r="U339" s="177"/>
      <c r="V339" s="177"/>
      <c r="W339" s="177"/>
      <c r="X339" s="177"/>
      <c r="Y339" s="177"/>
      <c r="Z339" s="177"/>
      <c r="AA339" s="177"/>
      <c r="AB339" s="178"/>
      <c r="AC339" s="178"/>
      <c r="AD339" s="178"/>
      <c r="AE339" s="178"/>
      <c r="AF339" s="179"/>
      <c r="AG339" s="179"/>
      <c r="AH339" s="179"/>
      <c r="AI339" s="179"/>
      <c r="AJ339" s="179"/>
      <c r="AK339" s="179"/>
      <c r="AL339" s="179"/>
    </row>
    <row r="340" spans="2:38">
      <c r="B340" s="177"/>
      <c r="C340" s="177"/>
      <c r="D340" s="177"/>
      <c r="E340" s="177"/>
      <c r="F340" s="177"/>
      <c r="G340" s="177"/>
      <c r="H340" s="177"/>
      <c r="I340" s="177"/>
      <c r="J340" s="177"/>
      <c r="K340" s="177"/>
      <c r="L340" s="177"/>
      <c r="M340" s="177"/>
      <c r="N340" s="177"/>
      <c r="O340" s="177"/>
      <c r="P340" s="177"/>
      <c r="Q340" s="177"/>
      <c r="R340" s="177"/>
      <c r="S340" s="177"/>
      <c r="T340" s="177"/>
      <c r="U340" s="177"/>
      <c r="V340" s="177"/>
      <c r="W340" s="177"/>
      <c r="X340" s="177"/>
      <c r="Y340" s="177"/>
      <c r="Z340" s="177"/>
      <c r="AA340" s="177"/>
      <c r="AB340" s="178"/>
      <c r="AC340" s="178"/>
      <c r="AD340" s="178"/>
      <c r="AE340" s="178"/>
      <c r="AF340" s="179"/>
      <c r="AG340" s="179"/>
      <c r="AH340" s="179"/>
      <c r="AI340" s="179"/>
      <c r="AJ340" s="179"/>
      <c r="AK340" s="179"/>
      <c r="AL340" s="179"/>
    </row>
    <row r="341" spans="2:38">
      <c r="B341" s="177"/>
      <c r="C341" s="177"/>
      <c r="D341" s="177"/>
      <c r="E341" s="177"/>
      <c r="F341" s="177"/>
      <c r="G341" s="177"/>
      <c r="H341" s="177"/>
      <c r="I341" s="177"/>
      <c r="J341" s="177"/>
      <c r="K341" s="177"/>
      <c r="L341" s="177"/>
      <c r="M341" s="177"/>
      <c r="N341" s="177"/>
      <c r="O341" s="177"/>
      <c r="P341" s="177"/>
      <c r="Q341" s="177"/>
      <c r="R341" s="177"/>
      <c r="S341" s="177"/>
      <c r="T341" s="177"/>
      <c r="U341" s="177"/>
      <c r="V341" s="177"/>
      <c r="W341" s="177"/>
      <c r="X341" s="177"/>
      <c r="Y341" s="177"/>
      <c r="Z341" s="177"/>
      <c r="AA341" s="177"/>
      <c r="AB341" s="178"/>
      <c r="AC341" s="178"/>
      <c r="AD341" s="178"/>
      <c r="AE341" s="178"/>
      <c r="AF341" s="179"/>
      <c r="AG341" s="179"/>
      <c r="AH341" s="179"/>
      <c r="AI341" s="179"/>
      <c r="AJ341" s="179"/>
      <c r="AK341" s="179"/>
      <c r="AL341" s="179"/>
    </row>
    <row r="342" spans="2:38">
      <c r="B342" s="177"/>
      <c r="C342" s="177"/>
      <c r="D342" s="177"/>
      <c r="E342" s="177"/>
      <c r="F342" s="177"/>
      <c r="G342" s="177"/>
      <c r="H342" s="177"/>
      <c r="I342" s="177"/>
      <c r="J342" s="177"/>
      <c r="K342" s="177"/>
      <c r="L342" s="177"/>
      <c r="M342" s="177"/>
      <c r="N342" s="177"/>
      <c r="O342" s="177"/>
      <c r="P342" s="177"/>
      <c r="Q342" s="177"/>
      <c r="R342" s="177"/>
      <c r="S342" s="177"/>
      <c r="T342" s="177"/>
      <c r="U342" s="177"/>
      <c r="V342" s="177"/>
      <c r="W342" s="177"/>
      <c r="X342" s="177"/>
      <c r="Y342" s="177"/>
      <c r="Z342" s="177"/>
      <c r="AA342" s="177"/>
      <c r="AB342" s="178"/>
      <c r="AC342" s="178"/>
      <c r="AD342" s="178"/>
      <c r="AE342" s="178"/>
      <c r="AF342" s="179"/>
      <c r="AG342" s="179"/>
      <c r="AH342" s="179"/>
      <c r="AI342" s="179"/>
      <c r="AJ342" s="179"/>
      <c r="AK342" s="179"/>
      <c r="AL342" s="179"/>
    </row>
    <row r="343" spans="2:38">
      <c r="B343" s="177"/>
      <c r="C343" s="177"/>
      <c r="D343" s="177"/>
      <c r="E343" s="177"/>
      <c r="F343" s="177"/>
      <c r="G343" s="177"/>
      <c r="H343" s="177"/>
      <c r="I343" s="177"/>
      <c r="J343" s="177"/>
      <c r="K343" s="177"/>
      <c r="L343" s="177"/>
      <c r="M343" s="177"/>
      <c r="N343" s="177"/>
      <c r="O343" s="177"/>
      <c r="P343" s="177"/>
      <c r="Q343" s="177"/>
      <c r="R343" s="177"/>
      <c r="S343" s="177"/>
      <c r="T343" s="177"/>
      <c r="U343" s="177"/>
      <c r="V343" s="177"/>
      <c r="W343" s="177"/>
      <c r="X343" s="177"/>
      <c r="Y343" s="177"/>
      <c r="Z343" s="177"/>
      <c r="AA343" s="177"/>
      <c r="AB343" s="178"/>
      <c r="AC343" s="178"/>
      <c r="AD343" s="178"/>
      <c r="AE343" s="178"/>
      <c r="AF343" s="179"/>
      <c r="AG343" s="179"/>
      <c r="AH343" s="179"/>
      <c r="AI343" s="179"/>
      <c r="AJ343" s="179"/>
      <c r="AK343" s="179"/>
      <c r="AL343" s="179"/>
    </row>
    <row r="344" spans="2:38">
      <c r="B344" s="177"/>
      <c r="C344" s="177"/>
      <c r="D344" s="177"/>
      <c r="E344" s="177"/>
      <c r="F344" s="177"/>
      <c r="G344" s="177"/>
      <c r="H344" s="177"/>
      <c r="I344" s="177"/>
      <c r="J344" s="177"/>
      <c r="K344" s="177"/>
      <c r="L344" s="177"/>
      <c r="M344" s="177"/>
      <c r="N344" s="177"/>
      <c r="O344" s="177"/>
      <c r="P344" s="177"/>
      <c r="Q344" s="177"/>
      <c r="R344" s="177"/>
      <c r="S344" s="177"/>
      <c r="T344" s="177"/>
      <c r="U344" s="177"/>
      <c r="V344" s="177"/>
      <c r="W344" s="177"/>
      <c r="X344" s="177"/>
      <c r="Y344" s="177"/>
      <c r="Z344" s="177"/>
      <c r="AA344" s="177"/>
      <c r="AB344" s="178"/>
      <c r="AC344" s="178"/>
      <c r="AD344" s="178"/>
      <c r="AE344" s="178"/>
      <c r="AF344" s="179"/>
      <c r="AG344" s="179"/>
      <c r="AH344" s="179"/>
      <c r="AI344" s="179"/>
      <c r="AJ344" s="179"/>
      <c r="AK344" s="179"/>
      <c r="AL344" s="179"/>
    </row>
    <row r="345" spans="2:38">
      <c r="B345" s="177"/>
      <c r="C345" s="177"/>
      <c r="D345" s="177"/>
      <c r="E345" s="177"/>
      <c r="F345" s="177"/>
      <c r="G345" s="177"/>
      <c r="H345" s="177"/>
      <c r="I345" s="177"/>
      <c r="J345" s="177"/>
      <c r="K345" s="177"/>
      <c r="L345" s="177"/>
      <c r="M345" s="177"/>
      <c r="N345" s="177"/>
      <c r="O345" s="177"/>
      <c r="P345" s="177"/>
      <c r="Q345" s="177"/>
      <c r="R345" s="177"/>
      <c r="S345" s="177"/>
      <c r="T345" s="177"/>
      <c r="U345" s="177"/>
      <c r="V345" s="177"/>
      <c r="W345" s="177"/>
      <c r="X345" s="177"/>
      <c r="Y345" s="177"/>
      <c r="Z345" s="177"/>
      <c r="AA345" s="177"/>
      <c r="AB345" s="178"/>
      <c r="AC345" s="178"/>
      <c r="AD345" s="178"/>
      <c r="AE345" s="178"/>
      <c r="AF345" s="179"/>
      <c r="AG345" s="179"/>
      <c r="AH345" s="179"/>
      <c r="AI345" s="179"/>
      <c r="AJ345" s="179"/>
      <c r="AK345" s="179"/>
      <c r="AL345" s="179"/>
    </row>
    <row r="346" spans="2:38">
      <c r="B346" s="177"/>
      <c r="C346" s="177"/>
      <c r="D346" s="177"/>
      <c r="E346" s="177"/>
      <c r="F346" s="177"/>
      <c r="G346" s="177"/>
      <c r="H346" s="177"/>
      <c r="I346" s="177"/>
      <c r="J346" s="177"/>
      <c r="K346" s="177"/>
      <c r="L346" s="177"/>
      <c r="M346" s="177"/>
      <c r="N346" s="177"/>
      <c r="O346" s="177"/>
      <c r="P346" s="177"/>
      <c r="Q346" s="177"/>
      <c r="R346" s="177"/>
      <c r="S346" s="177"/>
      <c r="T346" s="177"/>
      <c r="U346" s="177"/>
      <c r="V346" s="177"/>
      <c r="W346" s="177"/>
      <c r="X346" s="177"/>
      <c r="Y346" s="177"/>
      <c r="Z346" s="177"/>
      <c r="AA346" s="177"/>
      <c r="AB346" s="178"/>
      <c r="AC346" s="178"/>
      <c r="AD346" s="178"/>
      <c r="AE346" s="178"/>
      <c r="AF346" s="179"/>
      <c r="AG346" s="179"/>
      <c r="AH346" s="179"/>
      <c r="AI346" s="179"/>
      <c r="AJ346" s="179"/>
      <c r="AK346" s="179"/>
      <c r="AL346" s="179"/>
    </row>
    <row r="347" spans="2:38">
      <c r="B347" s="177"/>
      <c r="C347" s="177"/>
      <c r="D347" s="177"/>
      <c r="E347" s="177"/>
      <c r="F347" s="177"/>
      <c r="G347" s="177"/>
      <c r="H347" s="177"/>
      <c r="I347" s="177"/>
      <c r="J347" s="177"/>
      <c r="K347" s="177"/>
      <c r="L347" s="177"/>
      <c r="M347" s="177"/>
      <c r="N347" s="177"/>
      <c r="O347" s="177"/>
      <c r="P347" s="177"/>
      <c r="Q347" s="177"/>
      <c r="R347" s="177"/>
      <c r="S347" s="177"/>
      <c r="T347" s="177"/>
      <c r="U347" s="177"/>
      <c r="V347" s="177"/>
      <c r="W347" s="177"/>
      <c r="X347" s="177"/>
      <c r="Y347" s="177"/>
      <c r="Z347" s="177"/>
      <c r="AA347" s="177"/>
      <c r="AB347" s="178"/>
      <c r="AC347" s="178"/>
      <c r="AD347" s="178"/>
      <c r="AE347" s="178"/>
      <c r="AF347" s="179"/>
      <c r="AG347" s="179"/>
      <c r="AH347" s="179"/>
      <c r="AI347" s="179"/>
      <c r="AJ347" s="179"/>
      <c r="AK347" s="179"/>
      <c r="AL347" s="179"/>
    </row>
    <row r="348" spans="2:38">
      <c r="B348" s="177"/>
      <c r="C348" s="177"/>
      <c r="D348" s="177"/>
      <c r="E348" s="177"/>
      <c r="F348" s="177"/>
      <c r="G348" s="177"/>
      <c r="H348" s="177"/>
      <c r="I348" s="177"/>
      <c r="J348" s="177"/>
      <c r="K348" s="177"/>
      <c r="L348" s="177"/>
      <c r="M348" s="177"/>
      <c r="N348" s="177"/>
      <c r="O348" s="177"/>
      <c r="P348" s="177"/>
      <c r="Q348" s="177"/>
      <c r="R348" s="177"/>
      <c r="S348" s="177"/>
      <c r="T348" s="177"/>
      <c r="U348" s="177"/>
      <c r="V348" s="177"/>
      <c r="W348" s="177"/>
      <c r="X348" s="177"/>
      <c r="Y348" s="177"/>
      <c r="Z348" s="177"/>
      <c r="AA348" s="177"/>
      <c r="AB348" s="178"/>
      <c r="AC348" s="178"/>
      <c r="AD348" s="178"/>
      <c r="AE348" s="178"/>
      <c r="AF348" s="179"/>
      <c r="AG348" s="179"/>
      <c r="AH348" s="179"/>
      <c r="AI348" s="179"/>
      <c r="AJ348" s="179"/>
      <c r="AK348" s="179"/>
      <c r="AL348" s="179"/>
    </row>
    <row r="349" spans="2:38">
      <c r="B349" s="177"/>
      <c r="C349" s="177"/>
      <c r="D349" s="177"/>
      <c r="E349" s="177"/>
      <c r="F349" s="177"/>
      <c r="G349" s="177"/>
      <c r="H349" s="177"/>
      <c r="I349" s="177"/>
      <c r="J349" s="177"/>
      <c r="K349" s="177"/>
      <c r="L349" s="177"/>
      <c r="M349" s="177"/>
      <c r="N349" s="177"/>
      <c r="O349" s="177"/>
      <c r="P349" s="177"/>
      <c r="Q349" s="177"/>
      <c r="R349" s="177"/>
      <c r="S349" s="177"/>
      <c r="T349" s="177"/>
      <c r="U349" s="177"/>
      <c r="V349" s="177"/>
      <c r="W349" s="177"/>
      <c r="X349" s="177"/>
      <c r="Y349" s="177"/>
      <c r="Z349" s="177"/>
      <c r="AA349" s="177"/>
      <c r="AB349" s="178"/>
      <c r="AC349" s="178"/>
      <c r="AD349" s="178"/>
      <c r="AE349" s="178"/>
      <c r="AF349" s="179"/>
      <c r="AG349" s="179"/>
      <c r="AH349" s="179"/>
      <c r="AI349" s="179"/>
      <c r="AJ349" s="179"/>
      <c r="AK349" s="179"/>
      <c r="AL349" s="179"/>
    </row>
    <row r="350" spans="2:38">
      <c r="B350" s="177"/>
      <c r="C350" s="177"/>
      <c r="D350" s="177"/>
      <c r="E350" s="177"/>
      <c r="F350" s="177"/>
      <c r="G350" s="177"/>
      <c r="H350" s="177"/>
      <c r="I350" s="177"/>
      <c r="J350" s="177"/>
      <c r="K350" s="177"/>
      <c r="L350" s="177"/>
      <c r="M350" s="177"/>
      <c r="N350" s="177"/>
      <c r="O350" s="177"/>
      <c r="P350" s="177"/>
      <c r="Q350" s="177"/>
      <c r="R350" s="177"/>
      <c r="S350" s="177"/>
      <c r="T350" s="177"/>
      <c r="U350" s="177"/>
      <c r="V350" s="177"/>
      <c r="W350" s="177"/>
      <c r="X350" s="177"/>
      <c r="Y350" s="177"/>
      <c r="Z350" s="177"/>
      <c r="AA350" s="177"/>
      <c r="AB350" s="178"/>
      <c r="AC350" s="178"/>
      <c r="AD350" s="178"/>
      <c r="AE350" s="178"/>
      <c r="AF350" s="179"/>
      <c r="AG350" s="179"/>
      <c r="AH350" s="179"/>
      <c r="AI350" s="179"/>
      <c r="AJ350" s="179"/>
      <c r="AK350" s="179"/>
      <c r="AL350" s="179"/>
    </row>
    <row r="351" spans="2:38">
      <c r="B351" s="177"/>
      <c r="C351" s="177"/>
      <c r="D351" s="177"/>
      <c r="E351" s="177"/>
      <c r="F351" s="177"/>
      <c r="G351" s="177"/>
      <c r="H351" s="177"/>
      <c r="I351" s="177"/>
      <c r="J351" s="177"/>
      <c r="K351" s="177"/>
      <c r="L351" s="177"/>
      <c r="M351" s="177"/>
      <c r="N351" s="177"/>
      <c r="O351" s="177"/>
      <c r="P351" s="177"/>
      <c r="Q351" s="177"/>
      <c r="R351" s="177"/>
      <c r="S351" s="177"/>
      <c r="T351" s="177"/>
      <c r="U351" s="177"/>
      <c r="V351" s="177"/>
      <c r="W351" s="177"/>
      <c r="X351" s="177"/>
      <c r="Y351" s="177"/>
      <c r="Z351" s="177"/>
      <c r="AA351" s="177"/>
      <c r="AB351" s="178"/>
      <c r="AC351" s="178"/>
      <c r="AD351" s="178"/>
      <c r="AE351" s="178"/>
      <c r="AF351" s="179"/>
      <c r="AG351" s="179"/>
      <c r="AH351" s="179"/>
      <c r="AI351" s="179"/>
      <c r="AJ351" s="179"/>
      <c r="AK351" s="179"/>
      <c r="AL351" s="179"/>
    </row>
    <row r="352" spans="2:38">
      <c r="B352" s="177"/>
      <c r="C352" s="177"/>
      <c r="D352" s="177"/>
      <c r="E352" s="177"/>
      <c r="F352" s="177"/>
      <c r="G352" s="177"/>
      <c r="H352" s="177"/>
      <c r="I352" s="177"/>
      <c r="J352" s="177"/>
      <c r="K352" s="177"/>
      <c r="L352" s="177"/>
      <c r="M352" s="177"/>
      <c r="N352" s="177"/>
      <c r="O352" s="177"/>
      <c r="P352" s="177"/>
      <c r="Q352" s="177"/>
      <c r="R352" s="177"/>
      <c r="S352" s="177"/>
      <c r="T352" s="177"/>
      <c r="U352" s="177"/>
      <c r="V352" s="177"/>
      <c r="W352" s="177"/>
      <c r="X352" s="177"/>
      <c r="Y352" s="177"/>
      <c r="Z352" s="177"/>
      <c r="AA352" s="177"/>
      <c r="AB352" s="178"/>
      <c r="AC352" s="178"/>
      <c r="AD352" s="178"/>
      <c r="AE352" s="178"/>
      <c r="AF352" s="179"/>
      <c r="AG352" s="179"/>
      <c r="AH352" s="179"/>
      <c r="AI352" s="179"/>
      <c r="AJ352" s="179"/>
      <c r="AK352" s="179"/>
      <c r="AL352" s="179"/>
    </row>
    <row r="353" spans="2:38">
      <c r="B353" s="177"/>
      <c r="C353" s="177"/>
      <c r="D353" s="177"/>
      <c r="E353" s="177"/>
      <c r="F353" s="177"/>
      <c r="G353" s="177"/>
      <c r="H353" s="177"/>
      <c r="I353" s="177"/>
      <c r="J353" s="177"/>
      <c r="K353" s="177"/>
      <c r="L353" s="177"/>
      <c r="M353" s="177"/>
      <c r="N353" s="177"/>
      <c r="O353" s="177"/>
      <c r="P353" s="177"/>
      <c r="Q353" s="177"/>
      <c r="R353" s="177"/>
      <c r="S353" s="177"/>
      <c r="T353" s="177"/>
      <c r="U353" s="177"/>
      <c r="V353" s="177"/>
      <c r="W353" s="177"/>
      <c r="X353" s="177"/>
      <c r="Y353" s="177"/>
      <c r="Z353" s="177"/>
      <c r="AA353" s="177"/>
      <c r="AB353" s="178"/>
      <c r="AC353" s="178"/>
      <c r="AD353" s="178"/>
      <c r="AE353" s="178"/>
      <c r="AF353" s="179"/>
      <c r="AG353" s="179"/>
      <c r="AH353" s="179"/>
      <c r="AI353" s="179"/>
      <c r="AJ353" s="179"/>
      <c r="AK353" s="179"/>
      <c r="AL353" s="179"/>
    </row>
    <row r="354" spans="2:38">
      <c r="B354" s="177"/>
      <c r="C354" s="177"/>
      <c r="D354" s="177"/>
      <c r="E354" s="177"/>
      <c r="F354" s="177"/>
      <c r="G354" s="177"/>
      <c r="H354" s="177"/>
      <c r="I354" s="177"/>
      <c r="J354" s="177"/>
      <c r="K354" s="177"/>
      <c r="L354" s="177"/>
      <c r="M354" s="177"/>
      <c r="N354" s="177"/>
      <c r="O354" s="177"/>
      <c r="P354" s="177"/>
      <c r="Q354" s="177"/>
      <c r="R354" s="177"/>
      <c r="S354" s="177"/>
      <c r="T354" s="177"/>
      <c r="U354" s="177"/>
      <c r="V354" s="177"/>
      <c r="W354" s="177"/>
      <c r="X354" s="177"/>
      <c r="Y354" s="177"/>
      <c r="Z354" s="177"/>
      <c r="AA354" s="177"/>
      <c r="AB354" s="178"/>
      <c r="AC354" s="178"/>
      <c r="AD354" s="178"/>
      <c r="AE354" s="178"/>
      <c r="AF354" s="179"/>
      <c r="AG354" s="179"/>
      <c r="AH354" s="179"/>
      <c r="AI354" s="179"/>
      <c r="AJ354" s="179"/>
      <c r="AK354" s="179"/>
      <c r="AL354" s="179"/>
    </row>
    <row r="355" spans="2:38">
      <c r="B355" s="177"/>
      <c r="C355" s="177"/>
      <c r="D355" s="177"/>
      <c r="E355" s="177"/>
      <c r="F355" s="177"/>
      <c r="G355" s="177"/>
      <c r="H355" s="177"/>
      <c r="I355" s="177"/>
      <c r="J355" s="177"/>
      <c r="K355" s="177"/>
      <c r="L355" s="177"/>
      <c r="M355" s="177"/>
      <c r="N355" s="177"/>
      <c r="O355" s="177"/>
      <c r="P355" s="177"/>
      <c r="Q355" s="177"/>
      <c r="R355" s="177"/>
      <c r="S355" s="177"/>
      <c r="T355" s="177"/>
      <c r="U355" s="177"/>
      <c r="V355" s="177"/>
      <c r="W355" s="177"/>
      <c r="X355" s="177"/>
      <c r="Y355" s="177"/>
      <c r="Z355" s="177"/>
      <c r="AA355" s="177"/>
      <c r="AB355" s="178"/>
      <c r="AC355" s="178"/>
      <c r="AD355" s="178"/>
      <c r="AE355" s="178"/>
      <c r="AF355" s="179"/>
      <c r="AG355" s="179"/>
      <c r="AH355" s="179"/>
      <c r="AI355" s="179"/>
      <c r="AJ355" s="179"/>
      <c r="AK355" s="179"/>
      <c r="AL355" s="179"/>
    </row>
    <row r="356" spans="2:38">
      <c r="B356" s="177"/>
      <c r="C356" s="177"/>
      <c r="D356" s="177"/>
      <c r="E356" s="177"/>
      <c r="F356" s="177"/>
      <c r="G356" s="177"/>
      <c r="H356" s="177"/>
      <c r="I356" s="177"/>
      <c r="J356" s="177"/>
      <c r="K356" s="177"/>
      <c r="L356" s="177"/>
      <c r="M356" s="177"/>
      <c r="N356" s="177"/>
      <c r="O356" s="177"/>
      <c r="P356" s="177"/>
      <c r="Q356" s="177"/>
      <c r="R356" s="177"/>
      <c r="S356" s="177"/>
      <c r="T356" s="177"/>
      <c r="U356" s="177"/>
      <c r="V356" s="177"/>
      <c r="W356" s="177"/>
      <c r="X356" s="177"/>
      <c r="Y356" s="177"/>
      <c r="Z356" s="177"/>
      <c r="AA356" s="177"/>
      <c r="AB356" s="178"/>
      <c r="AC356" s="178"/>
      <c r="AD356" s="178"/>
      <c r="AE356" s="178"/>
      <c r="AF356" s="179"/>
      <c r="AG356" s="179"/>
      <c r="AH356" s="179"/>
      <c r="AI356" s="179"/>
      <c r="AJ356" s="179"/>
      <c r="AK356" s="179"/>
      <c r="AL356" s="179"/>
    </row>
    <row r="357" spans="2:38">
      <c r="B357" s="177"/>
      <c r="C357" s="177"/>
      <c r="D357" s="177"/>
      <c r="E357" s="177"/>
      <c r="F357" s="177"/>
      <c r="G357" s="177"/>
      <c r="H357" s="177"/>
      <c r="I357" s="177"/>
      <c r="J357" s="177"/>
      <c r="K357" s="177"/>
      <c r="L357" s="177"/>
      <c r="M357" s="177"/>
      <c r="N357" s="177"/>
      <c r="O357" s="177"/>
      <c r="P357" s="177"/>
      <c r="Q357" s="177"/>
      <c r="R357" s="177"/>
      <c r="S357" s="177"/>
      <c r="T357" s="177"/>
      <c r="U357" s="177"/>
      <c r="V357" s="177"/>
      <c r="W357" s="177"/>
      <c r="X357" s="177"/>
      <c r="Y357" s="177"/>
      <c r="Z357" s="177"/>
      <c r="AA357" s="177"/>
      <c r="AB357" s="178"/>
      <c r="AC357" s="178"/>
      <c r="AD357" s="178"/>
      <c r="AE357" s="178"/>
      <c r="AF357" s="179"/>
      <c r="AG357" s="179"/>
      <c r="AH357" s="179"/>
      <c r="AI357" s="179"/>
      <c r="AJ357" s="179"/>
      <c r="AK357" s="179"/>
      <c r="AL357" s="179"/>
    </row>
    <row r="358" spans="2:38">
      <c r="B358" s="177"/>
      <c r="C358" s="177"/>
      <c r="D358" s="177"/>
      <c r="E358" s="177"/>
      <c r="F358" s="177"/>
      <c r="G358" s="177"/>
      <c r="H358" s="177"/>
      <c r="I358" s="177"/>
      <c r="J358" s="177"/>
      <c r="K358" s="177"/>
      <c r="L358" s="177"/>
      <c r="M358" s="177"/>
      <c r="N358" s="177"/>
      <c r="O358" s="177"/>
      <c r="P358" s="177"/>
      <c r="Q358" s="177"/>
      <c r="R358" s="177"/>
      <c r="S358" s="177"/>
      <c r="T358" s="177"/>
      <c r="U358" s="177"/>
      <c r="V358" s="177"/>
      <c r="W358" s="177"/>
      <c r="X358" s="177"/>
      <c r="Y358" s="177"/>
      <c r="Z358" s="177"/>
      <c r="AA358" s="177"/>
      <c r="AB358" s="178"/>
      <c r="AC358" s="178"/>
      <c r="AD358" s="178"/>
      <c r="AE358" s="178"/>
      <c r="AF358" s="179"/>
      <c r="AG358" s="179"/>
      <c r="AH358" s="179"/>
      <c r="AI358" s="179"/>
      <c r="AJ358" s="179"/>
      <c r="AK358" s="179"/>
      <c r="AL358" s="179"/>
    </row>
    <row r="359" spans="2:38">
      <c r="B359" s="177"/>
      <c r="C359" s="177"/>
      <c r="D359" s="177"/>
      <c r="E359" s="177"/>
      <c r="F359" s="177"/>
      <c r="G359" s="177"/>
      <c r="H359" s="177"/>
      <c r="I359" s="177"/>
      <c r="J359" s="177"/>
      <c r="K359" s="177"/>
      <c r="L359" s="177"/>
      <c r="M359" s="177"/>
      <c r="N359" s="177"/>
      <c r="O359" s="177"/>
      <c r="P359" s="177"/>
      <c r="Q359" s="177"/>
      <c r="R359" s="177"/>
      <c r="S359" s="177"/>
      <c r="T359" s="177"/>
      <c r="U359" s="177"/>
      <c r="V359" s="177"/>
      <c r="W359" s="177"/>
      <c r="X359" s="177"/>
      <c r="Y359" s="177"/>
      <c r="Z359" s="177"/>
      <c r="AA359" s="177"/>
      <c r="AB359" s="178"/>
      <c r="AC359" s="178"/>
      <c r="AD359" s="178"/>
      <c r="AE359" s="178"/>
      <c r="AF359" s="179"/>
      <c r="AG359" s="179"/>
      <c r="AH359" s="179"/>
      <c r="AI359" s="179"/>
      <c r="AJ359" s="179"/>
      <c r="AK359" s="179"/>
      <c r="AL359" s="179"/>
    </row>
    <row r="360" spans="2:38">
      <c r="B360" s="177"/>
      <c r="C360" s="177"/>
      <c r="D360" s="177"/>
      <c r="E360" s="177"/>
      <c r="F360" s="177"/>
      <c r="G360" s="177"/>
      <c r="H360" s="177"/>
      <c r="I360" s="177"/>
      <c r="J360" s="177"/>
      <c r="K360" s="177"/>
      <c r="L360" s="177"/>
      <c r="M360" s="177"/>
      <c r="N360" s="177"/>
      <c r="O360" s="177"/>
      <c r="P360" s="177"/>
      <c r="Q360" s="177"/>
      <c r="R360" s="177"/>
      <c r="S360" s="177"/>
      <c r="T360" s="177"/>
      <c r="U360" s="177"/>
      <c r="V360" s="177"/>
      <c r="W360" s="177"/>
      <c r="X360" s="177"/>
      <c r="Y360" s="177"/>
      <c r="Z360" s="177"/>
      <c r="AA360" s="177"/>
      <c r="AB360" s="178"/>
      <c r="AC360" s="178"/>
      <c r="AD360" s="178"/>
      <c r="AE360" s="178"/>
      <c r="AF360" s="179"/>
      <c r="AG360" s="179"/>
      <c r="AH360" s="179"/>
      <c r="AI360" s="179"/>
      <c r="AJ360" s="179"/>
      <c r="AK360" s="179"/>
      <c r="AL360" s="179"/>
    </row>
    <row r="361" spans="2:38">
      <c r="B361" s="177"/>
      <c r="C361" s="177"/>
      <c r="D361" s="177"/>
      <c r="E361" s="177"/>
      <c r="F361" s="177"/>
      <c r="G361" s="177"/>
      <c r="H361" s="177"/>
      <c r="I361" s="177"/>
      <c r="J361" s="177"/>
      <c r="K361" s="177"/>
      <c r="L361" s="177"/>
      <c r="M361" s="177"/>
      <c r="N361" s="177"/>
      <c r="O361" s="177"/>
      <c r="P361" s="177"/>
      <c r="Q361" s="177"/>
      <c r="R361" s="177"/>
      <c r="S361" s="177"/>
      <c r="T361" s="177"/>
      <c r="U361" s="177"/>
      <c r="V361" s="177"/>
      <c r="W361" s="177"/>
      <c r="X361" s="177"/>
      <c r="Y361" s="177"/>
      <c r="Z361" s="177"/>
      <c r="AA361" s="177"/>
      <c r="AB361" s="178"/>
      <c r="AC361" s="178"/>
      <c r="AD361" s="178"/>
      <c r="AE361" s="178"/>
      <c r="AF361" s="179"/>
      <c r="AG361" s="179"/>
      <c r="AH361" s="179"/>
      <c r="AI361" s="179"/>
      <c r="AJ361" s="179"/>
      <c r="AK361" s="179"/>
      <c r="AL361" s="179"/>
    </row>
    <row r="362" spans="2:38">
      <c r="B362" s="177"/>
      <c r="C362" s="177"/>
      <c r="D362" s="177"/>
      <c r="E362" s="177"/>
      <c r="F362" s="177"/>
      <c r="G362" s="177"/>
      <c r="H362" s="177"/>
      <c r="I362" s="177"/>
      <c r="J362" s="177"/>
      <c r="K362" s="177"/>
      <c r="L362" s="177"/>
      <c r="M362" s="177"/>
      <c r="N362" s="177"/>
      <c r="O362" s="177"/>
      <c r="P362" s="177"/>
      <c r="Q362" s="177"/>
      <c r="R362" s="177"/>
      <c r="S362" s="177"/>
      <c r="T362" s="177"/>
      <c r="U362" s="177"/>
      <c r="V362" s="177"/>
      <c r="W362" s="177"/>
      <c r="X362" s="177"/>
      <c r="Y362" s="177"/>
      <c r="Z362" s="177"/>
      <c r="AA362" s="177"/>
      <c r="AB362" s="178"/>
      <c r="AC362" s="178"/>
      <c r="AD362" s="178"/>
      <c r="AE362" s="178"/>
      <c r="AF362" s="179"/>
      <c r="AG362" s="179"/>
      <c r="AH362" s="179"/>
      <c r="AI362" s="179"/>
      <c r="AJ362" s="179"/>
      <c r="AK362" s="179"/>
      <c r="AL362" s="179"/>
    </row>
    <row r="363" spans="2:38">
      <c r="B363" s="177"/>
      <c r="C363" s="177"/>
      <c r="D363" s="177"/>
      <c r="E363" s="177"/>
      <c r="F363" s="177"/>
      <c r="G363" s="177"/>
      <c r="H363" s="177"/>
      <c r="I363" s="177"/>
      <c r="J363" s="177"/>
      <c r="K363" s="177"/>
      <c r="L363" s="177"/>
      <c r="M363" s="177"/>
      <c r="N363" s="177"/>
      <c r="O363" s="177"/>
      <c r="P363" s="177"/>
      <c r="Q363" s="177"/>
      <c r="R363" s="177"/>
      <c r="S363" s="177"/>
      <c r="T363" s="177"/>
      <c r="U363" s="177"/>
      <c r="V363" s="177"/>
      <c r="W363" s="177"/>
      <c r="X363" s="177"/>
      <c r="Y363" s="177"/>
      <c r="Z363" s="177"/>
      <c r="AA363" s="177"/>
      <c r="AB363" s="178"/>
      <c r="AC363" s="178"/>
      <c r="AD363" s="178"/>
      <c r="AE363" s="178"/>
      <c r="AF363" s="179"/>
      <c r="AG363" s="179"/>
      <c r="AH363" s="179"/>
      <c r="AI363" s="179"/>
      <c r="AJ363" s="179"/>
      <c r="AK363" s="179"/>
      <c r="AL363" s="179"/>
    </row>
    <row r="364" spans="2:38">
      <c r="B364" s="177"/>
      <c r="C364" s="177"/>
      <c r="D364" s="177"/>
      <c r="E364" s="177"/>
      <c r="F364" s="177"/>
      <c r="G364" s="177"/>
      <c r="H364" s="177"/>
      <c r="I364" s="177"/>
      <c r="J364" s="177"/>
      <c r="K364" s="177"/>
      <c r="L364" s="177"/>
      <c r="M364" s="177"/>
      <c r="N364" s="177"/>
      <c r="O364" s="177"/>
      <c r="P364" s="177"/>
      <c r="Q364" s="177"/>
      <c r="R364" s="177"/>
      <c r="S364" s="177"/>
      <c r="T364" s="177"/>
      <c r="U364" s="177"/>
      <c r="V364" s="177"/>
      <c r="W364" s="177"/>
      <c r="X364" s="177"/>
      <c r="Y364" s="177"/>
      <c r="Z364" s="177"/>
      <c r="AA364" s="177"/>
      <c r="AB364" s="178"/>
      <c r="AC364" s="178"/>
      <c r="AD364" s="178"/>
      <c r="AE364" s="178"/>
      <c r="AF364" s="179"/>
      <c r="AG364" s="179"/>
      <c r="AH364" s="179"/>
      <c r="AI364" s="179"/>
      <c r="AJ364" s="179"/>
      <c r="AK364" s="179"/>
      <c r="AL364" s="179"/>
    </row>
    <row r="365" spans="2:38">
      <c r="B365" s="177"/>
      <c r="C365" s="177"/>
      <c r="D365" s="177"/>
      <c r="E365" s="177"/>
      <c r="F365" s="177"/>
      <c r="G365" s="177"/>
      <c r="H365" s="177"/>
      <c r="I365" s="177"/>
      <c r="J365" s="177"/>
      <c r="K365" s="177"/>
      <c r="L365" s="177"/>
      <c r="M365" s="177"/>
      <c r="N365" s="177"/>
      <c r="O365" s="177"/>
      <c r="P365" s="177"/>
      <c r="Q365" s="177"/>
      <c r="R365" s="177"/>
      <c r="S365" s="177"/>
      <c r="T365" s="177"/>
      <c r="U365" s="177"/>
      <c r="V365" s="177"/>
      <c r="W365" s="177"/>
      <c r="X365" s="177"/>
      <c r="Y365" s="177"/>
      <c r="Z365" s="177"/>
      <c r="AA365" s="177"/>
      <c r="AB365" s="178"/>
      <c r="AC365" s="178"/>
      <c r="AD365" s="178"/>
      <c r="AE365" s="178"/>
      <c r="AF365" s="179"/>
      <c r="AG365" s="179"/>
      <c r="AH365" s="179"/>
      <c r="AI365" s="179"/>
      <c r="AJ365" s="179"/>
      <c r="AK365" s="179"/>
      <c r="AL365" s="179"/>
    </row>
    <row r="366" spans="2:38">
      <c r="B366" s="177"/>
      <c r="C366" s="177"/>
      <c r="D366" s="177"/>
      <c r="E366" s="177"/>
      <c r="F366" s="177"/>
      <c r="G366" s="177"/>
      <c r="H366" s="177"/>
      <c r="I366" s="177"/>
      <c r="J366" s="177"/>
      <c r="K366" s="177"/>
      <c r="L366" s="177"/>
      <c r="M366" s="177"/>
      <c r="N366" s="177"/>
      <c r="O366" s="177"/>
      <c r="P366" s="177"/>
      <c r="Q366" s="177"/>
      <c r="R366" s="177"/>
      <c r="S366" s="177"/>
      <c r="T366" s="177"/>
      <c r="U366" s="177"/>
      <c r="V366" s="177"/>
      <c r="W366" s="177"/>
      <c r="X366" s="177"/>
      <c r="Y366" s="177"/>
      <c r="Z366" s="177"/>
      <c r="AA366" s="177"/>
      <c r="AB366" s="178"/>
      <c r="AC366" s="178"/>
      <c r="AD366" s="178"/>
      <c r="AE366" s="178"/>
      <c r="AF366" s="179"/>
      <c r="AG366" s="179"/>
      <c r="AH366" s="179"/>
      <c r="AI366" s="179"/>
      <c r="AJ366" s="179"/>
      <c r="AK366" s="179"/>
      <c r="AL366" s="179"/>
    </row>
    <row r="367" spans="2:38">
      <c r="B367" s="177"/>
      <c r="C367" s="177"/>
      <c r="D367" s="177"/>
      <c r="E367" s="177"/>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8"/>
      <c r="AC367" s="178"/>
      <c r="AD367" s="178"/>
      <c r="AE367" s="178"/>
      <c r="AF367" s="179"/>
      <c r="AG367" s="179"/>
      <c r="AH367" s="179"/>
      <c r="AI367" s="179"/>
      <c r="AJ367" s="179"/>
      <c r="AK367" s="179"/>
      <c r="AL367" s="179"/>
    </row>
    <row r="368" spans="2:38">
      <c r="B368" s="177"/>
      <c r="C368" s="177"/>
      <c r="D368" s="177"/>
      <c r="E368" s="177"/>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8"/>
      <c r="AC368" s="178"/>
      <c r="AD368" s="178"/>
      <c r="AE368" s="178"/>
      <c r="AF368" s="179"/>
      <c r="AG368" s="179"/>
      <c r="AH368" s="179"/>
      <c r="AI368" s="179"/>
      <c r="AJ368" s="179"/>
      <c r="AK368" s="179"/>
      <c r="AL368" s="179"/>
    </row>
    <row r="369" spans="2:38">
      <c r="B369" s="177"/>
      <c r="C369" s="177"/>
      <c r="D369" s="177"/>
      <c r="E369" s="177"/>
      <c r="F369" s="177"/>
      <c r="G369" s="177"/>
      <c r="H369" s="177"/>
      <c r="I369" s="177"/>
      <c r="J369" s="177"/>
      <c r="K369" s="177"/>
      <c r="L369" s="177"/>
      <c r="M369" s="177"/>
      <c r="N369" s="177"/>
      <c r="O369" s="177"/>
      <c r="P369" s="177"/>
      <c r="Q369" s="177"/>
      <c r="R369" s="177"/>
      <c r="S369" s="177"/>
      <c r="T369" s="177"/>
      <c r="U369" s="177"/>
      <c r="V369" s="177"/>
      <c r="W369" s="177"/>
      <c r="X369" s="177"/>
      <c r="Y369" s="177"/>
      <c r="Z369" s="177"/>
      <c r="AA369" s="177"/>
      <c r="AB369" s="178"/>
      <c r="AC369" s="178"/>
      <c r="AD369" s="178"/>
      <c r="AE369" s="178"/>
      <c r="AF369" s="179"/>
      <c r="AG369" s="179"/>
      <c r="AH369" s="179"/>
      <c r="AI369" s="179"/>
      <c r="AJ369" s="179"/>
      <c r="AK369" s="179"/>
      <c r="AL369" s="179"/>
    </row>
    <row r="370" spans="2:38">
      <c r="B370" s="177"/>
      <c r="C370" s="177"/>
      <c r="D370" s="177"/>
      <c r="E370" s="177"/>
      <c r="F370" s="177"/>
      <c r="G370" s="177"/>
      <c r="H370" s="177"/>
      <c r="I370" s="177"/>
      <c r="J370" s="177"/>
      <c r="K370" s="177"/>
      <c r="L370" s="177"/>
      <c r="M370" s="177"/>
      <c r="N370" s="177"/>
      <c r="O370" s="177"/>
      <c r="P370" s="177"/>
      <c r="Q370" s="177"/>
      <c r="R370" s="177"/>
      <c r="S370" s="177"/>
      <c r="T370" s="177"/>
      <c r="U370" s="177"/>
      <c r="V370" s="177"/>
      <c r="W370" s="177"/>
      <c r="X370" s="177"/>
      <c r="Y370" s="177"/>
      <c r="Z370" s="177"/>
      <c r="AA370" s="177"/>
      <c r="AB370" s="178"/>
      <c r="AC370" s="178"/>
      <c r="AD370" s="178"/>
      <c r="AE370" s="178"/>
      <c r="AF370" s="179"/>
      <c r="AG370" s="179"/>
      <c r="AH370" s="179"/>
      <c r="AI370" s="179"/>
      <c r="AJ370" s="179"/>
      <c r="AK370" s="179"/>
      <c r="AL370" s="179"/>
    </row>
    <row r="371" spans="2:38">
      <c r="B371" s="177"/>
      <c r="C371" s="177"/>
      <c r="D371" s="177"/>
      <c r="E371" s="177"/>
      <c r="F371" s="177"/>
      <c r="G371" s="177"/>
      <c r="H371" s="177"/>
      <c r="I371" s="177"/>
      <c r="J371" s="177"/>
      <c r="K371" s="177"/>
      <c r="L371" s="177"/>
      <c r="M371" s="177"/>
      <c r="N371" s="177"/>
      <c r="O371" s="177"/>
      <c r="P371" s="177"/>
      <c r="Q371" s="177"/>
      <c r="R371" s="177"/>
      <c r="S371" s="177"/>
      <c r="T371" s="177"/>
      <c r="U371" s="177"/>
      <c r="V371" s="177"/>
      <c r="W371" s="177"/>
      <c r="X371" s="177"/>
      <c r="Y371" s="177"/>
      <c r="Z371" s="177"/>
      <c r="AA371" s="177"/>
      <c r="AB371" s="178"/>
      <c r="AC371" s="178"/>
      <c r="AD371" s="178"/>
      <c r="AE371" s="178"/>
      <c r="AF371" s="179"/>
      <c r="AG371" s="179"/>
      <c r="AH371" s="179"/>
      <c r="AI371" s="179"/>
      <c r="AJ371" s="179"/>
      <c r="AK371" s="179"/>
      <c r="AL371" s="179"/>
    </row>
    <row r="372" spans="2:38">
      <c r="B372" s="177"/>
      <c r="C372" s="177"/>
      <c r="D372" s="177"/>
      <c r="E372" s="177"/>
      <c r="F372" s="177"/>
      <c r="G372" s="177"/>
      <c r="H372" s="177"/>
      <c r="I372" s="177"/>
      <c r="J372" s="177"/>
      <c r="K372" s="177"/>
      <c r="L372" s="177"/>
      <c r="M372" s="177"/>
      <c r="N372" s="177"/>
      <c r="O372" s="177"/>
      <c r="P372" s="177"/>
      <c r="Q372" s="177"/>
      <c r="R372" s="177"/>
      <c r="S372" s="177"/>
      <c r="T372" s="177"/>
      <c r="U372" s="177"/>
      <c r="V372" s="177"/>
      <c r="W372" s="177"/>
      <c r="X372" s="177"/>
      <c r="Y372" s="177"/>
      <c r="Z372" s="177"/>
      <c r="AA372" s="177"/>
      <c r="AB372" s="178"/>
      <c r="AC372" s="178"/>
      <c r="AD372" s="178"/>
      <c r="AE372" s="178"/>
      <c r="AF372" s="179"/>
      <c r="AG372" s="179"/>
      <c r="AH372" s="179"/>
      <c r="AI372" s="179"/>
      <c r="AJ372" s="179"/>
      <c r="AK372" s="179"/>
      <c r="AL372" s="179"/>
    </row>
    <row r="373" spans="2:38">
      <c r="B373" s="177"/>
      <c r="C373" s="177"/>
      <c r="D373" s="177"/>
      <c r="E373" s="177"/>
      <c r="F373" s="177"/>
      <c r="G373" s="177"/>
      <c r="H373" s="177"/>
      <c r="I373" s="177"/>
      <c r="J373" s="177"/>
      <c r="K373" s="177"/>
      <c r="L373" s="177"/>
      <c r="M373" s="177"/>
      <c r="N373" s="177"/>
      <c r="O373" s="177"/>
      <c r="P373" s="177"/>
      <c r="Q373" s="177"/>
      <c r="R373" s="177"/>
      <c r="S373" s="177"/>
      <c r="T373" s="177"/>
      <c r="U373" s="177"/>
      <c r="V373" s="177"/>
      <c r="W373" s="177"/>
      <c r="X373" s="177"/>
      <c r="Y373" s="177"/>
      <c r="Z373" s="177"/>
      <c r="AA373" s="177"/>
      <c r="AB373" s="178"/>
      <c r="AC373" s="178"/>
      <c r="AD373" s="178"/>
      <c r="AE373" s="178"/>
      <c r="AF373" s="179"/>
      <c r="AG373" s="179"/>
      <c r="AH373" s="179"/>
      <c r="AI373" s="179"/>
      <c r="AJ373" s="179"/>
      <c r="AK373" s="179"/>
      <c r="AL373" s="179"/>
    </row>
    <row r="374" spans="2:38">
      <c r="B374" s="177"/>
      <c r="C374" s="177"/>
      <c r="D374" s="177"/>
      <c r="E374" s="177"/>
      <c r="F374" s="177"/>
      <c r="G374" s="177"/>
      <c r="H374" s="177"/>
      <c r="I374" s="177"/>
      <c r="J374" s="177"/>
      <c r="K374" s="177"/>
      <c r="L374" s="177"/>
      <c r="M374" s="177"/>
      <c r="N374" s="177"/>
      <c r="O374" s="177"/>
      <c r="P374" s="177"/>
      <c r="Q374" s="177"/>
      <c r="R374" s="177"/>
      <c r="S374" s="177"/>
      <c r="T374" s="177"/>
      <c r="U374" s="177"/>
      <c r="V374" s="177"/>
      <c r="W374" s="177"/>
      <c r="X374" s="177"/>
      <c r="Y374" s="177"/>
      <c r="Z374" s="177"/>
      <c r="AA374" s="177"/>
      <c r="AB374" s="178"/>
      <c r="AC374" s="178"/>
      <c r="AD374" s="178"/>
      <c r="AE374" s="178"/>
      <c r="AF374" s="179"/>
      <c r="AG374" s="179"/>
      <c r="AH374" s="179"/>
      <c r="AI374" s="179"/>
      <c r="AJ374" s="179"/>
      <c r="AK374" s="179"/>
      <c r="AL374" s="179"/>
    </row>
    <row r="375" spans="2:38">
      <c r="B375" s="177"/>
      <c r="C375" s="177"/>
      <c r="D375" s="177"/>
      <c r="E375" s="177"/>
      <c r="F375" s="177"/>
      <c r="G375" s="177"/>
      <c r="H375" s="177"/>
      <c r="I375" s="177"/>
      <c r="J375" s="177"/>
      <c r="K375" s="177"/>
      <c r="L375" s="177"/>
      <c r="M375" s="177"/>
      <c r="N375" s="177"/>
      <c r="O375" s="177"/>
      <c r="P375" s="177"/>
      <c r="Q375" s="177"/>
      <c r="R375" s="177"/>
      <c r="S375" s="177"/>
      <c r="T375" s="177"/>
      <c r="U375" s="177"/>
      <c r="V375" s="177"/>
      <c r="W375" s="177"/>
      <c r="X375" s="177"/>
      <c r="Y375" s="177"/>
      <c r="Z375" s="177"/>
      <c r="AA375" s="177"/>
      <c r="AB375" s="178"/>
      <c r="AC375" s="178"/>
      <c r="AD375" s="178"/>
      <c r="AE375" s="178"/>
      <c r="AF375" s="179"/>
      <c r="AG375" s="179"/>
      <c r="AH375" s="179"/>
      <c r="AI375" s="179"/>
      <c r="AJ375" s="179"/>
      <c r="AK375" s="179"/>
      <c r="AL375" s="179"/>
    </row>
    <row r="376" spans="2:38">
      <c r="B376" s="177"/>
      <c r="C376" s="177"/>
      <c r="D376" s="177"/>
      <c r="E376" s="177"/>
      <c r="F376" s="177"/>
      <c r="G376" s="177"/>
      <c r="H376" s="177"/>
      <c r="I376" s="177"/>
      <c r="J376" s="177"/>
      <c r="K376" s="177"/>
      <c r="L376" s="177"/>
      <c r="M376" s="177"/>
      <c r="N376" s="177"/>
      <c r="O376" s="177"/>
      <c r="P376" s="177"/>
      <c r="Q376" s="177"/>
      <c r="R376" s="177"/>
      <c r="S376" s="177"/>
      <c r="T376" s="177"/>
      <c r="U376" s="177"/>
      <c r="V376" s="177"/>
      <c r="W376" s="177"/>
      <c r="X376" s="177"/>
      <c r="Y376" s="177"/>
      <c r="Z376" s="177"/>
      <c r="AA376" s="177"/>
      <c r="AB376" s="178"/>
      <c r="AC376" s="178"/>
      <c r="AD376" s="178"/>
      <c r="AE376" s="178"/>
      <c r="AF376" s="179"/>
      <c r="AG376" s="179"/>
      <c r="AH376" s="179"/>
      <c r="AI376" s="179"/>
      <c r="AJ376" s="179"/>
      <c r="AK376" s="179"/>
      <c r="AL376" s="179"/>
    </row>
    <row r="377" spans="2:38">
      <c r="B377" s="177"/>
      <c r="C377" s="177"/>
      <c r="D377" s="177"/>
      <c r="E377" s="177"/>
      <c r="F377" s="177"/>
      <c r="G377" s="177"/>
      <c r="H377" s="177"/>
      <c r="I377" s="177"/>
      <c r="J377" s="177"/>
      <c r="K377" s="177"/>
      <c r="L377" s="177"/>
      <c r="M377" s="177"/>
      <c r="N377" s="177"/>
      <c r="O377" s="177"/>
      <c r="P377" s="177"/>
      <c r="Q377" s="177"/>
      <c r="R377" s="177"/>
      <c r="S377" s="177"/>
      <c r="T377" s="177"/>
      <c r="U377" s="177"/>
      <c r="V377" s="177"/>
      <c r="W377" s="177"/>
      <c r="X377" s="177"/>
      <c r="Y377" s="177"/>
      <c r="Z377" s="177"/>
      <c r="AA377" s="177"/>
      <c r="AB377" s="178"/>
      <c r="AC377" s="178"/>
      <c r="AD377" s="178"/>
      <c r="AE377" s="178"/>
      <c r="AF377" s="179"/>
      <c r="AG377" s="179"/>
      <c r="AH377" s="179"/>
      <c r="AI377" s="179"/>
      <c r="AJ377" s="179"/>
      <c r="AK377" s="179"/>
      <c r="AL377" s="179"/>
    </row>
    <row r="378" spans="2:38">
      <c r="B378" s="177"/>
      <c r="C378" s="177"/>
      <c r="D378" s="177"/>
      <c r="E378" s="177"/>
      <c r="F378" s="177"/>
      <c r="G378" s="177"/>
      <c r="H378" s="177"/>
      <c r="I378" s="177"/>
      <c r="J378" s="177"/>
      <c r="K378" s="177"/>
      <c r="L378" s="177"/>
      <c r="M378" s="177"/>
      <c r="N378" s="177"/>
      <c r="O378" s="177"/>
      <c r="P378" s="177"/>
      <c r="Q378" s="177"/>
      <c r="R378" s="177"/>
      <c r="S378" s="177"/>
      <c r="T378" s="177"/>
      <c r="U378" s="177"/>
      <c r="V378" s="177"/>
      <c r="W378" s="177"/>
      <c r="X378" s="177"/>
      <c r="Y378" s="177"/>
      <c r="Z378" s="177"/>
      <c r="AA378" s="177"/>
      <c r="AB378" s="178"/>
      <c r="AC378" s="178"/>
      <c r="AD378" s="178"/>
      <c r="AE378" s="178"/>
      <c r="AF378" s="179"/>
      <c r="AG378" s="179"/>
      <c r="AH378" s="179"/>
      <c r="AI378" s="179"/>
      <c r="AJ378" s="179"/>
      <c r="AK378" s="179"/>
      <c r="AL378" s="179"/>
    </row>
    <row r="379" spans="2:38">
      <c r="B379" s="177"/>
      <c r="C379" s="177"/>
      <c r="D379" s="177"/>
      <c r="E379" s="177"/>
      <c r="F379" s="177"/>
      <c r="G379" s="177"/>
      <c r="H379" s="177"/>
      <c r="I379" s="177"/>
      <c r="J379" s="177"/>
      <c r="K379" s="177"/>
      <c r="L379" s="177"/>
      <c r="M379" s="177"/>
      <c r="N379" s="177"/>
      <c r="O379" s="177"/>
      <c r="P379" s="177"/>
      <c r="Q379" s="177"/>
      <c r="R379" s="177"/>
      <c r="S379" s="177"/>
      <c r="T379" s="177"/>
      <c r="U379" s="177"/>
      <c r="V379" s="177"/>
      <c r="W379" s="177"/>
      <c r="X379" s="177"/>
      <c r="Y379" s="177"/>
      <c r="Z379" s="177"/>
      <c r="AA379" s="177"/>
      <c r="AB379" s="178"/>
      <c r="AC379" s="178"/>
      <c r="AD379" s="178"/>
      <c r="AE379" s="178"/>
      <c r="AF379" s="179"/>
      <c r="AG379" s="179"/>
      <c r="AH379" s="179"/>
      <c r="AI379" s="179"/>
      <c r="AJ379" s="179"/>
      <c r="AK379" s="179"/>
      <c r="AL379" s="179"/>
    </row>
    <row r="380" spans="2:38">
      <c r="B380" s="177"/>
      <c r="C380" s="177"/>
      <c r="D380" s="177"/>
      <c r="E380" s="177"/>
      <c r="F380" s="177"/>
      <c r="G380" s="177"/>
      <c r="H380" s="177"/>
      <c r="I380" s="177"/>
      <c r="J380" s="177"/>
      <c r="K380" s="177"/>
      <c r="L380" s="177"/>
      <c r="M380" s="177"/>
      <c r="N380" s="177"/>
      <c r="O380" s="177"/>
      <c r="P380" s="177"/>
      <c r="Q380" s="177"/>
      <c r="R380" s="177"/>
      <c r="S380" s="177"/>
      <c r="T380" s="177"/>
      <c r="U380" s="177"/>
      <c r="V380" s="177"/>
      <c r="W380" s="177"/>
      <c r="X380" s="177"/>
      <c r="Y380" s="177"/>
      <c r="Z380" s="177"/>
      <c r="AA380" s="177"/>
      <c r="AB380" s="178"/>
      <c r="AC380" s="178"/>
      <c r="AD380" s="178"/>
      <c r="AE380" s="178"/>
      <c r="AF380" s="179"/>
      <c r="AG380" s="179"/>
      <c r="AH380" s="179"/>
      <c r="AI380" s="179"/>
      <c r="AJ380" s="179"/>
      <c r="AK380" s="179"/>
      <c r="AL380" s="179"/>
    </row>
    <row r="381" spans="2:38">
      <c r="B381" s="177"/>
      <c r="C381" s="177"/>
      <c r="D381" s="177"/>
      <c r="E381" s="177"/>
      <c r="F381" s="177"/>
      <c r="G381" s="177"/>
      <c r="H381" s="177"/>
      <c r="I381" s="177"/>
      <c r="J381" s="177"/>
      <c r="K381" s="177"/>
      <c r="L381" s="177"/>
      <c r="M381" s="177"/>
      <c r="N381" s="177"/>
      <c r="O381" s="177"/>
      <c r="P381" s="177"/>
      <c r="Q381" s="177"/>
      <c r="R381" s="177"/>
      <c r="S381" s="177"/>
      <c r="T381" s="177"/>
      <c r="U381" s="177"/>
      <c r="V381" s="177"/>
      <c r="W381" s="177"/>
      <c r="X381" s="177"/>
      <c r="Y381" s="177"/>
      <c r="Z381" s="177"/>
      <c r="AA381" s="177"/>
      <c r="AB381" s="178"/>
      <c r="AC381" s="178"/>
      <c r="AD381" s="178"/>
      <c r="AE381" s="178"/>
      <c r="AF381" s="179"/>
      <c r="AG381" s="179"/>
      <c r="AH381" s="179"/>
      <c r="AI381" s="179"/>
      <c r="AJ381" s="179"/>
      <c r="AK381" s="179"/>
      <c r="AL381" s="179"/>
    </row>
    <row r="382" spans="2:38">
      <c r="B382" s="177"/>
      <c r="C382" s="177"/>
      <c r="D382" s="177"/>
      <c r="E382" s="177"/>
      <c r="F382" s="177"/>
      <c r="G382" s="177"/>
      <c r="H382" s="177"/>
      <c r="I382" s="177"/>
      <c r="J382" s="177"/>
      <c r="K382" s="177"/>
      <c r="L382" s="177"/>
      <c r="M382" s="177"/>
      <c r="N382" s="177"/>
      <c r="O382" s="177"/>
      <c r="P382" s="177"/>
      <c r="Q382" s="177"/>
      <c r="R382" s="177"/>
      <c r="S382" s="177"/>
      <c r="T382" s="177"/>
      <c r="U382" s="177"/>
      <c r="V382" s="177"/>
      <c r="W382" s="177"/>
      <c r="X382" s="177"/>
      <c r="Y382" s="177"/>
      <c r="Z382" s="177"/>
      <c r="AA382" s="177"/>
      <c r="AB382" s="178"/>
      <c r="AC382" s="178"/>
      <c r="AD382" s="178"/>
      <c r="AE382" s="178"/>
      <c r="AF382" s="179"/>
      <c r="AG382" s="179"/>
      <c r="AH382" s="179"/>
      <c r="AI382" s="179"/>
      <c r="AJ382" s="179"/>
      <c r="AK382" s="179"/>
      <c r="AL382" s="179"/>
    </row>
    <row r="383" spans="2:38">
      <c r="B383" s="177"/>
      <c r="C383" s="177"/>
      <c r="D383" s="177"/>
      <c r="E383" s="177"/>
      <c r="F383" s="177"/>
      <c r="G383" s="177"/>
      <c r="H383" s="177"/>
      <c r="I383" s="177"/>
      <c r="J383" s="177"/>
      <c r="K383" s="177"/>
      <c r="L383" s="177"/>
      <c r="M383" s="177"/>
      <c r="N383" s="177"/>
      <c r="O383" s="177"/>
      <c r="P383" s="177"/>
      <c r="Q383" s="177"/>
      <c r="R383" s="177"/>
      <c r="S383" s="177"/>
      <c r="T383" s="177"/>
      <c r="U383" s="177"/>
      <c r="V383" s="177"/>
      <c r="W383" s="177"/>
      <c r="X383" s="177"/>
      <c r="Y383" s="177"/>
      <c r="Z383" s="177"/>
      <c r="AA383" s="177"/>
      <c r="AB383" s="178"/>
      <c r="AC383" s="178"/>
      <c r="AD383" s="178"/>
      <c r="AE383" s="178"/>
      <c r="AF383" s="179"/>
      <c r="AG383" s="179"/>
      <c r="AH383" s="179"/>
      <c r="AI383" s="179"/>
      <c r="AJ383" s="179"/>
      <c r="AK383" s="179"/>
      <c r="AL383" s="179"/>
    </row>
    <row r="384" spans="2:38">
      <c r="B384" s="177"/>
      <c r="C384" s="177"/>
      <c r="D384" s="177"/>
      <c r="E384" s="177"/>
      <c r="F384" s="177"/>
      <c r="G384" s="177"/>
      <c r="H384" s="177"/>
      <c r="I384" s="177"/>
      <c r="J384" s="177"/>
      <c r="K384" s="177"/>
      <c r="L384" s="177"/>
      <c r="M384" s="177"/>
      <c r="N384" s="177"/>
      <c r="O384" s="177"/>
      <c r="P384" s="177"/>
      <c r="Q384" s="177"/>
      <c r="R384" s="177"/>
      <c r="S384" s="177"/>
      <c r="T384" s="177"/>
      <c r="U384" s="177"/>
      <c r="V384" s="177"/>
      <c r="W384" s="177"/>
      <c r="X384" s="177"/>
      <c r="Y384" s="177"/>
      <c r="Z384" s="177"/>
      <c r="AA384" s="177"/>
      <c r="AB384" s="178"/>
      <c r="AC384" s="178"/>
      <c r="AD384" s="178"/>
      <c r="AE384" s="178"/>
      <c r="AF384" s="179"/>
      <c r="AG384" s="179"/>
      <c r="AH384" s="179"/>
      <c r="AI384" s="179"/>
      <c r="AJ384" s="179"/>
      <c r="AK384" s="179"/>
      <c r="AL384" s="179"/>
    </row>
    <row r="385" spans="2:38">
      <c r="B385" s="177"/>
      <c r="C385" s="177"/>
      <c r="D385" s="177"/>
      <c r="E385" s="177"/>
      <c r="F385" s="177"/>
      <c r="G385" s="177"/>
      <c r="H385" s="177"/>
      <c r="I385" s="177"/>
      <c r="J385" s="177"/>
      <c r="K385" s="177"/>
      <c r="L385" s="177"/>
      <c r="M385" s="177"/>
      <c r="N385" s="177"/>
      <c r="O385" s="177"/>
      <c r="P385" s="177"/>
      <c r="Q385" s="177"/>
      <c r="R385" s="177"/>
      <c r="S385" s="177"/>
      <c r="T385" s="177"/>
      <c r="U385" s="177"/>
      <c r="V385" s="177"/>
      <c r="W385" s="177"/>
      <c r="X385" s="177"/>
      <c r="Y385" s="177"/>
      <c r="Z385" s="177"/>
      <c r="AA385" s="177"/>
      <c r="AB385" s="178"/>
      <c r="AC385" s="178"/>
      <c r="AD385" s="178"/>
      <c r="AE385" s="178"/>
      <c r="AF385" s="179"/>
      <c r="AG385" s="179"/>
      <c r="AH385" s="179"/>
      <c r="AI385" s="179"/>
      <c r="AJ385" s="179"/>
      <c r="AK385" s="179"/>
      <c r="AL385" s="179"/>
    </row>
    <row r="386" spans="2:38">
      <c r="B386" s="177"/>
      <c r="C386" s="177"/>
      <c r="D386" s="177"/>
      <c r="E386" s="177"/>
      <c r="F386" s="177"/>
      <c r="G386" s="177"/>
      <c r="H386" s="177"/>
      <c r="I386" s="177"/>
      <c r="J386" s="177"/>
      <c r="K386" s="177"/>
      <c r="L386" s="177"/>
      <c r="M386" s="177"/>
      <c r="N386" s="177"/>
      <c r="O386" s="177"/>
      <c r="P386" s="177"/>
      <c r="Q386" s="177"/>
      <c r="R386" s="177"/>
      <c r="S386" s="177"/>
      <c r="T386" s="177"/>
      <c r="U386" s="177"/>
      <c r="V386" s="177"/>
      <c r="W386" s="177"/>
      <c r="X386" s="177"/>
      <c r="Y386" s="177"/>
      <c r="Z386" s="177"/>
      <c r="AA386" s="177"/>
      <c r="AB386" s="178"/>
      <c r="AC386" s="178"/>
      <c r="AD386" s="178"/>
      <c r="AE386" s="178"/>
      <c r="AF386" s="179"/>
      <c r="AG386" s="179"/>
      <c r="AH386" s="179"/>
      <c r="AI386" s="179"/>
      <c r="AJ386" s="179"/>
      <c r="AK386" s="179"/>
      <c r="AL386" s="179"/>
    </row>
    <row r="387" spans="2:38">
      <c r="B387" s="177"/>
      <c r="C387" s="177"/>
      <c r="D387" s="177"/>
      <c r="E387" s="177"/>
      <c r="F387" s="177"/>
      <c r="G387" s="177"/>
      <c r="H387" s="177"/>
      <c r="I387" s="177"/>
      <c r="J387" s="177"/>
      <c r="K387" s="177"/>
      <c r="L387" s="177"/>
      <c r="M387" s="177"/>
      <c r="N387" s="177"/>
      <c r="O387" s="177"/>
      <c r="P387" s="177"/>
      <c r="Q387" s="177"/>
      <c r="R387" s="177"/>
      <c r="S387" s="177"/>
      <c r="T387" s="177"/>
      <c r="U387" s="177"/>
      <c r="V387" s="177"/>
      <c r="W387" s="177"/>
      <c r="X387" s="177"/>
      <c r="Y387" s="177"/>
      <c r="Z387" s="177"/>
      <c r="AA387" s="177"/>
      <c r="AB387" s="178"/>
      <c r="AC387" s="178"/>
      <c r="AD387" s="178"/>
      <c r="AE387" s="178"/>
      <c r="AF387" s="179"/>
      <c r="AG387" s="179"/>
      <c r="AH387" s="179"/>
      <c r="AI387" s="179"/>
      <c r="AJ387" s="179"/>
      <c r="AK387" s="179"/>
      <c r="AL387" s="179"/>
    </row>
    <row r="388" spans="2:38">
      <c r="B388" s="177"/>
      <c r="C388" s="177"/>
      <c r="D388" s="177"/>
      <c r="E388" s="177"/>
      <c r="F388" s="177"/>
      <c r="G388" s="177"/>
      <c r="H388" s="177"/>
      <c r="I388" s="177"/>
      <c r="J388" s="177"/>
      <c r="K388" s="177"/>
      <c r="L388" s="177"/>
      <c r="M388" s="177"/>
      <c r="N388" s="177"/>
      <c r="O388" s="177"/>
      <c r="P388" s="177"/>
      <c r="Q388" s="177"/>
      <c r="R388" s="177"/>
      <c r="S388" s="177"/>
      <c r="T388" s="177"/>
      <c r="U388" s="177"/>
      <c r="V388" s="177"/>
      <c r="W388" s="177"/>
      <c r="X388" s="177"/>
      <c r="Y388" s="177"/>
      <c r="Z388" s="177"/>
      <c r="AA388" s="177"/>
      <c r="AB388" s="178"/>
      <c r="AC388" s="178"/>
      <c r="AD388" s="178"/>
      <c r="AE388" s="178"/>
      <c r="AF388" s="179"/>
      <c r="AG388" s="179"/>
      <c r="AH388" s="179"/>
      <c r="AI388" s="179"/>
      <c r="AJ388" s="179"/>
      <c r="AK388" s="179"/>
      <c r="AL388" s="179"/>
    </row>
    <row r="389" spans="2:38">
      <c r="B389" s="177"/>
      <c r="C389" s="177"/>
      <c r="D389" s="177"/>
      <c r="E389" s="177"/>
      <c r="F389" s="177"/>
      <c r="G389" s="177"/>
      <c r="H389" s="177"/>
      <c r="I389" s="177"/>
      <c r="J389" s="177"/>
      <c r="K389" s="177"/>
      <c r="L389" s="177"/>
      <c r="M389" s="177"/>
      <c r="N389" s="177"/>
      <c r="O389" s="177"/>
      <c r="P389" s="177"/>
      <c r="Q389" s="177"/>
      <c r="R389" s="177"/>
      <c r="S389" s="177"/>
      <c r="T389" s="177"/>
      <c r="U389" s="177"/>
      <c r="V389" s="177"/>
      <c r="W389" s="177"/>
      <c r="X389" s="177"/>
      <c r="Y389" s="177"/>
      <c r="Z389" s="177"/>
      <c r="AA389" s="177"/>
      <c r="AB389" s="178"/>
      <c r="AC389" s="178"/>
      <c r="AD389" s="178"/>
      <c r="AE389" s="178"/>
      <c r="AF389" s="179"/>
      <c r="AG389" s="179"/>
      <c r="AH389" s="179"/>
      <c r="AI389" s="179"/>
      <c r="AJ389" s="179"/>
      <c r="AK389" s="179"/>
      <c r="AL389" s="179"/>
    </row>
    <row r="390" spans="2:38">
      <c r="B390" s="177"/>
      <c r="C390" s="177"/>
      <c r="D390" s="177"/>
      <c r="E390" s="177"/>
      <c r="F390" s="177"/>
      <c r="G390" s="177"/>
      <c r="H390" s="177"/>
      <c r="I390" s="177"/>
      <c r="J390" s="177"/>
      <c r="K390" s="177"/>
      <c r="L390" s="177"/>
      <c r="M390" s="177"/>
      <c r="N390" s="177"/>
      <c r="O390" s="177"/>
      <c r="P390" s="177"/>
      <c r="Q390" s="177"/>
      <c r="R390" s="177"/>
      <c r="S390" s="177"/>
      <c r="T390" s="177"/>
      <c r="U390" s="177"/>
      <c r="V390" s="177"/>
      <c r="W390" s="177"/>
      <c r="X390" s="177"/>
      <c r="Y390" s="177"/>
      <c r="Z390" s="177"/>
      <c r="AA390" s="177"/>
      <c r="AB390" s="178"/>
      <c r="AC390" s="178"/>
      <c r="AD390" s="178"/>
      <c r="AE390" s="178"/>
      <c r="AF390" s="179"/>
      <c r="AG390" s="179"/>
      <c r="AH390" s="179"/>
      <c r="AI390" s="179"/>
      <c r="AJ390" s="179"/>
      <c r="AK390" s="179"/>
      <c r="AL390" s="179"/>
    </row>
    <row r="391" spans="2:38">
      <c r="B391" s="177"/>
      <c r="C391" s="177"/>
      <c r="D391" s="177"/>
      <c r="E391" s="177"/>
      <c r="F391" s="177"/>
      <c r="G391" s="177"/>
      <c r="H391" s="177"/>
      <c r="I391" s="177"/>
      <c r="J391" s="177"/>
      <c r="K391" s="177"/>
      <c r="L391" s="177"/>
      <c r="M391" s="177"/>
      <c r="N391" s="177"/>
      <c r="O391" s="177"/>
      <c r="P391" s="177"/>
      <c r="Q391" s="177"/>
      <c r="R391" s="177"/>
      <c r="S391" s="177"/>
      <c r="T391" s="177"/>
      <c r="U391" s="177"/>
      <c r="V391" s="177"/>
      <c r="W391" s="177"/>
      <c r="X391" s="177"/>
      <c r="Y391" s="177"/>
      <c r="Z391" s="177"/>
      <c r="AA391" s="177"/>
      <c r="AB391" s="178"/>
      <c r="AC391" s="178"/>
      <c r="AD391" s="178"/>
      <c r="AE391" s="178"/>
      <c r="AF391" s="179"/>
      <c r="AG391" s="179"/>
      <c r="AH391" s="179"/>
      <c r="AI391" s="179"/>
      <c r="AJ391" s="179"/>
      <c r="AK391" s="179"/>
      <c r="AL391" s="179"/>
    </row>
    <row r="392" spans="2:38">
      <c r="B392" s="177"/>
      <c r="C392" s="177"/>
      <c r="D392" s="177"/>
      <c r="E392" s="177"/>
      <c r="F392" s="177"/>
      <c r="G392" s="177"/>
      <c r="H392" s="177"/>
      <c r="I392" s="177"/>
      <c r="J392" s="177"/>
      <c r="K392" s="177"/>
      <c r="L392" s="177"/>
      <c r="M392" s="177"/>
      <c r="N392" s="177"/>
      <c r="O392" s="177"/>
      <c r="P392" s="177"/>
      <c r="Q392" s="177"/>
      <c r="R392" s="177"/>
      <c r="S392" s="177"/>
      <c r="T392" s="177"/>
      <c r="U392" s="177"/>
      <c r="V392" s="177"/>
      <c r="W392" s="177"/>
      <c r="X392" s="177"/>
      <c r="Y392" s="177"/>
      <c r="Z392" s="177"/>
      <c r="AA392" s="177"/>
      <c r="AB392" s="178"/>
      <c r="AC392" s="178"/>
      <c r="AD392" s="178"/>
      <c r="AE392" s="178"/>
      <c r="AF392" s="179"/>
      <c r="AG392" s="179"/>
      <c r="AH392" s="179"/>
      <c r="AI392" s="179"/>
      <c r="AJ392" s="179"/>
      <c r="AK392" s="179"/>
      <c r="AL392" s="179"/>
    </row>
    <row r="393" spans="2:38">
      <c r="B393" s="177"/>
      <c r="C393" s="177"/>
      <c r="D393" s="177"/>
      <c r="E393" s="177"/>
      <c r="F393" s="177"/>
      <c r="G393" s="177"/>
      <c r="H393" s="177"/>
      <c r="I393" s="177"/>
      <c r="J393" s="177"/>
      <c r="K393" s="177"/>
      <c r="L393" s="177"/>
      <c r="M393" s="177"/>
      <c r="N393" s="177"/>
      <c r="O393" s="177"/>
      <c r="P393" s="177"/>
      <c r="Q393" s="177"/>
      <c r="R393" s="177"/>
      <c r="S393" s="177"/>
      <c r="T393" s="177"/>
      <c r="U393" s="177"/>
      <c r="V393" s="177"/>
      <c r="W393" s="177"/>
      <c r="X393" s="177"/>
      <c r="Y393" s="177"/>
      <c r="Z393" s="177"/>
      <c r="AA393" s="177"/>
      <c r="AB393" s="178"/>
      <c r="AC393" s="178"/>
      <c r="AD393" s="178"/>
      <c r="AE393" s="178"/>
      <c r="AF393" s="179"/>
      <c r="AG393" s="179"/>
      <c r="AH393" s="179"/>
      <c r="AI393" s="179"/>
      <c r="AJ393" s="179"/>
      <c r="AK393" s="179"/>
      <c r="AL393" s="179"/>
    </row>
    <row r="394" spans="2:38">
      <c r="B394" s="177"/>
      <c r="C394" s="177"/>
      <c r="D394" s="177"/>
      <c r="E394" s="177"/>
      <c r="F394" s="177"/>
      <c r="G394" s="177"/>
      <c r="H394" s="177"/>
      <c r="I394" s="177"/>
      <c r="J394" s="177"/>
      <c r="K394" s="177"/>
      <c r="L394" s="177"/>
      <c r="M394" s="177"/>
      <c r="N394" s="177"/>
      <c r="O394" s="177"/>
      <c r="P394" s="177"/>
      <c r="Q394" s="177"/>
      <c r="R394" s="177"/>
      <c r="S394" s="177"/>
      <c r="T394" s="177"/>
      <c r="U394" s="177"/>
      <c r="V394" s="177"/>
      <c r="W394" s="177"/>
      <c r="X394" s="177"/>
      <c r="Y394" s="177"/>
      <c r="Z394" s="177"/>
      <c r="AA394" s="177"/>
      <c r="AB394" s="178"/>
      <c r="AC394" s="178"/>
      <c r="AD394" s="178"/>
      <c r="AE394" s="178"/>
      <c r="AF394" s="179"/>
      <c r="AG394" s="179"/>
      <c r="AH394" s="179"/>
      <c r="AI394" s="179"/>
      <c r="AJ394" s="179"/>
      <c r="AK394" s="179"/>
      <c r="AL394" s="179"/>
    </row>
    <row r="395" spans="2:38">
      <c r="B395" s="177"/>
      <c r="C395" s="177"/>
      <c r="D395" s="177"/>
      <c r="E395" s="177"/>
      <c r="F395" s="177"/>
      <c r="G395" s="177"/>
      <c r="H395" s="177"/>
      <c r="I395" s="177"/>
      <c r="J395" s="177"/>
      <c r="K395" s="177"/>
      <c r="L395" s="177"/>
      <c r="M395" s="177"/>
      <c r="N395" s="177"/>
      <c r="O395" s="177"/>
      <c r="P395" s="177"/>
      <c r="Q395" s="177"/>
      <c r="R395" s="177"/>
      <c r="S395" s="177"/>
      <c r="T395" s="177"/>
      <c r="U395" s="177"/>
      <c r="V395" s="177"/>
      <c r="W395" s="177"/>
      <c r="X395" s="177"/>
      <c r="Y395" s="177"/>
      <c r="Z395" s="177"/>
      <c r="AA395" s="177"/>
      <c r="AB395" s="178"/>
      <c r="AC395" s="178"/>
      <c r="AD395" s="178"/>
      <c r="AE395" s="178"/>
      <c r="AF395" s="179"/>
      <c r="AG395" s="179"/>
      <c r="AH395" s="179"/>
      <c r="AI395" s="179"/>
      <c r="AJ395" s="179"/>
      <c r="AK395" s="179"/>
      <c r="AL395" s="179"/>
    </row>
    <row r="396" spans="2:38">
      <c r="B396" s="177"/>
      <c r="C396" s="177"/>
      <c r="D396" s="177"/>
      <c r="E396" s="177"/>
      <c r="F396" s="177"/>
      <c r="G396" s="177"/>
      <c r="H396" s="177"/>
      <c r="I396" s="177"/>
      <c r="J396" s="177"/>
      <c r="K396" s="177"/>
      <c r="L396" s="177"/>
      <c r="M396" s="177"/>
      <c r="N396" s="177"/>
      <c r="O396" s="177"/>
      <c r="P396" s="177"/>
      <c r="Q396" s="177"/>
      <c r="R396" s="177"/>
      <c r="S396" s="177"/>
      <c r="T396" s="177"/>
      <c r="U396" s="177"/>
      <c r="V396" s="177"/>
      <c r="W396" s="177"/>
      <c r="X396" s="177"/>
      <c r="Y396" s="177"/>
      <c r="Z396" s="177"/>
      <c r="AA396" s="177"/>
      <c r="AB396" s="178"/>
      <c r="AC396" s="178"/>
      <c r="AD396" s="178"/>
      <c r="AE396" s="178"/>
      <c r="AF396" s="179"/>
      <c r="AG396" s="179"/>
      <c r="AH396" s="179"/>
      <c r="AI396" s="179"/>
      <c r="AJ396" s="179"/>
      <c r="AK396" s="179"/>
      <c r="AL396" s="179"/>
    </row>
    <row r="397" spans="2:38">
      <c r="B397" s="177"/>
      <c r="C397" s="177"/>
      <c r="D397" s="177"/>
      <c r="E397" s="177"/>
      <c r="F397" s="177"/>
      <c r="G397" s="177"/>
      <c r="H397" s="177"/>
      <c r="I397" s="177"/>
      <c r="J397" s="177"/>
      <c r="K397" s="177"/>
      <c r="L397" s="177"/>
      <c r="M397" s="177"/>
      <c r="N397" s="177"/>
      <c r="O397" s="177"/>
      <c r="P397" s="177"/>
      <c r="Q397" s="177"/>
      <c r="R397" s="177"/>
      <c r="S397" s="177"/>
      <c r="T397" s="177"/>
      <c r="U397" s="177"/>
      <c r="V397" s="177"/>
      <c r="W397" s="177"/>
      <c r="X397" s="177"/>
      <c r="Y397" s="177"/>
      <c r="Z397" s="177"/>
      <c r="AA397" s="177"/>
      <c r="AB397" s="178"/>
      <c r="AC397" s="178"/>
      <c r="AD397" s="178"/>
      <c r="AE397" s="178"/>
      <c r="AF397" s="179"/>
      <c r="AG397" s="179"/>
      <c r="AH397" s="179"/>
      <c r="AI397" s="179"/>
      <c r="AJ397" s="179"/>
      <c r="AK397" s="179"/>
      <c r="AL397" s="179"/>
    </row>
    <row r="398" spans="2:38">
      <c r="B398" s="177"/>
      <c r="C398" s="177"/>
      <c r="D398" s="177"/>
      <c r="E398" s="177"/>
      <c r="F398" s="177"/>
      <c r="G398" s="177"/>
      <c r="H398" s="177"/>
      <c r="I398" s="177"/>
      <c r="J398" s="177"/>
      <c r="K398" s="177"/>
      <c r="L398" s="177"/>
      <c r="M398" s="177"/>
      <c r="N398" s="177"/>
      <c r="O398" s="177"/>
      <c r="P398" s="177"/>
      <c r="Q398" s="177"/>
      <c r="R398" s="177"/>
      <c r="S398" s="177"/>
      <c r="T398" s="177"/>
      <c r="U398" s="177"/>
      <c r="V398" s="177"/>
      <c r="W398" s="177"/>
      <c r="X398" s="177"/>
      <c r="Y398" s="177"/>
      <c r="Z398" s="177"/>
      <c r="AA398" s="177"/>
      <c r="AB398" s="178"/>
      <c r="AC398" s="178"/>
      <c r="AD398" s="178"/>
      <c r="AE398" s="178"/>
      <c r="AF398" s="179"/>
      <c r="AG398" s="179"/>
      <c r="AH398" s="179"/>
      <c r="AI398" s="179"/>
      <c r="AJ398" s="179"/>
      <c r="AK398" s="179"/>
      <c r="AL398" s="179"/>
    </row>
    <row r="399" spans="2:38">
      <c r="B399" s="177"/>
      <c r="C399" s="177"/>
      <c r="D399" s="177"/>
      <c r="E399" s="177"/>
      <c r="F399" s="177"/>
      <c r="G399" s="177"/>
      <c r="H399" s="177"/>
      <c r="I399" s="177"/>
      <c r="J399" s="177"/>
      <c r="K399" s="177"/>
      <c r="L399" s="177"/>
      <c r="M399" s="177"/>
      <c r="N399" s="177"/>
      <c r="O399" s="177"/>
      <c r="P399" s="177"/>
      <c r="Q399" s="177"/>
      <c r="R399" s="177"/>
      <c r="S399" s="177"/>
      <c r="T399" s="177"/>
      <c r="U399" s="177"/>
      <c r="V399" s="177"/>
      <c r="W399" s="177"/>
      <c r="X399" s="177"/>
      <c r="Y399" s="177"/>
      <c r="Z399" s="177"/>
      <c r="AA399" s="177"/>
      <c r="AB399" s="178"/>
      <c r="AC399" s="178"/>
      <c r="AD399" s="178"/>
      <c r="AE399" s="178"/>
      <c r="AF399" s="179"/>
      <c r="AG399" s="179"/>
      <c r="AH399" s="179"/>
      <c r="AI399" s="179"/>
      <c r="AJ399" s="179"/>
      <c r="AK399" s="179"/>
      <c r="AL399" s="179"/>
    </row>
    <row r="400" spans="2:38">
      <c r="B400" s="177"/>
      <c r="C400" s="177"/>
      <c r="D400" s="177"/>
      <c r="E400" s="177"/>
      <c r="F400" s="177"/>
      <c r="G400" s="177"/>
      <c r="H400" s="177"/>
      <c r="I400" s="177"/>
      <c r="J400" s="177"/>
      <c r="K400" s="177"/>
      <c r="L400" s="177"/>
      <c r="M400" s="177"/>
      <c r="N400" s="177"/>
      <c r="O400" s="177"/>
      <c r="P400" s="177"/>
      <c r="Q400" s="177"/>
      <c r="R400" s="177"/>
      <c r="S400" s="177"/>
      <c r="T400" s="177"/>
      <c r="U400" s="177"/>
      <c r="V400" s="177"/>
      <c r="W400" s="177"/>
      <c r="X400" s="177"/>
      <c r="Y400" s="177"/>
      <c r="Z400" s="177"/>
      <c r="AA400" s="177"/>
      <c r="AB400" s="178"/>
      <c r="AC400" s="178"/>
      <c r="AD400" s="178"/>
      <c r="AE400" s="178"/>
      <c r="AF400" s="179"/>
      <c r="AG400" s="179"/>
      <c r="AH400" s="179"/>
      <c r="AI400" s="179"/>
      <c r="AJ400" s="179"/>
      <c r="AK400" s="179"/>
      <c r="AL400" s="179"/>
    </row>
    <row r="401" spans="2:38">
      <c r="B401" s="177"/>
      <c r="C401" s="177"/>
      <c r="D401" s="177"/>
      <c r="E401" s="177"/>
      <c r="F401" s="177"/>
      <c r="G401" s="177"/>
      <c r="H401" s="177"/>
      <c r="I401" s="177"/>
      <c r="J401" s="177"/>
      <c r="K401" s="177"/>
      <c r="L401" s="177"/>
      <c r="M401" s="177"/>
      <c r="N401" s="177"/>
      <c r="O401" s="177"/>
      <c r="P401" s="177"/>
      <c r="Q401" s="177"/>
      <c r="R401" s="177"/>
      <c r="S401" s="177"/>
      <c r="T401" s="177"/>
      <c r="U401" s="177"/>
      <c r="V401" s="177"/>
      <c r="W401" s="177"/>
      <c r="X401" s="177"/>
      <c r="Y401" s="177"/>
      <c r="Z401" s="177"/>
      <c r="AA401" s="177"/>
      <c r="AB401" s="178"/>
      <c r="AC401" s="178"/>
      <c r="AD401" s="178"/>
      <c r="AE401" s="178"/>
      <c r="AF401" s="179"/>
      <c r="AG401" s="179"/>
      <c r="AH401" s="179"/>
      <c r="AI401" s="179"/>
      <c r="AJ401" s="179"/>
      <c r="AK401" s="179"/>
      <c r="AL401" s="179"/>
    </row>
    <row r="402" spans="2:38">
      <c r="B402" s="177"/>
      <c r="C402" s="177"/>
      <c r="D402" s="177"/>
      <c r="E402" s="177"/>
      <c r="F402" s="177"/>
      <c r="G402" s="177"/>
      <c r="H402" s="177"/>
      <c r="I402" s="177"/>
      <c r="J402" s="177"/>
      <c r="K402" s="177"/>
      <c r="L402" s="177"/>
      <c r="M402" s="177"/>
      <c r="N402" s="177"/>
      <c r="O402" s="177"/>
      <c r="P402" s="177"/>
      <c r="Q402" s="177"/>
      <c r="R402" s="177"/>
      <c r="S402" s="177"/>
      <c r="T402" s="177"/>
      <c r="U402" s="177"/>
      <c r="V402" s="177"/>
      <c r="W402" s="177"/>
      <c r="X402" s="177"/>
      <c r="Y402" s="177"/>
      <c r="Z402" s="177"/>
      <c r="AA402" s="177"/>
      <c r="AB402" s="178"/>
      <c r="AC402" s="178"/>
      <c r="AD402" s="178"/>
      <c r="AE402" s="178"/>
      <c r="AF402" s="179"/>
      <c r="AG402" s="179"/>
      <c r="AH402" s="179"/>
      <c r="AI402" s="179"/>
      <c r="AJ402" s="179"/>
      <c r="AK402" s="179"/>
      <c r="AL402" s="179"/>
    </row>
    <row r="403" spans="2:38">
      <c r="B403" s="177"/>
      <c r="C403" s="177"/>
      <c r="D403" s="177"/>
      <c r="E403" s="177"/>
      <c r="F403" s="177"/>
      <c r="G403" s="177"/>
      <c r="H403" s="177"/>
      <c r="I403" s="177"/>
      <c r="J403" s="177"/>
      <c r="K403" s="177"/>
      <c r="L403" s="177"/>
      <c r="M403" s="177"/>
      <c r="N403" s="177"/>
      <c r="O403" s="177"/>
      <c r="P403" s="177"/>
      <c r="Q403" s="177"/>
      <c r="R403" s="177"/>
      <c r="S403" s="177"/>
      <c r="T403" s="177"/>
      <c r="U403" s="177"/>
      <c r="V403" s="177"/>
      <c r="W403" s="177"/>
      <c r="X403" s="177"/>
      <c r="Y403" s="177"/>
      <c r="Z403" s="177"/>
      <c r="AA403" s="177"/>
      <c r="AB403" s="178"/>
      <c r="AC403" s="178"/>
      <c r="AD403" s="178"/>
      <c r="AE403" s="178"/>
      <c r="AF403" s="179"/>
      <c r="AG403" s="179"/>
      <c r="AH403" s="179"/>
      <c r="AI403" s="179"/>
      <c r="AJ403" s="179"/>
      <c r="AK403" s="179"/>
      <c r="AL403" s="179"/>
    </row>
    <row r="404" spans="2:38">
      <c r="B404" s="177"/>
      <c r="C404" s="177"/>
      <c r="D404" s="177"/>
      <c r="E404" s="177"/>
      <c r="F404" s="177"/>
      <c r="G404" s="177"/>
      <c r="H404" s="177"/>
      <c r="I404" s="177"/>
      <c r="J404" s="177"/>
      <c r="K404" s="177"/>
      <c r="L404" s="177"/>
      <c r="M404" s="177"/>
      <c r="N404" s="177"/>
      <c r="O404" s="177"/>
      <c r="P404" s="177"/>
      <c r="Q404" s="177"/>
      <c r="R404" s="177"/>
      <c r="S404" s="177"/>
      <c r="T404" s="177"/>
      <c r="U404" s="177"/>
      <c r="V404" s="177"/>
      <c r="W404" s="177"/>
      <c r="X404" s="177"/>
      <c r="Y404" s="177"/>
      <c r="Z404" s="177"/>
      <c r="AA404" s="177"/>
      <c r="AB404" s="178"/>
      <c r="AC404" s="178"/>
      <c r="AD404" s="178"/>
      <c r="AE404" s="178"/>
      <c r="AF404" s="179"/>
      <c r="AG404" s="179"/>
      <c r="AH404" s="179"/>
      <c r="AI404" s="179"/>
      <c r="AJ404" s="179"/>
      <c r="AK404" s="179"/>
      <c r="AL404" s="179"/>
    </row>
    <row r="405" spans="2:38">
      <c r="B405" s="177"/>
      <c r="C405" s="177"/>
      <c r="D405" s="177"/>
      <c r="E405" s="177"/>
      <c r="F405" s="177"/>
      <c r="G405" s="177"/>
      <c r="H405" s="177"/>
      <c r="I405" s="177"/>
      <c r="J405" s="177"/>
      <c r="K405" s="177"/>
      <c r="L405" s="177"/>
      <c r="M405" s="177"/>
      <c r="N405" s="177"/>
      <c r="O405" s="177"/>
      <c r="P405" s="177"/>
      <c r="Q405" s="177"/>
      <c r="R405" s="177"/>
      <c r="S405" s="177"/>
      <c r="T405" s="177"/>
      <c r="U405" s="177"/>
      <c r="V405" s="177"/>
      <c r="W405" s="177"/>
      <c r="X405" s="177"/>
      <c r="Y405" s="177"/>
      <c r="Z405" s="177"/>
      <c r="AA405" s="177"/>
      <c r="AB405" s="178"/>
      <c r="AC405" s="178"/>
      <c r="AD405" s="178"/>
      <c r="AE405" s="178"/>
      <c r="AF405" s="179"/>
      <c r="AG405" s="179"/>
      <c r="AH405" s="179"/>
      <c r="AI405" s="179"/>
      <c r="AJ405" s="179"/>
      <c r="AK405" s="179"/>
      <c r="AL405" s="179"/>
    </row>
    <row r="406" spans="2:38">
      <c r="B406" s="177"/>
      <c r="C406" s="177"/>
      <c r="D406" s="177"/>
      <c r="E406" s="177"/>
      <c r="F406" s="177"/>
      <c r="G406" s="177"/>
      <c r="H406" s="177"/>
      <c r="I406" s="177"/>
      <c r="J406" s="177"/>
      <c r="K406" s="177"/>
      <c r="L406" s="177"/>
      <c r="M406" s="177"/>
      <c r="N406" s="177"/>
      <c r="O406" s="177"/>
      <c r="P406" s="177"/>
      <c r="Q406" s="177"/>
      <c r="R406" s="177"/>
      <c r="S406" s="177"/>
      <c r="T406" s="177"/>
      <c r="U406" s="177"/>
      <c r="V406" s="177"/>
      <c r="W406" s="177"/>
      <c r="X406" s="177"/>
      <c r="Y406" s="177"/>
      <c r="Z406" s="177"/>
      <c r="AA406" s="177"/>
      <c r="AB406" s="178"/>
      <c r="AC406" s="178"/>
      <c r="AD406" s="178"/>
      <c r="AE406" s="178"/>
      <c r="AF406" s="179"/>
      <c r="AG406" s="179"/>
      <c r="AH406" s="179"/>
      <c r="AI406" s="179"/>
      <c r="AJ406" s="179"/>
      <c r="AK406" s="179"/>
      <c r="AL406" s="179"/>
    </row>
    <row r="407" spans="2:38">
      <c r="B407" s="177"/>
      <c r="C407" s="177"/>
      <c r="D407" s="177"/>
      <c r="E407" s="177"/>
      <c r="F407" s="177"/>
      <c r="G407" s="177"/>
      <c r="H407" s="177"/>
      <c r="I407" s="177"/>
      <c r="J407" s="177"/>
      <c r="K407" s="177"/>
      <c r="L407" s="177"/>
      <c r="M407" s="177"/>
      <c r="N407" s="177"/>
      <c r="O407" s="177"/>
      <c r="P407" s="177"/>
      <c r="Q407" s="177"/>
      <c r="R407" s="177"/>
      <c r="S407" s="177"/>
      <c r="T407" s="177"/>
      <c r="U407" s="177"/>
      <c r="V407" s="177"/>
      <c r="W407" s="177"/>
      <c r="X407" s="177"/>
      <c r="Y407" s="177"/>
      <c r="Z407" s="177"/>
      <c r="AA407" s="177"/>
      <c r="AB407" s="178"/>
      <c r="AC407" s="178"/>
      <c r="AD407" s="178"/>
      <c r="AE407" s="178"/>
      <c r="AF407" s="179"/>
      <c r="AG407" s="179"/>
      <c r="AH407" s="179"/>
      <c r="AI407" s="179"/>
      <c r="AJ407" s="179"/>
      <c r="AK407" s="179"/>
      <c r="AL407" s="179"/>
    </row>
    <row r="408" spans="2:38">
      <c r="B408" s="177"/>
      <c r="C408" s="177"/>
      <c r="D408" s="177"/>
      <c r="E408" s="177"/>
      <c r="F408" s="177"/>
      <c r="G408" s="177"/>
      <c r="H408" s="177"/>
      <c r="I408" s="177"/>
      <c r="J408" s="177"/>
      <c r="K408" s="177"/>
      <c r="L408" s="177"/>
      <c r="M408" s="177"/>
      <c r="N408" s="177"/>
      <c r="O408" s="177"/>
      <c r="P408" s="177"/>
      <c r="Q408" s="177"/>
      <c r="R408" s="177"/>
      <c r="S408" s="177"/>
      <c r="T408" s="177"/>
      <c r="U408" s="177"/>
      <c r="V408" s="177"/>
      <c r="W408" s="177"/>
      <c r="X408" s="177"/>
      <c r="Y408" s="177"/>
      <c r="Z408" s="177"/>
      <c r="AA408" s="177"/>
      <c r="AB408" s="178"/>
      <c r="AC408" s="178"/>
      <c r="AD408" s="178"/>
      <c r="AE408" s="178"/>
      <c r="AF408" s="179"/>
      <c r="AG408" s="179"/>
      <c r="AH408" s="179"/>
      <c r="AI408" s="179"/>
      <c r="AJ408" s="179"/>
      <c r="AK408" s="179"/>
      <c r="AL408" s="179"/>
    </row>
    <row r="409" spans="2:38">
      <c r="B409" s="177"/>
      <c r="C409" s="177"/>
      <c r="D409" s="177"/>
      <c r="E409" s="177"/>
      <c r="F409" s="177"/>
      <c r="G409" s="177"/>
      <c r="H409" s="177"/>
      <c r="I409" s="177"/>
      <c r="J409" s="177"/>
      <c r="K409" s="177"/>
      <c r="L409" s="177"/>
      <c r="M409" s="177"/>
      <c r="N409" s="177"/>
      <c r="O409" s="177"/>
      <c r="P409" s="177"/>
      <c r="Q409" s="177"/>
      <c r="R409" s="177"/>
      <c r="S409" s="177"/>
      <c r="T409" s="177"/>
      <c r="U409" s="177"/>
      <c r="V409" s="177"/>
      <c r="W409" s="177"/>
      <c r="X409" s="177"/>
      <c r="Y409" s="177"/>
      <c r="Z409" s="177"/>
      <c r="AA409" s="177"/>
      <c r="AB409" s="178"/>
      <c r="AC409" s="178"/>
      <c r="AD409" s="178"/>
      <c r="AE409" s="178"/>
      <c r="AF409" s="179"/>
      <c r="AG409" s="179"/>
      <c r="AH409" s="179"/>
      <c r="AI409" s="179"/>
      <c r="AJ409" s="179"/>
      <c r="AK409" s="179"/>
      <c r="AL409" s="179"/>
    </row>
    <row r="410" spans="2:38">
      <c r="B410" s="177"/>
      <c r="C410" s="177"/>
      <c r="D410" s="177"/>
      <c r="E410" s="177"/>
      <c r="F410" s="177"/>
      <c r="G410" s="177"/>
      <c r="H410" s="177"/>
      <c r="I410" s="177"/>
      <c r="J410" s="177"/>
      <c r="K410" s="177"/>
      <c r="L410" s="177"/>
      <c r="M410" s="177"/>
      <c r="N410" s="177"/>
      <c r="O410" s="177"/>
      <c r="P410" s="177"/>
      <c r="Q410" s="177"/>
      <c r="R410" s="177"/>
      <c r="S410" s="177"/>
      <c r="T410" s="177"/>
      <c r="U410" s="177"/>
      <c r="V410" s="177"/>
      <c r="W410" s="177"/>
      <c r="X410" s="177"/>
      <c r="Y410" s="177"/>
      <c r="Z410" s="177"/>
      <c r="AA410" s="177"/>
      <c r="AB410" s="178"/>
      <c r="AC410" s="178"/>
      <c r="AD410" s="178"/>
      <c r="AE410" s="178"/>
      <c r="AF410" s="179"/>
      <c r="AG410" s="179"/>
      <c r="AH410" s="179"/>
      <c r="AI410" s="179"/>
      <c r="AJ410" s="179"/>
      <c r="AK410" s="179"/>
      <c r="AL410" s="179"/>
    </row>
    <row r="411" spans="2:38">
      <c r="B411" s="177"/>
      <c r="C411" s="177"/>
      <c r="D411" s="177"/>
      <c r="E411" s="177"/>
      <c r="F411" s="177"/>
      <c r="G411" s="177"/>
      <c r="H411" s="177"/>
      <c r="I411" s="177"/>
      <c r="J411" s="177"/>
      <c r="K411" s="177"/>
      <c r="L411" s="177"/>
      <c r="M411" s="177"/>
      <c r="N411" s="177"/>
      <c r="O411" s="177"/>
      <c r="P411" s="177"/>
      <c r="Q411" s="177"/>
      <c r="R411" s="177"/>
      <c r="S411" s="177"/>
      <c r="T411" s="177"/>
      <c r="U411" s="177"/>
      <c r="V411" s="177"/>
      <c r="W411" s="177"/>
      <c r="X411" s="177"/>
      <c r="Y411" s="177"/>
      <c r="Z411" s="177"/>
      <c r="AA411" s="177"/>
      <c r="AB411" s="178"/>
      <c r="AC411" s="178"/>
      <c r="AD411" s="178"/>
      <c r="AE411" s="178"/>
      <c r="AF411" s="179"/>
      <c r="AG411" s="179"/>
      <c r="AH411" s="179"/>
      <c r="AI411" s="179"/>
      <c r="AJ411" s="179"/>
      <c r="AK411" s="179"/>
      <c r="AL411" s="179"/>
    </row>
    <row r="412" spans="2:38">
      <c r="B412" s="177"/>
      <c r="C412" s="177"/>
      <c r="D412" s="177"/>
      <c r="E412" s="177"/>
      <c r="F412" s="177"/>
      <c r="G412" s="177"/>
      <c r="H412" s="177"/>
      <c r="I412" s="177"/>
      <c r="J412" s="177"/>
      <c r="K412" s="177"/>
      <c r="L412" s="177"/>
      <c r="M412" s="177"/>
      <c r="N412" s="177"/>
      <c r="O412" s="177"/>
      <c r="P412" s="177"/>
      <c r="Q412" s="177"/>
      <c r="R412" s="177"/>
      <c r="S412" s="177"/>
      <c r="T412" s="177"/>
      <c r="U412" s="177"/>
      <c r="V412" s="177"/>
      <c r="W412" s="177"/>
      <c r="X412" s="177"/>
      <c r="Y412" s="177"/>
      <c r="Z412" s="177"/>
      <c r="AA412" s="177"/>
      <c r="AB412" s="178"/>
      <c r="AC412" s="178"/>
      <c r="AD412" s="178"/>
      <c r="AE412" s="178"/>
      <c r="AF412" s="179"/>
      <c r="AG412" s="179"/>
      <c r="AH412" s="179"/>
      <c r="AI412" s="179"/>
      <c r="AJ412" s="179"/>
      <c r="AK412" s="179"/>
      <c r="AL412" s="179"/>
    </row>
    <row r="413" spans="2:38">
      <c r="B413" s="177"/>
      <c r="C413" s="177"/>
      <c r="D413" s="177"/>
      <c r="E413" s="177"/>
      <c r="F413" s="177"/>
      <c r="G413" s="177"/>
      <c r="H413" s="177"/>
      <c r="I413" s="177"/>
      <c r="J413" s="177"/>
      <c r="K413" s="177"/>
      <c r="L413" s="177"/>
      <c r="M413" s="177"/>
      <c r="N413" s="177"/>
      <c r="O413" s="177"/>
      <c r="P413" s="177"/>
      <c r="Q413" s="177"/>
      <c r="R413" s="177"/>
      <c r="S413" s="177"/>
      <c r="T413" s="177"/>
      <c r="U413" s="177"/>
      <c r="V413" s="177"/>
      <c r="W413" s="177"/>
      <c r="X413" s="177"/>
      <c r="Y413" s="177"/>
      <c r="Z413" s="177"/>
      <c r="AA413" s="177"/>
      <c r="AB413" s="178"/>
      <c r="AC413" s="178"/>
      <c r="AD413" s="178"/>
      <c r="AE413" s="178"/>
      <c r="AF413" s="179"/>
      <c r="AG413" s="179"/>
      <c r="AH413" s="179"/>
      <c r="AI413" s="179"/>
      <c r="AJ413" s="179"/>
      <c r="AK413" s="179"/>
      <c r="AL413" s="179"/>
    </row>
    <row r="414" spans="2:38">
      <c r="B414" s="177"/>
      <c r="C414" s="177"/>
      <c r="D414" s="177"/>
      <c r="E414" s="177"/>
      <c r="F414" s="177"/>
      <c r="G414" s="177"/>
      <c r="H414" s="177"/>
      <c r="I414" s="177"/>
      <c r="J414" s="177"/>
      <c r="K414" s="177"/>
      <c r="L414" s="177"/>
      <c r="M414" s="177"/>
      <c r="N414" s="177"/>
      <c r="O414" s="177"/>
      <c r="P414" s="177"/>
      <c r="Q414" s="177"/>
      <c r="R414" s="177"/>
      <c r="S414" s="177"/>
      <c r="T414" s="177"/>
      <c r="U414" s="177"/>
      <c r="V414" s="177"/>
      <c r="W414" s="177"/>
      <c r="X414" s="177"/>
      <c r="Y414" s="177"/>
      <c r="Z414" s="177"/>
      <c r="AA414" s="177"/>
      <c r="AB414" s="178"/>
      <c r="AC414" s="178"/>
      <c r="AD414" s="178"/>
      <c r="AE414" s="178"/>
      <c r="AF414" s="179"/>
      <c r="AG414" s="179"/>
      <c r="AH414" s="179"/>
      <c r="AI414" s="179"/>
      <c r="AJ414" s="179"/>
      <c r="AK414" s="179"/>
      <c r="AL414" s="179"/>
    </row>
    <row r="415" spans="2:38">
      <c r="B415" s="177"/>
      <c r="C415" s="177"/>
      <c r="D415" s="177"/>
      <c r="E415" s="177"/>
      <c r="F415" s="177"/>
      <c r="G415" s="177"/>
      <c r="H415" s="177"/>
      <c r="I415" s="177"/>
      <c r="J415" s="177"/>
      <c r="K415" s="177"/>
      <c r="L415" s="177"/>
      <c r="M415" s="177"/>
      <c r="N415" s="177"/>
      <c r="O415" s="177"/>
      <c r="P415" s="177"/>
      <c r="Q415" s="177"/>
      <c r="R415" s="177"/>
      <c r="S415" s="177"/>
      <c r="T415" s="177"/>
      <c r="U415" s="177"/>
      <c r="V415" s="177"/>
      <c r="W415" s="177"/>
      <c r="X415" s="177"/>
      <c r="Y415" s="177"/>
      <c r="Z415" s="177"/>
      <c r="AA415" s="177"/>
      <c r="AB415" s="178"/>
      <c r="AC415" s="178"/>
      <c r="AD415" s="178"/>
      <c r="AE415" s="178"/>
      <c r="AF415" s="179"/>
      <c r="AG415" s="179"/>
      <c r="AH415" s="179"/>
      <c r="AI415" s="179"/>
      <c r="AJ415" s="179"/>
      <c r="AK415" s="179"/>
      <c r="AL415" s="179"/>
    </row>
    <row r="416" spans="2:38">
      <c r="B416" s="177"/>
      <c r="C416" s="177"/>
      <c r="D416" s="177"/>
      <c r="E416" s="177"/>
      <c r="F416" s="177"/>
      <c r="G416" s="177"/>
      <c r="H416" s="177"/>
      <c r="I416" s="177"/>
      <c r="J416" s="177"/>
      <c r="K416" s="177"/>
      <c r="L416" s="177"/>
      <c r="M416" s="177"/>
      <c r="N416" s="177"/>
      <c r="O416" s="177"/>
      <c r="P416" s="177"/>
      <c r="Q416" s="177"/>
      <c r="R416" s="177"/>
      <c r="S416" s="177"/>
      <c r="T416" s="177"/>
      <c r="U416" s="177"/>
      <c r="V416" s="177"/>
      <c r="W416" s="177"/>
      <c r="X416" s="177"/>
      <c r="Y416" s="177"/>
      <c r="Z416" s="177"/>
      <c r="AA416" s="177"/>
      <c r="AB416" s="178"/>
      <c r="AC416" s="178"/>
      <c r="AD416" s="178"/>
      <c r="AE416" s="178"/>
      <c r="AF416" s="179"/>
      <c r="AG416" s="179"/>
      <c r="AH416" s="179"/>
      <c r="AI416" s="179"/>
      <c r="AJ416" s="179"/>
      <c r="AK416" s="179"/>
      <c r="AL416" s="179"/>
    </row>
    <row r="417" spans="2:38">
      <c r="B417" s="177"/>
      <c r="C417" s="177"/>
      <c r="D417" s="177"/>
      <c r="E417" s="177"/>
      <c r="F417" s="177"/>
      <c r="G417" s="177"/>
      <c r="H417" s="177"/>
      <c r="I417" s="177"/>
      <c r="J417" s="177"/>
      <c r="K417" s="177"/>
      <c r="L417" s="177"/>
      <c r="M417" s="177"/>
      <c r="N417" s="177"/>
      <c r="O417" s="177"/>
      <c r="P417" s="177"/>
      <c r="Q417" s="177"/>
      <c r="R417" s="177"/>
      <c r="S417" s="177"/>
      <c r="T417" s="177"/>
      <c r="U417" s="177"/>
      <c r="V417" s="177"/>
      <c r="W417" s="177"/>
      <c r="X417" s="177"/>
      <c r="Y417" s="177"/>
      <c r="Z417" s="177"/>
      <c r="AA417" s="177"/>
      <c r="AB417" s="178"/>
      <c r="AC417" s="178"/>
      <c r="AD417" s="178"/>
      <c r="AE417" s="178"/>
      <c r="AF417" s="179"/>
      <c r="AG417" s="179"/>
      <c r="AH417" s="179"/>
      <c r="AI417" s="179"/>
      <c r="AJ417" s="179"/>
      <c r="AK417" s="179"/>
      <c r="AL417" s="179"/>
    </row>
    <row r="418" spans="2:38">
      <c r="B418" s="177"/>
      <c r="C418" s="177"/>
      <c r="D418" s="177"/>
      <c r="E418" s="177"/>
      <c r="F418" s="177"/>
      <c r="G418" s="177"/>
      <c r="H418" s="177"/>
      <c r="I418" s="177"/>
      <c r="J418" s="177"/>
      <c r="K418" s="177"/>
      <c r="L418" s="177"/>
      <c r="M418" s="177"/>
      <c r="N418" s="177"/>
      <c r="O418" s="177"/>
      <c r="P418" s="177"/>
      <c r="Q418" s="177"/>
      <c r="R418" s="177"/>
      <c r="S418" s="177"/>
      <c r="T418" s="177"/>
      <c r="U418" s="177"/>
      <c r="V418" s="177"/>
      <c r="W418" s="177"/>
      <c r="X418" s="177"/>
      <c r="Y418" s="177"/>
      <c r="Z418" s="177"/>
      <c r="AA418" s="177"/>
      <c r="AB418" s="178"/>
      <c r="AC418" s="178"/>
      <c r="AD418" s="178"/>
      <c r="AE418" s="178"/>
      <c r="AF418" s="179"/>
      <c r="AG418" s="179"/>
      <c r="AH418" s="179"/>
      <c r="AI418" s="179"/>
      <c r="AJ418" s="179"/>
      <c r="AK418" s="179"/>
      <c r="AL418" s="179"/>
    </row>
    <row r="419" spans="2:38">
      <c r="B419" s="177"/>
      <c r="C419" s="177"/>
      <c r="D419" s="177"/>
      <c r="E419" s="177"/>
      <c r="F419" s="177"/>
      <c r="G419" s="177"/>
      <c r="H419" s="177"/>
      <c r="I419" s="177"/>
      <c r="J419" s="177"/>
      <c r="K419" s="177"/>
      <c r="L419" s="177"/>
      <c r="M419" s="177"/>
      <c r="N419" s="177"/>
      <c r="O419" s="177"/>
      <c r="P419" s="177"/>
      <c r="Q419" s="177"/>
      <c r="R419" s="177"/>
      <c r="S419" s="177"/>
      <c r="T419" s="177"/>
      <c r="U419" s="177"/>
      <c r="V419" s="177"/>
      <c r="W419" s="177"/>
      <c r="X419" s="177"/>
      <c r="Y419" s="177"/>
      <c r="Z419" s="177"/>
      <c r="AA419" s="177"/>
      <c r="AB419" s="178"/>
      <c r="AC419" s="178"/>
      <c r="AD419" s="178"/>
      <c r="AE419" s="178"/>
      <c r="AF419" s="179"/>
      <c r="AG419" s="179"/>
      <c r="AH419" s="179"/>
      <c r="AI419" s="179"/>
      <c r="AJ419" s="179"/>
      <c r="AK419" s="179"/>
      <c r="AL419" s="179"/>
    </row>
    <row r="420" spans="2:38">
      <c r="B420" s="177"/>
      <c r="C420" s="177"/>
      <c r="D420" s="177"/>
      <c r="E420" s="177"/>
      <c r="F420" s="177"/>
      <c r="G420" s="177"/>
      <c r="H420" s="177"/>
      <c r="I420" s="177"/>
      <c r="J420" s="177"/>
      <c r="K420" s="177"/>
      <c r="L420" s="177"/>
      <c r="M420" s="177"/>
      <c r="N420" s="177"/>
      <c r="O420" s="177"/>
      <c r="P420" s="177"/>
      <c r="Q420" s="177"/>
      <c r="R420" s="177"/>
      <c r="S420" s="177"/>
      <c r="T420" s="177"/>
      <c r="U420" s="177"/>
      <c r="V420" s="177"/>
      <c r="W420" s="177"/>
      <c r="X420" s="177"/>
      <c r="Y420" s="177"/>
      <c r="Z420" s="177"/>
      <c r="AA420" s="177"/>
      <c r="AB420" s="178"/>
      <c r="AC420" s="178"/>
      <c r="AD420" s="178"/>
      <c r="AE420" s="178"/>
      <c r="AF420" s="179"/>
      <c r="AG420" s="179"/>
      <c r="AH420" s="179"/>
      <c r="AI420" s="179"/>
      <c r="AJ420" s="179"/>
      <c r="AK420" s="179"/>
      <c r="AL420" s="179"/>
    </row>
    <row r="421" spans="2:38">
      <c r="B421" s="177"/>
      <c r="C421" s="177"/>
      <c r="D421" s="177"/>
      <c r="E421" s="177"/>
      <c r="F421" s="177"/>
      <c r="G421" s="177"/>
      <c r="H421" s="177"/>
      <c r="I421" s="177"/>
      <c r="J421" s="177"/>
      <c r="K421" s="177"/>
      <c r="L421" s="177"/>
      <c r="M421" s="177"/>
      <c r="N421" s="177"/>
      <c r="O421" s="177"/>
      <c r="P421" s="177"/>
      <c r="Q421" s="177"/>
      <c r="R421" s="177"/>
      <c r="S421" s="177"/>
      <c r="T421" s="177"/>
      <c r="U421" s="177"/>
      <c r="V421" s="177"/>
      <c r="W421" s="177"/>
      <c r="X421" s="177"/>
      <c r="Y421" s="177"/>
      <c r="Z421" s="177"/>
      <c r="AA421" s="177"/>
      <c r="AB421" s="178"/>
      <c r="AC421" s="178"/>
      <c r="AD421" s="178"/>
      <c r="AE421" s="178"/>
      <c r="AF421" s="179"/>
      <c r="AG421" s="179"/>
      <c r="AH421" s="179"/>
      <c r="AI421" s="179"/>
      <c r="AJ421" s="179"/>
      <c r="AK421" s="179"/>
      <c r="AL421" s="179"/>
    </row>
    <row r="422" spans="2:38">
      <c r="B422" s="177"/>
      <c r="C422" s="177"/>
      <c r="D422" s="177"/>
      <c r="E422" s="177"/>
      <c r="F422" s="177"/>
      <c r="G422" s="177"/>
      <c r="H422" s="177"/>
      <c r="I422" s="177"/>
      <c r="J422" s="177"/>
      <c r="K422" s="177"/>
      <c r="L422" s="177"/>
      <c r="M422" s="177"/>
      <c r="N422" s="177"/>
      <c r="O422" s="177"/>
      <c r="P422" s="177"/>
      <c r="Q422" s="177"/>
      <c r="R422" s="177"/>
      <c r="S422" s="177"/>
      <c r="T422" s="177"/>
      <c r="U422" s="177"/>
      <c r="V422" s="177"/>
      <c r="W422" s="177"/>
      <c r="X422" s="177"/>
      <c r="Y422" s="177"/>
      <c r="Z422" s="177"/>
      <c r="AA422" s="177"/>
      <c r="AB422" s="178"/>
      <c r="AC422" s="178"/>
      <c r="AD422" s="178"/>
      <c r="AE422" s="178"/>
      <c r="AF422" s="179"/>
      <c r="AG422" s="179"/>
      <c r="AH422" s="179"/>
      <c r="AI422" s="179"/>
      <c r="AJ422" s="179"/>
      <c r="AK422" s="179"/>
      <c r="AL422" s="179"/>
    </row>
    <row r="423" spans="2:38">
      <c r="B423" s="177"/>
      <c r="C423" s="177"/>
      <c r="D423" s="177"/>
      <c r="E423" s="177"/>
      <c r="F423" s="177"/>
      <c r="G423" s="177"/>
      <c r="H423" s="177"/>
      <c r="I423" s="177"/>
      <c r="J423" s="177"/>
      <c r="K423" s="177"/>
      <c r="L423" s="177"/>
      <c r="M423" s="177"/>
      <c r="N423" s="177"/>
      <c r="O423" s="177"/>
      <c r="P423" s="177"/>
      <c r="Q423" s="177"/>
      <c r="R423" s="177"/>
      <c r="S423" s="177"/>
      <c r="T423" s="177"/>
      <c r="U423" s="177"/>
      <c r="V423" s="177"/>
      <c r="W423" s="177"/>
      <c r="X423" s="177"/>
      <c r="Y423" s="177"/>
      <c r="Z423" s="177"/>
      <c r="AA423" s="177"/>
      <c r="AB423" s="178"/>
      <c r="AC423" s="178"/>
      <c r="AD423" s="178"/>
      <c r="AE423" s="178"/>
      <c r="AF423" s="179"/>
      <c r="AG423" s="179"/>
      <c r="AH423" s="179"/>
      <c r="AI423" s="179"/>
      <c r="AJ423" s="179"/>
      <c r="AK423" s="179"/>
      <c r="AL423" s="179"/>
    </row>
    <row r="424" spans="2:38">
      <c r="B424" s="177"/>
      <c r="C424" s="177"/>
      <c r="D424" s="177"/>
      <c r="E424" s="177"/>
      <c r="F424" s="177"/>
      <c r="G424" s="177"/>
      <c r="H424" s="177"/>
      <c r="I424" s="177"/>
      <c r="J424" s="177"/>
      <c r="K424" s="177"/>
      <c r="L424" s="177"/>
      <c r="M424" s="177"/>
      <c r="N424" s="177"/>
      <c r="O424" s="177"/>
      <c r="P424" s="177"/>
      <c r="Q424" s="177"/>
      <c r="R424" s="177"/>
      <c r="S424" s="177"/>
      <c r="T424" s="177"/>
      <c r="U424" s="177"/>
      <c r="V424" s="177"/>
      <c r="W424" s="177"/>
      <c r="X424" s="177"/>
      <c r="Y424" s="177"/>
      <c r="Z424" s="177"/>
      <c r="AA424" s="177"/>
      <c r="AB424" s="178"/>
      <c r="AC424" s="178"/>
      <c r="AD424" s="178"/>
      <c r="AE424" s="178"/>
      <c r="AF424" s="179"/>
      <c r="AG424" s="179"/>
      <c r="AH424" s="179"/>
      <c r="AI424" s="179"/>
      <c r="AJ424" s="179"/>
      <c r="AK424" s="179"/>
      <c r="AL424" s="179"/>
    </row>
    <row r="425" spans="2:38">
      <c r="B425" s="177"/>
      <c r="C425" s="177"/>
      <c r="D425" s="177"/>
      <c r="E425" s="177"/>
      <c r="F425" s="177"/>
      <c r="G425" s="177"/>
      <c r="H425" s="177"/>
      <c r="I425" s="177"/>
      <c r="J425" s="177"/>
      <c r="K425" s="177"/>
      <c r="L425" s="177"/>
      <c r="M425" s="177"/>
      <c r="N425" s="177"/>
      <c r="O425" s="177"/>
      <c r="P425" s="177"/>
      <c r="Q425" s="177"/>
      <c r="R425" s="177"/>
      <c r="S425" s="177"/>
      <c r="T425" s="177"/>
      <c r="U425" s="177"/>
      <c r="V425" s="177"/>
      <c r="W425" s="177"/>
      <c r="X425" s="177"/>
      <c r="Y425" s="177"/>
      <c r="Z425" s="177"/>
      <c r="AA425" s="177"/>
      <c r="AB425" s="178"/>
      <c r="AC425" s="178"/>
      <c r="AD425" s="178"/>
      <c r="AE425" s="178"/>
      <c r="AF425" s="179"/>
      <c r="AG425" s="179"/>
      <c r="AH425" s="179"/>
      <c r="AI425" s="179"/>
      <c r="AJ425" s="179"/>
      <c r="AK425" s="179"/>
      <c r="AL425" s="179"/>
    </row>
    <row r="426" spans="2:38">
      <c r="B426" s="177"/>
      <c r="C426" s="177"/>
      <c r="D426" s="177"/>
      <c r="E426" s="177"/>
      <c r="F426" s="177"/>
      <c r="G426" s="177"/>
      <c r="H426" s="177"/>
      <c r="I426" s="177"/>
      <c r="J426" s="177"/>
      <c r="K426" s="177"/>
      <c r="L426" s="177"/>
      <c r="M426" s="177"/>
      <c r="N426" s="177"/>
      <c r="O426" s="177"/>
      <c r="P426" s="177"/>
      <c r="Q426" s="177"/>
      <c r="R426" s="177"/>
      <c r="S426" s="177"/>
      <c r="T426" s="177"/>
      <c r="U426" s="177"/>
      <c r="V426" s="177"/>
      <c r="W426" s="177"/>
      <c r="X426" s="177"/>
      <c r="Y426" s="177"/>
      <c r="Z426" s="177"/>
      <c r="AA426" s="177"/>
      <c r="AB426" s="178"/>
      <c r="AC426" s="178"/>
      <c r="AD426" s="178"/>
      <c r="AE426" s="178"/>
      <c r="AF426" s="179"/>
      <c r="AG426" s="179"/>
      <c r="AH426" s="179"/>
      <c r="AI426" s="179"/>
      <c r="AJ426" s="179"/>
      <c r="AK426" s="179"/>
      <c r="AL426" s="179"/>
    </row>
    <row r="427" spans="2:38">
      <c r="B427" s="177"/>
      <c r="C427" s="177"/>
      <c r="D427" s="177"/>
      <c r="E427" s="177"/>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8"/>
      <c r="AC427" s="178"/>
      <c r="AD427" s="178"/>
      <c r="AE427" s="178"/>
      <c r="AF427" s="179"/>
      <c r="AG427" s="179"/>
      <c r="AH427" s="179"/>
      <c r="AI427" s="179"/>
      <c r="AJ427" s="179"/>
      <c r="AK427" s="179"/>
      <c r="AL427" s="179"/>
    </row>
    <row r="428" spans="2:38">
      <c r="B428" s="177"/>
      <c r="C428" s="177"/>
      <c r="D428" s="177"/>
      <c r="E428" s="177"/>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8"/>
      <c r="AC428" s="178"/>
      <c r="AD428" s="178"/>
      <c r="AE428" s="178"/>
      <c r="AF428" s="179"/>
      <c r="AG428" s="179"/>
      <c r="AH428" s="179"/>
      <c r="AI428" s="179"/>
      <c r="AJ428" s="179"/>
      <c r="AK428" s="179"/>
      <c r="AL428" s="179"/>
    </row>
    <row r="429" spans="2:38">
      <c r="B429" s="177"/>
      <c r="C429" s="177"/>
      <c r="D429" s="177"/>
      <c r="E429" s="177"/>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8"/>
      <c r="AC429" s="178"/>
      <c r="AD429" s="178"/>
      <c r="AE429" s="178"/>
      <c r="AF429" s="179"/>
      <c r="AG429" s="179"/>
      <c r="AH429" s="179"/>
      <c r="AI429" s="179"/>
      <c r="AJ429" s="179"/>
      <c r="AK429" s="179"/>
      <c r="AL429" s="179"/>
    </row>
    <row r="430" spans="2:38">
      <c r="B430" s="177"/>
      <c r="C430" s="177"/>
      <c r="D430" s="177"/>
      <c r="E430" s="177"/>
      <c r="F430" s="177"/>
      <c r="G430" s="177"/>
      <c r="H430" s="177"/>
      <c r="I430" s="177"/>
      <c r="J430" s="177"/>
      <c r="K430" s="177"/>
      <c r="L430" s="177"/>
      <c r="M430" s="177"/>
      <c r="N430" s="177"/>
      <c r="O430" s="177"/>
      <c r="P430" s="177"/>
      <c r="Q430" s="177"/>
      <c r="R430" s="177"/>
      <c r="S430" s="177"/>
      <c r="T430" s="177"/>
      <c r="U430" s="177"/>
      <c r="V430" s="177"/>
      <c r="W430" s="177"/>
      <c r="X430" s="177"/>
      <c r="Y430" s="177"/>
      <c r="Z430" s="177"/>
      <c r="AA430" s="177"/>
      <c r="AB430" s="178"/>
      <c r="AC430" s="178"/>
      <c r="AD430" s="178"/>
      <c r="AE430" s="178"/>
      <c r="AF430" s="179"/>
      <c r="AG430" s="179"/>
      <c r="AH430" s="179"/>
      <c r="AI430" s="179"/>
      <c r="AJ430" s="179"/>
      <c r="AK430" s="179"/>
      <c r="AL430" s="179"/>
    </row>
    <row r="431" spans="2:38">
      <c r="B431" s="177"/>
      <c r="C431" s="177"/>
      <c r="D431" s="177"/>
      <c r="E431" s="177"/>
      <c r="F431" s="177"/>
      <c r="G431" s="177"/>
      <c r="H431" s="177"/>
      <c r="I431" s="177"/>
      <c r="J431" s="177"/>
      <c r="K431" s="177"/>
      <c r="L431" s="177"/>
      <c r="M431" s="177"/>
      <c r="N431" s="177"/>
      <c r="O431" s="177"/>
      <c r="P431" s="177"/>
      <c r="Q431" s="177"/>
      <c r="R431" s="177"/>
      <c r="S431" s="177"/>
      <c r="T431" s="177"/>
      <c r="U431" s="177"/>
      <c r="V431" s="177"/>
      <c r="W431" s="177"/>
      <c r="X431" s="177"/>
      <c r="Y431" s="177"/>
      <c r="Z431" s="177"/>
      <c r="AA431" s="177"/>
      <c r="AB431" s="178"/>
      <c r="AC431" s="178"/>
      <c r="AD431" s="178"/>
      <c r="AE431" s="178"/>
      <c r="AF431" s="179"/>
      <c r="AG431" s="179"/>
      <c r="AH431" s="179"/>
      <c r="AI431" s="179"/>
      <c r="AJ431" s="179"/>
      <c r="AK431" s="179"/>
      <c r="AL431" s="179"/>
    </row>
    <row r="432" spans="2:38">
      <c r="B432" s="177"/>
      <c r="C432" s="177"/>
      <c r="D432" s="177"/>
      <c r="E432" s="177"/>
      <c r="F432" s="177"/>
      <c r="G432" s="177"/>
      <c r="H432" s="177"/>
      <c r="I432" s="177"/>
      <c r="J432" s="177"/>
      <c r="K432" s="177"/>
      <c r="L432" s="177"/>
      <c r="M432" s="177"/>
      <c r="N432" s="177"/>
      <c r="O432" s="177"/>
      <c r="P432" s="177"/>
      <c r="Q432" s="177"/>
      <c r="R432" s="177"/>
      <c r="S432" s="177"/>
      <c r="T432" s="177"/>
      <c r="U432" s="177"/>
      <c r="V432" s="177"/>
      <c r="W432" s="177"/>
      <c r="X432" s="177"/>
      <c r="Y432" s="177"/>
      <c r="Z432" s="177"/>
      <c r="AA432" s="177"/>
      <c r="AB432" s="178"/>
      <c r="AC432" s="178"/>
      <c r="AD432" s="178"/>
      <c r="AE432" s="178"/>
      <c r="AF432" s="179"/>
      <c r="AG432" s="179"/>
      <c r="AH432" s="179"/>
      <c r="AI432" s="179"/>
      <c r="AJ432" s="179"/>
      <c r="AK432" s="179"/>
      <c r="AL432" s="179"/>
    </row>
    <row r="433" spans="2:38">
      <c r="B433" s="177"/>
      <c r="C433" s="177"/>
      <c r="D433" s="177"/>
      <c r="E433" s="177"/>
      <c r="F433" s="177"/>
      <c r="G433" s="177"/>
      <c r="H433" s="177"/>
      <c r="I433" s="177"/>
      <c r="J433" s="177"/>
      <c r="K433" s="177"/>
      <c r="L433" s="177"/>
      <c r="M433" s="177"/>
      <c r="N433" s="177"/>
      <c r="O433" s="177"/>
      <c r="P433" s="177"/>
      <c r="Q433" s="177"/>
      <c r="R433" s="177"/>
      <c r="S433" s="177"/>
      <c r="T433" s="177"/>
      <c r="U433" s="177"/>
      <c r="V433" s="177"/>
      <c r="W433" s="177"/>
      <c r="X433" s="177"/>
      <c r="Y433" s="177"/>
      <c r="Z433" s="177"/>
      <c r="AA433" s="177"/>
      <c r="AB433" s="178"/>
      <c r="AC433" s="178"/>
      <c r="AD433" s="178"/>
      <c r="AE433" s="178"/>
      <c r="AF433" s="179"/>
      <c r="AG433" s="179"/>
      <c r="AH433" s="179"/>
      <c r="AI433" s="179"/>
      <c r="AJ433" s="179"/>
      <c r="AK433" s="179"/>
      <c r="AL433" s="179"/>
    </row>
    <row r="434" spans="2:38">
      <c r="B434" s="177"/>
      <c r="C434" s="177"/>
      <c r="D434" s="177"/>
      <c r="E434" s="177"/>
      <c r="F434" s="177"/>
      <c r="G434" s="177"/>
      <c r="H434" s="177"/>
      <c r="I434" s="177"/>
      <c r="J434" s="177"/>
      <c r="K434" s="177"/>
      <c r="L434" s="177"/>
      <c r="M434" s="177"/>
      <c r="N434" s="177"/>
      <c r="O434" s="177"/>
      <c r="P434" s="177"/>
      <c r="Q434" s="177"/>
      <c r="R434" s="177"/>
      <c r="S434" s="177"/>
      <c r="T434" s="177"/>
      <c r="U434" s="177"/>
      <c r="V434" s="177"/>
      <c r="W434" s="177"/>
      <c r="X434" s="177"/>
      <c r="Y434" s="177"/>
      <c r="Z434" s="177"/>
      <c r="AA434" s="177"/>
      <c r="AB434" s="178"/>
      <c r="AC434" s="178"/>
      <c r="AD434" s="178"/>
      <c r="AE434" s="178"/>
      <c r="AF434" s="179"/>
      <c r="AG434" s="179"/>
      <c r="AH434" s="179"/>
      <c r="AI434" s="179"/>
      <c r="AJ434" s="179"/>
      <c r="AK434" s="179"/>
      <c r="AL434" s="179"/>
    </row>
    <row r="435" spans="2:38">
      <c r="B435" s="177"/>
      <c r="C435" s="177"/>
      <c r="D435" s="177"/>
      <c r="E435" s="177"/>
      <c r="F435" s="177"/>
      <c r="G435" s="177"/>
      <c r="H435" s="177"/>
      <c r="I435" s="177"/>
      <c r="J435" s="177"/>
      <c r="K435" s="177"/>
      <c r="L435" s="177"/>
      <c r="M435" s="177"/>
      <c r="N435" s="177"/>
      <c r="O435" s="177"/>
      <c r="P435" s="177"/>
      <c r="Q435" s="177"/>
      <c r="R435" s="177"/>
      <c r="S435" s="177"/>
      <c r="T435" s="177"/>
      <c r="U435" s="177"/>
      <c r="V435" s="177"/>
      <c r="W435" s="177"/>
      <c r="X435" s="177"/>
      <c r="Y435" s="177"/>
      <c r="Z435" s="177"/>
      <c r="AA435" s="177"/>
      <c r="AB435" s="178"/>
      <c r="AC435" s="178"/>
      <c r="AD435" s="178"/>
      <c r="AE435" s="178"/>
      <c r="AF435" s="179"/>
      <c r="AG435" s="179"/>
      <c r="AH435" s="179"/>
      <c r="AI435" s="179"/>
      <c r="AJ435" s="179"/>
      <c r="AK435" s="179"/>
      <c r="AL435" s="179"/>
    </row>
    <row r="436" spans="2:38">
      <c r="B436" s="177"/>
      <c r="C436" s="177"/>
      <c r="D436" s="177"/>
      <c r="E436" s="177"/>
      <c r="F436" s="177"/>
      <c r="G436" s="177"/>
      <c r="H436" s="177"/>
      <c r="I436" s="177"/>
      <c r="J436" s="177"/>
      <c r="K436" s="177"/>
      <c r="L436" s="177"/>
      <c r="M436" s="177"/>
      <c r="N436" s="177"/>
      <c r="O436" s="177"/>
      <c r="P436" s="177"/>
      <c r="Q436" s="177"/>
      <c r="R436" s="177"/>
      <c r="S436" s="177"/>
      <c r="T436" s="177"/>
      <c r="U436" s="177"/>
      <c r="V436" s="177"/>
      <c r="W436" s="177"/>
      <c r="X436" s="177"/>
      <c r="Y436" s="177"/>
      <c r="Z436" s="177"/>
      <c r="AA436" s="177"/>
      <c r="AB436" s="178"/>
      <c r="AC436" s="178"/>
      <c r="AD436" s="178"/>
      <c r="AE436" s="178"/>
      <c r="AF436" s="179"/>
      <c r="AG436" s="179"/>
      <c r="AH436" s="179"/>
      <c r="AI436" s="179"/>
      <c r="AJ436" s="179"/>
      <c r="AK436" s="179"/>
      <c r="AL436" s="179"/>
    </row>
    <row r="437" spans="2:38">
      <c r="B437" s="177"/>
      <c r="C437" s="177"/>
      <c r="D437" s="177"/>
      <c r="E437" s="177"/>
      <c r="F437" s="177"/>
      <c r="G437" s="177"/>
      <c r="H437" s="177"/>
      <c r="I437" s="177"/>
      <c r="J437" s="177"/>
      <c r="K437" s="177"/>
      <c r="L437" s="177"/>
      <c r="M437" s="177"/>
      <c r="N437" s="177"/>
      <c r="O437" s="177"/>
      <c r="P437" s="177"/>
      <c r="Q437" s="177"/>
      <c r="R437" s="177"/>
      <c r="S437" s="177"/>
      <c r="T437" s="177"/>
      <c r="U437" s="177"/>
      <c r="V437" s="177"/>
      <c r="W437" s="177"/>
      <c r="X437" s="177"/>
      <c r="Y437" s="177"/>
      <c r="Z437" s="177"/>
      <c r="AA437" s="177"/>
      <c r="AB437" s="178"/>
      <c r="AC437" s="178"/>
      <c r="AD437" s="178"/>
      <c r="AE437" s="178"/>
      <c r="AF437" s="179"/>
      <c r="AG437" s="179"/>
      <c r="AH437" s="179"/>
      <c r="AI437" s="179"/>
      <c r="AJ437" s="179"/>
      <c r="AK437" s="179"/>
      <c r="AL437" s="179"/>
    </row>
    <row r="438" spans="2:38">
      <c r="B438" s="177"/>
      <c r="C438" s="177"/>
      <c r="D438" s="177"/>
      <c r="E438" s="177"/>
      <c r="F438" s="177"/>
      <c r="G438" s="177"/>
      <c r="H438" s="177"/>
      <c r="I438" s="177"/>
      <c r="J438" s="177"/>
      <c r="K438" s="177"/>
      <c r="L438" s="177"/>
      <c r="M438" s="177"/>
      <c r="N438" s="177"/>
      <c r="O438" s="177"/>
      <c r="P438" s="177"/>
      <c r="Q438" s="177"/>
      <c r="R438" s="177"/>
      <c r="S438" s="177"/>
      <c r="T438" s="177"/>
      <c r="U438" s="177"/>
      <c r="V438" s="177"/>
      <c r="W438" s="177"/>
      <c r="X438" s="177"/>
      <c r="Y438" s="177"/>
      <c r="Z438" s="177"/>
      <c r="AA438" s="177"/>
      <c r="AB438" s="178"/>
      <c r="AC438" s="178"/>
      <c r="AD438" s="178"/>
      <c r="AE438" s="178"/>
      <c r="AF438" s="179"/>
      <c r="AG438" s="179"/>
      <c r="AH438" s="179"/>
      <c r="AI438" s="179"/>
      <c r="AJ438" s="179"/>
      <c r="AK438" s="179"/>
      <c r="AL438" s="179"/>
    </row>
    <row r="439" spans="2:38">
      <c r="B439" s="177"/>
      <c r="C439" s="177"/>
      <c r="D439" s="177"/>
      <c r="E439" s="177"/>
      <c r="F439" s="177"/>
      <c r="G439" s="177"/>
      <c r="H439" s="177"/>
      <c r="I439" s="177"/>
      <c r="J439" s="177"/>
      <c r="K439" s="177"/>
      <c r="L439" s="177"/>
      <c r="M439" s="177"/>
      <c r="N439" s="177"/>
      <c r="O439" s="177"/>
      <c r="P439" s="177"/>
      <c r="Q439" s="177"/>
      <c r="R439" s="177"/>
      <c r="S439" s="177"/>
      <c r="T439" s="177"/>
      <c r="U439" s="177"/>
      <c r="V439" s="177"/>
      <c r="W439" s="177"/>
      <c r="X439" s="177"/>
      <c r="Y439" s="177"/>
      <c r="Z439" s="177"/>
      <c r="AA439" s="177"/>
      <c r="AB439" s="178"/>
      <c r="AC439" s="178"/>
      <c r="AD439" s="178"/>
      <c r="AE439" s="178"/>
      <c r="AF439" s="179"/>
      <c r="AG439" s="179"/>
      <c r="AH439" s="179"/>
      <c r="AI439" s="179"/>
      <c r="AJ439" s="179"/>
      <c r="AK439" s="179"/>
      <c r="AL439" s="179"/>
    </row>
    <row r="440" spans="2:38">
      <c r="B440" s="177"/>
      <c r="C440" s="177"/>
      <c r="D440" s="177"/>
      <c r="E440" s="177"/>
      <c r="F440" s="177"/>
      <c r="G440" s="177"/>
      <c r="H440" s="177"/>
      <c r="I440" s="177"/>
      <c r="J440" s="177"/>
      <c r="K440" s="177"/>
      <c r="L440" s="177"/>
      <c r="M440" s="177"/>
      <c r="N440" s="177"/>
      <c r="O440" s="177"/>
      <c r="P440" s="177"/>
      <c r="Q440" s="177"/>
      <c r="R440" s="177"/>
      <c r="S440" s="177"/>
      <c r="T440" s="177"/>
      <c r="U440" s="177"/>
      <c r="V440" s="177"/>
      <c r="W440" s="177"/>
      <c r="X440" s="177"/>
      <c r="Y440" s="177"/>
      <c r="Z440" s="177"/>
      <c r="AA440" s="177"/>
      <c r="AB440" s="178"/>
      <c r="AC440" s="178"/>
      <c r="AD440" s="178"/>
      <c r="AE440" s="178"/>
      <c r="AF440" s="179"/>
      <c r="AG440" s="179"/>
      <c r="AH440" s="179"/>
      <c r="AI440" s="179"/>
      <c r="AJ440" s="179"/>
      <c r="AK440" s="179"/>
      <c r="AL440" s="179"/>
    </row>
    <row r="441" spans="2:38">
      <c r="B441" s="177"/>
      <c r="C441" s="177"/>
      <c r="D441" s="177"/>
      <c r="E441" s="177"/>
      <c r="F441" s="177"/>
      <c r="G441" s="177"/>
      <c r="H441" s="177"/>
      <c r="I441" s="177"/>
      <c r="J441" s="177"/>
      <c r="K441" s="177"/>
      <c r="L441" s="177"/>
      <c r="M441" s="177"/>
      <c r="N441" s="177"/>
      <c r="O441" s="177"/>
      <c r="P441" s="177"/>
      <c r="Q441" s="177"/>
      <c r="R441" s="177"/>
      <c r="S441" s="177"/>
      <c r="T441" s="177"/>
      <c r="U441" s="177"/>
      <c r="V441" s="177"/>
      <c r="W441" s="177"/>
      <c r="X441" s="177"/>
      <c r="Y441" s="177"/>
      <c r="Z441" s="177"/>
      <c r="AA441" s="177"/>
      <c r="AB441" s="178"/>
      <c r="AC441" s="178"/>
      <c r="AD441" s="178"/>
      <c r="AE441" s="178"/>
      <c r="AF441" s="179"/>
      <c r="AG441" s="179"/>
      <c r="AH441" s="179"/>
      <c r="AI441" s="179"/>
      <c r="AJ441" s="179"/>
      <c r="AK441" s="179"/>
      <c r="AL441" s="179"/>
    </row>
    <row r="442" spans="2:38">
      <c r="B442" s="177"/>
      <c r="C442" s="177"/>
      <c r="D442" s="177"/>
      <c r="E442" s="177"/>
      <c r="F442" s="177"/>
      <c r="G442" s="177"/>
      <c r="H442" s="177"/>
      <c r="I442" s="177"/>
      <c r="J442" s="177"/>
      <c r="K442" s="177"/>
      <c r="L442" s="177"/>
      <c r="M442" s="177"/>
      <c r="N442" s="177"/>
      <c r="O442" s="177"/>
      <c r="P442" s="177"/>
      <c r="Q442" s="177"/>
      <c r="R442" s="177"/>
      <c r="S442" s="177"/>
      <c r="T442" s="177"/>
      <c r="U442" s="177"/>
      <c r="V442" s="177"/>
      <c r="W442" s="177"/>
      <c r="X442" s="177"/>
      <c r="Y442" s="177"/>
      <c r="Z442" s="177"/>
      <c r="AA442" s="177"/>
      <c r="AB442" s="178"/>
      <c r="AC442" s="178"/>
      <c r="AD442" s="178"/>
      <c r="AE442" s="178"/>
      <c r="AF442" s="179"/>
      <c r="AG442" s="179"/>
      <c r="AH442" s="179"/>
      <c r="AI442" s="179"/>
      <c r="AJ442" s="179"/>
      <c r="AK442" s="179"/>
      <c r="AL442" s="179"/>
    </row>
    <row r="443" spans="2:38">
      <c r="B443" s="177"/>
      <c r="C443" s="177"/>
      <c r="D443" s="177"/>
      <c r="E443" s="177"/>
      <c r="F443" s="177"/>
      <c r="G443" s="177"/>
      <c r="H443" s="177"/>
      <c r="I443" s="177"/>
      <c r="J443" s="177"/>
      <c r="K443" s="177"/>
      <c r="L443" s="177"/>
      <c r="M443" s="177"/>
      <c r="N443" s="177"/>
      <c r="O443" s="177"/>
      <c r="P443" s="177"/>
      <c r="Q443" s="177"/>
      <c r="R443" s="177"/>
      <c r="S443" s="177"/>
      <c r="T443" s="177"/>
      <c r="U443" s="177"/>
      <c r="V443" s="177"/>
      <c r="W443" s="177"/>
      <c r="X443" s="177"/>
      <c r="Y443" s="177"/>
      <c r="Z443" s="177"/>
      <c r="AA443" s="177"/>
      <c r="AB443" s="178"/>
      <c r="AC443" s="178"/>
      <c r="AD443" s="178"/>
      <c r="AE443" s="178"/>
      <c r="AF443" s="179"/>
      <c r="AG443" s="179"/>
      <c r="AH443" s="179"/>
      <c r="AI443" s="179"/>
      <c r="AJ443" s="179"/>
      <c r="AK443" s="179"/>
      <c r="AL443" s="179"/>
    </row>
    <row r="444" spans="2:38">
      <c r="B444" s="177"/>
      <c r="C444" s="177"/>
      <c r="D444" s="177"/>
      <c r="E444" s="177"/>
      <c r="F444" s="177"/>
      <c r="G444" s="177"/>
      <c r="H444" s="177"/>
      <c r="I444" s="177"/>
      <c r="J444" s="177"/>
      <c r="K444" s="177"/>
      <c r="L444" s="177"/>
      <c r="M444" s="177"/>
      <c r="N444" s="177"/>
      <c r="O444" s="177"/>
      <c r="P444" s="177"/>
      <c r="Q444" s="177"/>
      <c r="R444" s="177"/>
      <c r="S444" s="177"/>
      <c r="T444" s="177"/>
      <c r="U444" s="177"/>
      <c r="V444" s="177"/>
      <c r="W444" s="177"/>
      <c r="X444" s="177"/>
      <c r="Y444" s="177"/>
      <c r="Z444" s="177"/>
      <c r="AA444" s="177"/>
      <c r="AB444" s="178"/>
      <c r="AC444" s="178"/>
      <c r="AD444" s="178"/>
      <c r="AE444" s="178"/>
      <c r="AF444" s="179"/>
      <c r="AG444" s="179"/>
      <c r="AH444" s="179"/>
      <c r="AI444" s="179"/>
      <c r="AJ444" s="179"/>
      <c r="AK444" s="179"/>
      <c r="AL444" s="179"/>
    </row>
    <row r="445" spans="2:38">
      <c r="B445" s="177"/>
      <c r="C445" s="177"/>
      <c r="D445" s="177"/>
      <c r="E445" s="177"/>
      <c r="F445" s="177"/>
      <c r="G445" s="177"/>
      <c r="H445" s="177"/>
      <c r="I445" s="177"/>
      <c r="J445" s="177"/>
      <c r="K445" s="177"/>
      <c r="L445" s="177"/>
      <c r="M445" s="177"/>
      <c r="N445" s="177"/>
      <c r="O445" s="177"/>
      <c r="P445" s="177"/>
      <c r="Q445" s="177"/>
      <c r="R445" s="177"/>
      <c r="S445" s="177"/>
      <c r="T445" s="177"/>
      <c r="U445" s="177"/>
      <c r="V445" s="177"/>
      <c r="W445" s="177"/>
      <c r="X445" s="177"/>
      <c r="Y445" s="177"/>
      <c r="Z445" s="177"/>
      <c r="AA445" s="177"/>
      <c r="AB445" s="178"/>
      <c r="AC445" s="178"/>
      <c r="AD445" s="178"/>
      <c r="AE445" s="178"/>
      <c r="AF445" s="179"/>
      <c r="AG445" s="179"/>
      <c r="AH445" s="179"/>
      <c r="AI445" s="179"/>
      <c r="AJ445" s="179"/>
      <c r="AK445" s="179"/>
      <c r="AL445" s="179"/>
    </row>
    <row r="446" spans="2:38">
      <c r="B446" s="177"/>
      <c r="C446" s="177"/>
      <c r="D446" s="177"/>
      <c r="E446" s="177"/>
      <c r="F446" s="177"/>
      <c r="G446" s="177"/>
      <c r="H446" s="177"/>
      <c r="I446" s="177"/>
      <c r="J446" s="177"/>
      <c r="K446" s="177"/>
      <c r="L446" s="177"/>
      <c r="M446" s="177"/>
      <c r="N446" s="177"/>
      <c r="O446" s="177"/>
      <c r="P446" s="177"/>
      <c r="Q446" s="177"/>
      <c r="R446" s="177"/>
      <c r="S446" s="177"/>
      <c r="T446" s="177"/>
      <c r="U446" s="177"/>
      <c r="V446" s="177"/>
      <c r="W446" s="177"/>
      <c r="X446" s="177"/>
      <c r="Y446" s="177"/>
      <c r="Z446" s="177"/>
      <c r="AA446" s="177"/>
      <c r="AB446" s="178"/>
      <c r="AC446" s="178"/>
      <c r="AD446" s="178"/>
      <c r="AE446" s="178"/>
      <c r="AF446" s="179"/>
      <c r="AG446" s="179"/>
      <c r="AH446" s="179"/>
      <c r="AI446" s="179"/>
      <c r="AJ446" s="179"/>
      <c r="AK446" s="179"/>
      <c r="AL446" s="179"/>
    </row>
    <row r="447" spans="2:38">
      <c r="B447" s="177"/>
      <c r="C447" s="177"/>
      <c r="D447" s="177"/>
      <c r="E447" s="177"/>
      <c r="F447" s="177"/>
      <c r="G447" s="177"/>
      <c r="H447" s="177"/>
      <c r="I447" s="177"/>
      <c r="J447" s="177"/>
      <c r="K447" s="177"/>
      <c r="L447" s="177"/>
      <c r="M447" s="177"/>
      <c r="N447" s="177"/>
      <c r="O447" s="177"/>
      <c r="P447" s="177"/>
      <c r="Q447" s="177"/>
      <c r="R447" s="177"/>
      <c r="S447" s="177"/>
      <c r="T447" s="177"/>
      <c r="U447" s="177"/>
      <c r="V447" s="177"/>
      <c r="W447" s="177"/>
      <c r="X447" s="177"/>
      <c r="Y447" s="177"/>
      <c r="Z447" s="177"/>
      <c r="AA447" s="177"/>
      <c r="AB447" s="178"/>
      <c r="AC447" s="178"/>
      <c r="AD447" s="178"/>
      <c r="AE447" s="178"/>
      <c r="AF447" s="179"/>
      <c r="AG447" s="179"/>
      <c r="AH447" s="179"/>
      <c r="AI447" s="179"/>
      <c r="AJ447" s="179"/>
      <c r="AK447" s="179"/>
      <c r="AL447" s="179"/>
    </row>
    <row r="448" spans="2:38">
      <c r="B448" s="177"/>
      <c r="C448" s="177"/>
      <c r="D448" s="177"/>
      <c r="E448" s="177"/>
      <c r="F448" s="177"/>
      <c r="G448" s="177"/>
      <c r="H448" s="177"/>
      <c r="I448" s="177"/>
      <c r="J448" s="177"/>
      <c r="K448" s="177"/>
      <c r="L448" s="177"/>
      <c r="M448" s="177"/>
      <c r="N448" s="177"/>
      <c r="O448" s="177"/>
      <c r="P448" s="177"/>
      <c r="Q448" s="177"/>
      <c r="R448" s="177"/>
      <c r="S448" s="177"/>
      <c r="T448" s="177"/>
      <c r="U448" s="177"/>
      <c r="V448" s="177"/>
      <c r="W448" s="177"/>
      <c r="X448" s="177"/>
      <c r="Y448" s="177"/>
      <c r="Z448" s="177"/>
      <c r="AA448" s="177"/>
      <c r="AB448" s="178"/>
      <c r="AC448" s="178"/>
      <c r="AD448" s="178"/>
      <c r="AE448" s="178"/>
      <c r="AF448" s="179"/>
      <c r="AG448" s="179"/>
      <c r="AH448" s="179"/>
      <c r="AI448" s="179"/>
      <c r="AJ448" s="179"/>
      <c r="AK448" s="179"/>
      <c r="AL448" s="179"/>
    </row>
    <row r="449" spans="2:38">
      <c r="B449" s="177"/>
      <c r="C449" s="177"/>
      <c r="D449" s="177"/>
      <c r="E449" s="177"/>
      <c r="F449" s="177"/>
      <c r="G449" s="177"/>
      <c r="H449" s="177"/>
      <c r="I449" s="177"/>
      <c r="J449" s="177"/>
      <c r="K449" s="177"/>
      <c r="L449" s="177"/>
      <c r="M449" s="177"/>
      <c r="N449" s="177"/>
      <c r="O449" s="177"/>
      <c r="P449" s="177"/>
      <c r="Q449" s="177"/>
      <c r="R449" s="177"/>
      <c r="S449" s="177"/>
      <c r="T449" s="177"/>
      <c r="U449" s="177"/>
      <c r="V449" s="177"/>
      <c r="W449" s="177"/>
      <c r="X449" s="177"/>
      <c r="Y449" s="177"/>
      <c r="Z449" s="177"/>
      <c r="AA449" s="177"/>
      <c r="AB449" s="178"/>
      <c r="AC449" s="178"/>
      <c r="AD449" s="178"/>
      <c r="AE449" s="178"/>
      <c r="AF449" s="179"/>
      <c r="AG449" s="179"/>
      <c r="AH449" s="179"/>
      <c r="AI449" s="179"/>
      <c r="AJ449" s="179"/>
      <c r="AK449" s="179"/>
      <c r="AL449" s="179"/>
    </row>
    <row r="450" spans="2:38">
      <c r="B450" s="177"/>
      <c r="C450" s="177"/>
      <c r="D450" s="177"/>
      <c r="E450" s="177"/>
      <c r="F450" s="177"/>
      <c r="G450" s="177"/>
      <c r="H450" s="177"/>
      <c r="I450" s="177"/>
      <c r="J450" s="177"/>
      <c r="K450" s="177"/>
      <c r="L450" s="177"/>
      <c r="M450" s="177"/>
      <c r="N450" s="177"/>
      <c r="O450" s="177"/>
      <c r="P450" s="177"/>
      <c r="Q450" s="177"/>
      <c r="R450" s="177"/>
      <c r="S450" s="177"/>
      <c r="T450" s="177"/>
      <c r="U450" s="177"/>
      <c r="V450" s="177"/>
      <c r="W450" s="177"/>
      <c r="X450" s="177"/>
      <c r="Y450" s="177"/>
      <c r="Z450" s="177"/>
      <c r="AA450" s="177"/>
      <c r="AB450" s="178"/>
      <c r="AC450" s="178"/>
      <c r="AD450" s="178"/>
      <c r="AE450" s="178"/>
      <c r="AF450" s="179"/>
      <c r="AG450" s="179"/>
      <c r="AH450" s="179"/>
      <c r="AI450" s="179"/>
      <c r="AJ450" s="179"/>
      <c r="AK450" s="179"/>
      <c r="AL450" s="179"/>
    </row>
    <row r="451" spans="2:38">
      <c r="B451" s="177"/>
      <c r="C451" s="177"/>
      <c r="D451" s="177"/>
      <c r="E451" s="177"/>
      <c r="F451" s="177"/>
      <c r="G451" s="177"/>
      <c r="H451" s="177"/>
      <c r="I451" s="177"/>
      <c r="J451" s="177"/>
      <c r="K451" s="177"/>
      <c r="L451" s="177"/>
      <c r="M451" s="177"/>
      <c r="N451" s="177"/>
      <c r="O451" s="177"/>
      <c r="P451" s="177"/>
      <c r="Q451" s="177"/>
      <c r="R451" s="177"/>
      <c r="S451" s="177"/>
      <c r="T451" s="177"/>
      <c r="U451" s="177"/>
      <c r="V451" s="177"/>
      <c r="W451" s="177"/>
      <c r="X451" s="177"/>
      <c r="Y451" s="177"/>
      <c r="Z451" s="177"/>
      <c r="AA451" s="177"/>
      <c r="AB451" s="178"/>
      <c r="AC451" s="178"/>
      <c r="AD451" s="178"/>
      <c r="AE451" s="178"/>
      <c r="AF451" s="179"/>
      <c r="AG451" s="179"/>
      <c r="AH451" s="179"/>
      <c r="AI451" s="179"/>
      <c r="AJ451" s="179"/>
      <c r="AK451" s="179"/>
      <c r="AL451" s="179"/>
    </row>
    <row r="452" spans="2:38">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c r="AA452" s="177"/>
      <c r="AB452" s="178"/>
      <c r="AC452" s="178"/>
      <c r="AD452" s="178"/>
      <c r="AE452" s="178"/>
      <c r="AF452" s="179"/>
      <c r="AG452" s="179"/>
      <c r="AH452" s="179"/>
      <c r="AI452" s="179"/>
      <c r="AJ452" s="179"/>
      <c r="AK452" s="179"/>
      <c r="AL452" s="179"/>
    </row>
    <row r="453" spans="2:38">
      <c r="B453" s="177"/>
      <c r="C453" s="177"/>
      <c r="D453" s="177"/>
      <c r="E453" s="177"/>
      <c r="F453" s="177"/>
      <c r="G453" s="177"/>
      <c r="H453" s="177"/>
      <c r="I453" s="177"/>
      <c r="J453" s="177"/>
      <c r="K453" s="177"/>
      <c r="L453" s="177"/>
      <c r="M453" s="177"/>
      <c r="N453" s="177"/>
      <c r="O453" s="177"/>
      <c r="P453" s="177"/>
      <c r="Q453" s="177"/>
      <c r="R453" s="177"/>
      <c r="S453" s="177"/>
      <c r="T453" s="177"/>
      <c r="U453" s="177"/>
      <c r="V453" s="177"/>
      <c r="W453" s="177"/>
      <c r="X453" s="177"/>
      <c r="Y453" s="177"/>
      <c r="Z453" s="177"/>
      <c r="AA453" s="177"/>
      <c r="AB453" s="178"/>
      <c r="AC453" s="178"/>
      <c r="AD453" s="178"/>
      <c r="AE453" s="178"/>
      <c r="AF453" s="179"/>
      <c r="AG453" s="179"/>
      <c r="AH453" s="179"/>
      <c r="AI453" s="179"/>
      <c r="AJ453" s="179"/>
      <c r="AK453" s="179"/>
      <c r="AL453" s="179"/>
    </row>
    <row r="454" spans="2:38">
      <c r="B454" s="177"/>
      <c r="C454" s="177"/>
      <c r="D454" s="177"/>
      <c r="E454" s="177"/>
      <c r="F454" s="177"/>
      <c r="G454" s="177"/>
      <c r="H454" s="177"/>
      <c r="I454" s="177"/>
      <c r="J454" s="177"/>
      <c r="K454" s="177"/>
      <c r="L454" s="177"/>
      <c r="M454" s="177"/>
      <c r="N454" s="177"/>
      <c r="O454" s="177"/>
      <c r="P454" s="177"/>
      <c r="Q454" s="177"/>
      <c r="R454" s="177"/>
      <c r="S454" s="177"/>
      <c r="T454" s="177"/>
      <c r="U454" s="177"/>
      <c r="V454" s="177"/>
      <c r="W454" s="177"/>
      <c r="X454" s="177"/>
      <c r="Y454" s="177"/>
      <c r="Z454" s="177"/>
      <c r="AA454" s="177"/>
      <c r="AB454" s="178"/>
      <c r="AC454" s="178"/>
      <c r="AD454" s="178"/>
      <c r="AE454" s="178"/>
      <c r="AF454" s="179"/>
      <c r="AG454" s="179"/>
      <c r="AH454" s="179"/>
      <c r="AI454" s="179"/>
      <c r="AJ454" s="179"/>
      <c r="AK454" s="179"/>
      <c r="AL454" s="179"/>
    </row>
    <row r="455" spans="2:38">
      <c r="B455" s="177"/>
      <c r="C455" s="177"/>
      <c r="D455" s="177"/>
      <c r="E455" s="177"/>
      <c r="F455" s="177"/>
      <c r="G455" s="177"/>
      <c r="H455" s="177"/>
      <c r="I455" s="177"/>
      <c r="J455" s="177"/>
      <c r="K455" s="177"/>
      <c r="L455" s="177"/>
      <c r="M455" s="177"/>
      <c r="N455" s="177"/>
      <c r="O455" s="177"/>
      <c r="P455" s="177"/>
      <c r="Q455" s="177"/>
      <c r="R455" s="177"/>
      <c r="S455" s="177"/>
      <c r="T455" s="177"/>
      <c r="U455" s="177"/>
      <c r="V455" s="177"/>
      <c r="W455" s="177"/>
      <c r="X455" s="177"/>
      <c r="Y455" s="177"/>
      <c r="Z455" s="177"/>
      <c r="AA455" s="177"/>
      <c r="AB455" s="178"/>
      <c r="AC455" s="178"/>
      <c r="AD455" s="178"/>
      <c r="AE455" s="178"/>
      <c r="AF455" s="179"/>
      <c r="AG455" s="179"/>
      <c r="AH455" s="179"/>
      <c r="AI455" s="179"/>
      <c r="AJ455" s="179"/>
      <c r="AK455" s="179"/>
      <c r="AL455" s="179"/>
    </row>
    <row r="456" spans="2:38">
      <c r="B456" s="177"/>
      <c r="C456" s="177"/>
      <c r="D456" s="177"/>
      <c r="E456" s="177"/>
      <c r="F456" s="177"/>
      <c r="G456" s="177"/>
      <c r="H456" s="177"/>
      <c r="I456" s="177"/>
      <c r="J456" s="177"/>
      <c r="K456" s="177"/>
      <c r="L456" s="177"/>
      <c r="M456" s="177"/>
      <c r="N456" s="177"/>
      <c r="O456" s="177"/>
      <c r="P456" s="177"/>
      <c r="Q456" s="177"/>
      <c r="R456" s="177"/>
      <c r="S456" s="177"/>
      <c r="T456" s="177"/>
      <c r="U456" s="177"/>
      <c r="V456" s="177"/>
      <c r="W456" s="177"/>
      <c r="X456" s="177"/>
      <c r="Y456" s="177"/>
      <c r="Z456" s="177"/>
      <c r="AA456" s="177"/>
      <c r="AB456" s="178"/>
      <c r="AC456" s="178"/>
      <c r="AD456" s="178"/>
      <c r="AE456" s="178"/>
      <c r="AF456" s="179"/>
      <c r="AG456" s="179"/>
      <c r="AH456" s="179"/>
      <c r="AI456" s="179"/>
      <c r="AJ456" s="179"/>
      <c r="AK456" s="179"/>
      <c r="AL456" s="179"/>
    </row>
    <row r="457" spans="2:38">
      <c r="B457" s="177"/>
      <c r="C457" s="177"/>
      <c r="D457" s="177"/>
      <c r="E457" s="177"/>
      <c r="F457" s="177"/>
      <c r="G457" s="177"/>
      <c r="H457" s="177"/>
      <c r="I457" s="177"/>
      <c r="J457" s="177"/>
      <c r="K457" s="177"/>
      <c r="L457" s="177"/>
      <c r="M457" s="177"/>
      <c r="N457" s="177"/>
      <c r="O457" s="177"/>
      <c r="P457" s="177"/>
      <c r="Q457" s="177"/>
      <c r="R457" s="177"/>
      <c r="S457" s="177"/>
      <c r="T457" s="177"/>
      <c r="U457" s="177"/>
      <c r="V457" s="177"/>
      <c r="W457" s="177"/>
      <c r="X457" s="177"/>
      <c r="Y457" s="177"/>
      <c r="Z457" s="177"/>
      <c r="AA457" s="177"/>
      <c r="AB457" s="178"/>
      <c r="AC457" s="178"/>
      <c r="AD457" s="178"/>
      <c r="AE457" s="178"/>
      <c r="AF457" s="179"/>
      <c r="AG457" s="179"/>
      <c r="AH457" s="179"/>
      <c r="AI457" s="179"/>
      <c r="AJ457" s="179"/>
      <c r="AK457" s="179"/>
      <c r="AL457" s="179"/>
    </row>
    <row r="458" spans="2:38">
      <c r="B458" s="177"/>
      <c r="C458" s="177"/>
      <c r="D458" s="177"/>
      <c r="E458" s="177"/>
      <c r="F458" s="177"/>
      <c r="G458" s="177"/>
      <c r="H458" s="177"/>
      <c r="I458" s="177"/>
      <c r="J458" s="177"/>
      <c r="K458" s="177"/>
      <c r="L458" s="177"/>
      <c r="M458" s="177"/>
      <c r="N458" s="177"/>
      <c r="O458" s="177"/>
      <c r="P458" s="177"/>
      <c r="Q458" s="177"/>
      <c r="R458" s="177"/>
      <c r="S458" s="177"/>
      <c r="T458" s="177"/>
      <c r="U458" s="177"/>
      <c r="V458" s="177"/>
      <c r="W458" s="177"/>
      <c r="X458" s="177"/>
      <c r="Y458" s="177"/>
      <c r="Z458" s="177"/>
      <c r="AA458" s="177"/>
      <c r="AB458" s="178"/>
      <c r="AC458" s="178"/>
      <c r="AD458" s="178"/>
      <c r="AE458" s="178"/>
      <c r="AF458" s="179"/>
      <c r="AG458" s="179"/>
      <c r="AH458" s="179"/>
      <c r="AI458" s="179"/>
      <c r="AJ458" s="179"/>
      <c r="AK458" s="179"/>
      <c r="AL458" s="179"/>
    </row>
    <row r="459" spans="2:38">
      <c r="B459" s="177"/>
      <c r="C459" s="177"/>
      <c r="D459" s="177"/>
      <c r="E459" s="177"/>
      <c r="F459" s="177"/>
      <c r="G459" s="177"/>
      <c r="H459" s="177"/>
      <c r="I459" s="177"/>
      <c r="J459" s="177"/>
      <c r="K459" s="177"/>
      <c r="L459" s="177"/>
      <c r="M459" s="177"/>
      <c r="N459" s="177"/>
      <c r="O459" s="177"/>
      <c r="P459" s="177"/>
      <c r="Q459" s="177"/>
      <c r="R459" s="177"/>
      <c r="S459" s="177"/>
      <c r="T459" s="177"/>
      <c r="U459" s="177"/>
      <c r="V459" s="177"/>
      <c r="W459" s="177"/>
      <c r="X459" s="177"/>
      <c r="Y459" s="177"/>
      <c r="Z459" s="177"/>
      <c r="AA459" s="177"/>
      <c r="AB459" s="178"/>
      <c r="AC459" s="178"/>
      <c r="AD459" s="178"/>
      <c r="AE459" s="178"/>
      <c r="AF459" s="179"/>
      <c r="AG459" s="179"/>
      <c r="AH459" s="179"/>
      <c r="AI459" s="179"/>
      <c r="AJ459" s="179"/>
      <c r="AK459" s="179"/>
      <c r="AL459" s="179"/>
    </row>
    <row r="460" spans="2:38">
      <c r="B460" s="177"/>
      <c r="C460" s="177"/>
      <c r="D460" s="177"/>
      <c r="E460" s="177"/>
      <c r="F460" s="177"/>
      <c r="G460" s="177"/>
      <c r="H460" s="177"/>
      <c r="I460" s="177"/>
      <c r="J460" s="177"/>
      <c r="K460" s="177"/>
      <c r="L460" s="177"/>
      <c r="M460" s="177"/>
      <c r="N460" s="177"/>
      <c r="O460" s="177"/>
      <c r="P460" s="177"/>
      <c r="Q460" s="177"/>
      <c r="R460" s="177"/>
      <c r="S460" s="177"/>
      <c r="T460" s="177"/>
      <c r="U460" s="177"/>
      <c r="V460" s="177"/>
      <c r="W460" s="177"/>
      <c r="X460" s="177"/>
      <c r="Y460" s="177"/>
      <c r="Z460" s="177"/>
      <c r="AA460" s="177"/>
      <c r="AB460" s="178"/>
      <c r="AC460" s="178"/>
      <c r="AD460" s="178"/>
      <c r="AE460" s="178"/>
      <c r="AF460" s="179"/>
      <c r="AG460" s="179"/>
      <c r="AH460" s="179"/>
      <c r="AI460" s="179"/>
      <c r="AJ460" s="179"/>
      <c r="AK460" s="179"/>
      <c r="AL460" s="179"/>
    </row>
    <row r="461" spans="2:38">
      <c r="B461" s="177"/>
      <c r="C461" s="177"/>
      <c r="D461" s="177"/>
      <c r="E461" s="177"/>
      <c r="F461" s="177"/>
      <c r="G461" s="177"/>
      <c r="H461" s="177"/>
      <c r="I461" s="177"/>
      <c r="J461" s="177"/>
      <c r="K461" s="177"/>
      <c r="L461" s="177"/>
      <c r="M461" s="177"/>
      <c r="N461" s="177"/>
      <c r="O461" s="177"/>
      <c r="P461" s="177"/>
      <c r="Q461" s="177"/>
      <c r="R461" s="177"/>
      <c r="S461" s="177"/>
      <c r="T461" s="177"/>
      <c r="U461" s="177"/>
      <c r="V461" s="177"/>
      <c r="W461" s="177"/>
      <c r="X461" s="177"/>
      <c r="Y461" s="177"/>
      <c r="Z461" s="177"/>
      <c r="AA461" s="177"/>
      <c r="AB461" s="178"/>
      <c r="AC461" s="178"/>
      <c r="AD461" s="178"/>
      <c r="AE461" s="178"/>
      <c r="AF461" s="179"/>
      <c r="AG461" s="179"/>
      <c r="AH461" s="179"/>
      <c r="AI461" s="179"/>
      <c r="AJ461" s="179"/>
      <c r="AK461" s="179"/>
      <c r="AL461" s="179"/>
    </row>
    <row r="462" spans="2:38">
      <c r="B462" s="177"/>
      <c r="C462" s="177"/>
      <c r="D462" s="177"/>
      <c r="E462" s="177"/>
      <c r="F462" s="177"/>
      <c r="G462" s="177"/>
      <c r="H462" s="177"/>
      <c r="I462" s="177"/>
      <c r="J462" s="177"/>
      <c r="K462" s="177"/>
      <c r="L462" s="177"/>
      <c r="M462" s="177"/>
      <c r="N462" s="177"/>
      <c r="O462" s="177"/>
      <c r="P462" s="177"/>
      <c r="Q462" s="177"/>
      <c r="R462" s="177"/>
      <c r="S462" s="177"/>
      <c r="T462" s="177"/>
      <c r="U462" s="177"/>
      <c r="V462" s="177"/>
      <c r="W462" s="177"/>
      <c r="X462" s="177"/>
      <c r="Y462" s="177"/>
      <c r="Z462" s="177"/>
      <c r="AA462" s="177"/>
      <c r="AB462" s="178"/>
      <c r="AC462" s="178"/>
      <c r="AD462" s="178"/>
      <c r="AE462" s="178"/>
      <c r="AF462" s="179"/>
      <c r="AG462" s="179"/>
      <c r="AH462" s="179"/>
      <c r="AI462" s="179"/>
      <c r="AJ462" s="179"/>
      <c r="AK462" s="179"/>
      <c r="AL462" s="179"/>
    </row>
    <row r="463" spans="2:38">
      <c r="B463" s="177"/>
      <c r="C463" s="177"/>
      <c r="D463" s="177"/>
      <c r="E463" s="177"/>
      <c r="F463" s="177"/>
      <c r="G463" s="177"/>
      <c r="H463" s="177"/>
      <c r="I463" s="177"/>
      <c r="J463" s="177"/>
      <c r="K463" s="177"/>
      <c r="L463" s="177"/>
      <c r="M463" s="177"/>
      <c r="N463" s="177"/>
      <c r="O463" s="177"/>
      <c r="P463" s="177"/>
      <c r="Q463" s="177"/>
      <c r="R463" s="177"/>
      <c r="S463" s="177"/>
      <c r="T463" s="177"/>
      <c r="U463" s="177"/>
      <c r="V463" s="177"/>
      <c r="W463" s="177"/>
      <c r="X463" s="177"/>
      <c r="Y463" s="177"/>
      <c r="Z463" s="177"/>
      <c r="AA463" s="177"/>
      <c r="AB463" s="178"/>
      <c r="AC463" s="178"/>
      <c r="AD463" s="178"/>
      <c r="AE463" s="178"/>
      <c r="AF463" s="179"/>
      <c r="AG463" s="179"/>
      <c r="AH463" s="179"/>
      <c r="AI463" s="179"/>
      <c r="AJ463" s="179"/>
      <c r="AK463" s="179"/>
      <c r="AL463" s="179"/>
    </row>
    <row r="464" spans="2:38">
      <c r="B464" s="177"/>
      <c r="C464" s="177"/>
      <c r="D464" s="177"/>
      <c r="E464" s="177"/>
      <c r="F464" s="177"/>
      <c r="G464" s="177"/>
      <c r="H464" s="177"/>
      <c r="I464" s="177"/>
      <c r="J464" s="177"/>
      <c r="K464" s="177"/>
      <c r="L464" s="177"/>
      <c r="M464" s="177"/>
      <c r="N464" s="177"/>
      <c r="O464" s="177"/>
      <c r="P464" s="177"/>
      <c r="Q464" s="177"/>
      <c r="R464" s="177"/>
      <c r="S464" s="177"/>
      <c r="T464" s="177"/>
      <c r="U464" s="177"/>
      <c r="V464" s="177"/>
      <c r="W464" s="177"/>
      <c r="X464" s="177"/>
      <c r="Y464" s="177"/>
      <c r="Z464" s="177"/>
      <c r="AA464" s="177"/>
      <c r="AB464" s="178"/>
      <c r="AC464" s="178"/>
      <c r="AD464" s="178"/>
      <c r="AE464" s="178"/>
      <c r="AF464" s="179"/>
      <c r="AG464" s="179"/>
      <c r="AH464" s="179"/>
      <c r="AI464" s="179"/>
      <c r="AJ464" s="179"/>
      <c r="AK464" s="179"/>
      <c r="AL464" s="179"/>
    </row>
    <row r="465" spans="11:38">
      <c r="K465" s="177"/>
      <c r="L465" s="177"/>
      <c r="M465" s="177"/>
      <c r="N465" s="177"/>
      <c r="O465" s="177"/>
      <c r="P465" s="177"/>
      <c r="Q465" s="177"/>
      <c r="R465" s="177"/>
      <c r="S465" s="177"/>
      <c r="T465" s="177"/>
      <c r="U465" s="177"/>
      <c r="V465" s="177"/>
      <c r="W465" s="177"/>
      <c r="X465" s="177"/>
      <c r="Y465" s="177"/>
      <c r="Z465" s="177"/>
      <c r="AA465" s="177"/>
      <c r="AB465" s="178"/>
      <c r="AC465" s="178"/>
      <c r="AD465" s="178"/>
      <c r="AE465" s="178"/>
      <c r="AF465" s="179"/>
      <c r="AG465" s="179"/>
      <c r="AH465" s="179"/>
      <c r="AI465" s="179"/>
      <c r="AJ465" s="179"/>
      <c r="AK465" s="179"/>
      <c r="AL465" s="179"/>
    </row>
    <row r="466" spans="11:38">
      <c r="K466" s="177"/>
      <c r="L466" s="177"/>
      <c r="M466" s="177"/>
      <c r="N466" s="177"/>
      <c r="O466" s="177"/>
      <c r="P466" s="177"/>
      <c r="Q466" s="177"/>
      <c r="R466" s="177"/>
      <c r="S466" s="177"/>
      <c r="T466" s="177"/>
      <c r="U466" s="177"/>
      <c r="V466" s="177"/>
      <c r="W466" s="177"/>
      <c r="X466" s="177"/>
      <c r="Y466" s="177"/>
      <c r="Z466" s="177"/>
      <c r="AA466" s="177"/>
      <c r="AB466" s="178"/>
      <c r="AC466" s="178"/>
      <c r="AD466" s="178"/>
      <c r="AE466" s="178"/>
      <c r="AF466" s="179"/>
      <c r="AG466" s="179"/>
      <c r="AH466" s="179"/>
      <c r="AI466" s="179"/>
      <c r="AJ466" s="179"/>
      <c r="AK466" s="179"/>
      <c r="AL466" s="179"/>
    </row>
    <row r="467" spans="11:38">
      <c r="K467" s="177"/>
      <c r="L467" s="177"/>
      <c r="M467" s="177"/>
      <c r="N467" s="177"/>
      <c r="O467" s="177"/>
      <c r="P467" s="177"/>
      <c r="Q467" s="177"/>
      <c r="R467" s="177"/>
      <c r="S467" s="177"/>
      <c r="T467" s="177"/>
      <c r="U467" s="177"/>
      <c r="V467" s="177"/>
      <c r="W467" s="177"/>
      <c r="X467" s="177"/>
      <c r="Y467" s="177"/>
      <c r="Z467" s="177"/>
      <c r="AA467" s="177"/>
      <c r="AB467" s="178"/>
      <c r="AC467" s="178"/>
      <c r="AD467" s="178"/>
      <c r="AE467" s="178"/>
      <c r="AF467" s="179"/>
      <c r="AG467" s="179"/>
      <c r="AH467" s="179"/>
      <c r="AI467" s="179"/>
      <c r="AJ467" s="179"/>
      <c r="AK467" s="179"/>
      <c r="AL467" s="179"/>
    </row>
    <row r="468" spans="11:38">
      <c r="K468" s="177"/>
      <c r="L468" s="177"/>
      <c r="M468" s="177"/>
      <c r="N468" s="177"/>
      <c r="O468" s="177"/>
      <c r="P468" s="177"/>
      <c r="Q468" s="177"/>
      <c r="R468" s="177"/>
      <c r="S468" s="177"/>
      <c r="T468" s="177"/>
      <c r="U468" s="177"/>
      <c r="V468" s="177"/>
      <c r="W468" s="177"/>
      <c r="X468" s="177"/>
      <c r="Y468" s="177"/>
      <c r="Z468" s="177"/>
      <c r="AA468" s="177"/>
      <c r="AB468" s="178"/>
      <c r="AC468" s="178"/>
      <c r="AD468" s="178"/>
      <c r="AE468" s="178"/>
      <c r="AF468" s="179"/>
      <c r="AG468" s="179"/>
      <c r="AH468" s="179"/>
      <c r="AI468" s="179"/>
      <c r="AJ468" s="179"/>
      <c r="AK468" s="179"/>
      <c r="AL468" s="179"/>
    </row>
    <row r="469" spans="11:38">
      <c r="K469" s="177"/>
      <c r="L469" s="177"/>
      <c r="M469" s="177"/>
      <c r="N469" s="177"/>
      <c r="O469" s="177"/>
      <c r="P469" s="177"/>
      <c r="Q469" s="177"/>
      <c r="R469" s="177"/>
      <c r="S469" s="177"/>
      <c r="T469" s="177"/>
      <c r="U469" s="177"/>
      <c r="V469" s="177"/>
      <c r="W469" s="177"/>
      <c r="X469" s="177"/>
      <c r="Y469" s="177"/>
      <c r="Z469" s="177"/>
      <c r="AA469" s="177"/>
      <c r="AB469" s="178"/>
      <c r="AC469" s="178"/>
      <c r="AD469" s="178"/>
      <c r="AE469" s="178"/>
      <c r="AF469" s="179"/>
      <c r="AG469" s="179"/>
      <c r="AH469" s="179"/>
      <c r="AI469" s="179"/>
      <c r="AJ469" s="179"/>
      <c r="AK469" s="179"/>
      <c r="AL469" s="179"/>
    </row>
    <row r="470" spans="11:38">
      <c r="K470" s="177"/>
      <c r="L470" s="177"/>
      <c r="M470" s="177"/>
      <c r="N470" s="177"/>
      <c r="O470" s="177"/>
      <c r="P470" s="177"/>
      <c r="Q470" s="177"/>
      <c r="R470" s="177"/>
      <c r="S470" s="177"/>
      <c r="T470" s="177"/>
      <c r="U470" s="177"/>
      <c r="V470" s="177"/>
      <c r="W470" s="177"/>
      <c r="X470" s="177"/>
      <c r="Y470" s="177"/>
      <c r="Z470" s="177"/>
      <c r="AA470" s="177"/>
      <c r="AB470" s="178"/>
      <c r="AC470" s="178"/>
      <c r="AD470" s="178"/>
      <c r="AE470" s="178"/>
      <c r="AF470" s="179"/>
      <c r="AG470" s="179"/>
      <c r="AH470" s="179"/>
      <c r="AI470" s="179"/>
      <c r="AJ470" s="179"/>
      <c r="AK470" s="179"/>
      <c r="AL470" s="179"/>
    </row>
    <row r="471" spans="11:38">
      <c r="K471" s="177"/>
      <c r="L471" s="177"/>
      <c r="M471" s="177"/>
      <c r="N471" s="177"/>
      <c r="O471" s="177"/>
      <c r="P471" s="177"/>
      <c r="Q471" s="177"/>
      <c r="R471" s="177"/>
      <c r="S471" s="177"/>
      <c r="T471" s="177"/>
      <c r="U471" s="177"/>
      <c r="V471" s="177"/>
      <c r="W471" s="177"/>
      <c r="X471" s="177"/>
      <c r="Y471" s="177"/>
      <c r="Z471" s="177"/>
      <c r="AA471" s="177"/>
      <c r="AB471" s="178"/>
      <c r="AC471" s="178"/>
      <c r="AD471" s="178"/>
      <c r="AE471" s="178"/>
      <c r="AF471" s="179"/>
      <c r="AG471" s="179"/>
      <c r="AH471" s="179"/>
      <c r="AI471" s="179"/>
      <c r="AJ471" s="179"/>
      <c r="AK471" s="179"/>
      <c r="AL471" s="179"/>
    </row>
    <row r="472" spans="11:38">
      <c r="K472" s="177"/>
      <c r="L472" s="177"/>
      <c r="M472" s="177"/>
      <c r="N472" s="177"/>
      <c r="O472" s="177"/>
      <c r="P472" s="177"/>
      <c r="Q472" s="177"/>
      <c r="R472" s="177"/>
      <c r="S472" s="177"/>
      <c r="T472" s="177"/>
      <c r="U472" s="177"/>
      <c r="V472" s="177"/>
      <c r="W472" s="177"/>
      <c r="X472" s="177"/>
      <c r="Y472" s="177"/>
      <c r="Z472" s="177"/>
      <c r="AA472" s="177"/>
      <c r="AB472" s="178"/>
      <c r="AC472" s="178"/>
      <c r="AD472" s="178"/>
      <c r="AE472" s="178"/>
      <c r="AF472" s="179"/>
      <c r="AG472" s="179"/>
      <c r="AH472" s="179"/>
      <c r="AI472" s="179"/>
      <c r="AJ472" s="179"/>
      <c r="AK472" s="179"/>
      <c r="AL472" s="179"/>
    </row>
    <row r="473" spans="11:38">
      <c r="K473" s="177"/>
      <c r="L473" s="177"/>
      <c r="M473" s="177"/>
      <c r="N473" s="177"/>
      <c r="O473" s="177"/>
      <c r="P473" s="177"/>
      <c r="Q473" s="177"/>
      <c r="R473" s="177"/>
      <c r="S473" s="177"/>
      <c r="T473" s="177"/>
      <c r="U473" s="177"/>
      <c r="V473" s="177"/>
      <c r="W473" s="177"/>
      <c r="X473" s="177"/>
      <c r="Y473" s="177"/>
      <c r="Z473" s="177"/>
      <c r="AA473" s="177"/>
      <c r="AB473" s="178"/>
      <c r="AC473" s="178"/>
      <c r="AD473" s="178"/>
      <c r="AE473" s="178"/>
      <c r="AF473" s="179"/>
      <c r="AG473" s="179"/>
      <c r="AH473" s="179"/>
      <c r="AI473" s="179"/>
      <c r="AJ473" s="179"/>
      <c r="AK473" s="179"/>
      <c r="AL473" s="179"/>
    </row>
    <row r="474" spans="11:38">
      <c r="K474" s="177"/>
      <c r="L474" s="177"/>
      <c r="M474" s="177"/>
      <c r="N474" s="177"/>
      <c r="O474" s="177"/>
      <c r="P474" s="177"/>
      <c r="Q474" s="177"/>
      <c r="R474" s="177"/>
      <c r="S474" s="177"/>
      <c r="T474" s="177"/>
      <c r="U474" s="177"/>
      <c r="V474" s="177"/>
      <c r="W474" s="177"/>
      <c r="X474" s="177"/>
      <c r="Y474" s="177"/>
      <c r="Z474" s="177"/>
      <c r="AA474" s="177"/>
      <c r="AB474" s="178"/>
      <c r="AC474" s="178"/>
      <c r="AD474" s="178"/>
      <c r="AE474" s="178"/>
      <c r="AF474" s="179"/>
      <c r="AG474" s="179"/>
      <c r="AH474" s="179"/>
      <c r="AI474" s="179"/>
      <c r="AJ474" s="179"/>
      <c r="AK474" s="179"/>
      <c r="AL474" s="179"/>
    </row>
    <row r="475" spans="11:38">
      <c r="K475" s="177"/>
      <c r="L475" s="177"/>
      <c r="M475" s="177"/>
      <c r="N475" s="177"/>
      <c r="O475" s="177"/>
      <c r="P475" s="177"/>
      <c r="Q475" s="177"/>
      <c r="R475" s="177"/>
      <c r="S475" s="177"/>
      <c r="T475" s="177"/>
      <c r="U475" s="177"/>
      <c r="V475" s="177"/>
      <c r="W475" s="177"/>
      <c r="X475" s="177"/>
      <c r="Y475" s="177"/>
      <c r="Z475" s="177"/>
      <c r="AA475" s="177"/>
      <c r="AB475" s="178"/>
      <c r="AC475" s="178"/>
      <c r="AD475" s="178"/>
      <c r="AE475" s="178"/>
      <c r="AF475" s="179"/>
      <c r="AG475" s="179"/>
      <c r="AH475" s="179"/>
      <c r="AI475" s="179"/>
      <c r="AJ475" s="179"/>
      <c r="AK475" s="179"/>
      <c r="AL475" s="179"/>
    </row>
    <row r="476" spans="11:38">
      <c r="K476" s="177"/>
      <c r="L476" s="177"/>
      <c r="M476" s="177"/>
      <c r="N476" s="177"/>
      <c r="O476" s="177"/>
      <c r="P476" s="177"/>
      <c r="Q476" s="177"/>
      <c r="R476" s="177"/>
      <c r="S476" s="177"/>
      <c r="T476" s="177"/>
      <c r="U476" s="177"/>
      <c r="V476" s="177"/>
      <c r="W476" s="177"/>
      <c r="X476" s="177"/>
      <c r="Y476" s="177"/>
      <c r="Z476" s="177"/>
      <c r="AA476" s="177"/>
      <c r="AB476" s="178"/>
      <c r="AC476" s="178"/>
      <c r="AD476" s="178"/>
      <c r="AE476" s="178"/>
      <c r="AF476" s="179"/>
      <c r="AG476" s="179"/>
      <c r="AH476" s="179"/>
      <c r="AI476" s="179"/>
      <c r="AJ476" s="179"/>
      <c r="AK476" s="179"/>
      <c r="AL476" s="179"/>
    </row>
    <row r="477" spans="11:38">
      <c r="K477" s="177"/>
      <c r="L477" s="177"/>
      <c r="M477" s="177"/>
      <c r="N477" s="177"/>
      <c r="O477" s="177"/>
      <c r="P477" s="177"/>
      <c r="Q477" s="177"/>
      <c r="R477" s="177"/>
      <c r="S477" s="177"/>
      <c r="T477" s="177"/>
      <c r="U477" s="177"/>
      <c r="V477" s="177"/>
      <c r="W477" s="177"/>
      <c r="X477" s="177"/>
      <c r="Y477" s="177"/>
      <c r="Z477" s="177"/>
      <c r="AA477" s="177"/>
      <c r="AB477" s="178"/>
      <c r="AC477" s="178"/>
      <c r="AD477" s="178"/>
      <c r="AE477" s="178"/>
      <c r="AF477" s="179"/>
      <c r="AG477" s="179"/>
      <c r="AH477" s="179"/>
      <c r="AI477" s="179"/>
      <c r="AJ477" s="179"/>
      <c r="AK477" s="179"/>
      <c r="AL477" s="179"/>
    </row>
    <row r="478" spans="11:38">
      <c r="K478" s="177"/>
      <c r="L478" s="177"/>
      <c r="M478" s="177"/>
      <c r="N478" s="177"/>
      <c r="O478" s="177"/>
      <c r="P478" s="177"/>
      <c r="Q478" s="177"/>
      <c r="R478" s="177"/>
      <c r="S478" s="177"/>
      <c r="T478" s="177"/>
      <c r="U478" s="177"/>
      <c r="V478" s="177"/>
      <c r="W478" s="177"/>
      <c r="X478" s="177"/>
      <c r="Y478" s="177"/>
      <c r="Z478" s="177"/>
      <c r="AA478" s="177"/>
      <c r="AB478" s="178"/>
      <c r="AC478" s="178"/>
      <c r="AD478" s="178"/>
      <c r="AE478" s="178"/>
      <c r="AF478" s="179"/>
      <c r="AG478" s="179"/>
      <c r="AH478" s="179"/>
      <c r="AI478" s="179"/>
      <c r="AJ478" s="179"/>
      <c r="AK478" s="179"/>
      <c r="AL478" s="179"/>
    </row>
    <row r="479" spans="11:38">
      <c r="K479" s="177"/>
      <c r="L479" s="177"/>
      <c r="M479" s="177"/>
      <c r="N479" s="177"/>
      <c r="O479" s="177"/>
      <c r="P479" s="177"/>
      <c r="Q479" s="177"/>
      <c r="R479" s="177"/>
      <c r="S479" s="177"/>
      <c r="T479" s="177"/>
      <c r="U479" s="177"/>
      <c r="V479" s="177"/>
      <c r="W479" s="177"/>
      <c r="X479" s="177"/>
      <c r="Y479" s="177"/>
      <c r="Z479" s="177"/>
      <c r="AA479" s="177"/>
      <c r="AB479" s="178"/>
      <c r="AC479" s="178"/>
      <c r="AD479" s="178"/>
      <c r="AE479" s="178"/>
      <c r="AF479" s="179"/>
      <c r="AG479" s="179"/>
      <c r="AH479" s="179"/>
      <c r="AI479" s="179"/>
      <c r="AJ479" s="179"/>
      <c r="AK479" s="179"/>
      <c r="AL479" s="179"/>
    </row>
    <row r="480" spans="11:38">
      <c r="K480" s="177"/>
      <c r="L480" s="177"/>
      <c r="M480" s="177"/>
      <c r="N480" s="177"/>
      <c r="O480" s="177"/>
      <c r="P480" s="177"/>
      <c r="Q480" s="177"/>
      <c r="R480" s="177"/>
      <c r="S480" s="177"/>
      <c r="T480" s="177"/>
      <c r="U480" s="177"/>
      <c r="V480" s="177"/>
      <c r="W480" s="177"/>
      <c r="X480" s="177"/>
      <c r="Y480" s="177"/>
      <c r="Z480" s="177"/>
      <c r="AA480" s="177"/>
      <c r="AB480" s="178"/>
      <c r="AC480" s="178"/>
      <c r="AD480" s="178"/>
      <c r="AE480" s="178"/>
      <c r="AF480" s="179"/>
      <c r="AG480" s="179"/>
      <c r="AH480" s="179"/>
      <c r="AI480" s="179"/>
      <c r="AJ480" s="179"/>
      <c r="AK480" s="179"/>
      <c r="AL480" s="179"/>
    </row>
    <row r="481" spans="11:38">
      <c r="K481" s="177"/>
      <c r="L481" s="177"/>
      <c r="M481" s="177"/>
      <c r="N481" s="177"/>
      <c r="O481" s="177"/>
      <c r="P481" s="177"/>
      <c r="Q481" s="177"/>
      <c r="R481" s="177"/>
      <c r="S481" s="177"/>
      <c r="T481" s="177"/>
      <c r="U481" s="177"/>
      <c r="V481" s="177"/>
      <c r="W481" s="177"/>
      <c r="X481" s="177"/>
      <c r="Y481" s="177"/>
      <c r="Z481" s="177"/>
      <c r="AA481" s="177"/>
      <c r="AB481" s="178"/>
      <c r="AC481" s="178"/>
      <c r="AD481" s="178"/>
      <c r="AE481" s="178"/>
      <c r="AF481" s="179"/>
      <c r="AG481" s="179"/>
      <c r="AH481" s="179"/>
      <c r="AI481" s="179"/>
      <c r="AJ481" s="179"/>
      <c r="AK481" s="179"/>
      <c r="AL481" s="179"/>
    </row>
    <row r="482" spans="11:38">
      <c r="K482" s="177"/>
      <c r="L482" s="177"/>
      <c r="M482" s="177"/>
      <c r="N482" s="177"/>
      <c r="O482" s="177"/>
      <c r="P482" s="177"/>
      <c r="Q482" s="177"/>
      <c r="R482" s="177"/>
      <c r="S482" s="177"/>
      <c r="T482" s="177"/>
      <c r="U482" s="177"/>
      <c r="V482" s="177"/>
      <c r="W482" s="177"/>
      <c r="X482" s="177"/>
      <c r="Y482" s="177"/>
      <c r="Z482" s="177"/>
      <c r="AA482" s="177"/>
      <c r="AB482" s="178"/>
      <c r="AC482" s="178"/>
      <c r="AD482" s="178"/>
      <c r="AE482" s="178"/>
      <c r="AF482" s="179"/>
      <c r="AG482" s="179"/>
      <c r="AH482" s="179"/>
      <c r="AI482" s="179"/>
      <c r="AJ482" s="179"/>
      <c r="AK482" s="179"/>
      <c r="AL482" s="179"/>
    </row>
    <row r="483" spans="11:38">
      <c r="K483" s="177"/>
      <c r="L483" s="177"/>
      <c r="M483" s="177"/>
      <c r="N483" s="177"/>
      <c r="O483" s="177"/>
      <c r="P483" s="177"/>
      <c r="Q483" s="177"/>
      <c r="R483" s="177"/>
      <c r="S483" s="177"/>
      <c r="T483" s="177"/>
      <c r="U483" s="177"/>
      <c r="V483" s="177"/>
      <c r="W483" s="177"/>
      <c r="X483" s="177"/>
      <c r="Y483" s="177"/>
      <c r="Z483" s="177"/>
      <c r="AA483" s="177"/>
      <c r="AB483" s="178"/>
      <c r="AC483" s="178"/>
      <c r="AD483" s="178"/>
      <c r="AE483" s="178"/>
      <c r="AF483" s="179"/>
      <c r="AG483" s="179"/>
      <c r="AH483" s="179"/>
      <c r="AI483" s="179"/>
      <c r="AJ483" s="179"/>
      <c r="AK483" s="179"/>
      <c r="AL483" s="179"/>
    </row>
    <row r="484" spans="11:38">
      <c r="K484" s="177"/>
      <c r="L484" s="177"/>
      <c r="M484" s="177"/>
      <c r="N484" s="177"/>
      <c r="O484" s="177"/>
      <c r="P484" s="177"/>
      <c r="Q484" s="177"/>
      <c r="R484" s="177"/>
      <c r="S484" s="177"/>
      <c r="T484" s="177"/>
      <c r="U484" s="177"/>
      <c r="V484" s="177"/>
      <c r="W484" s="177"/>
      <c r="X484" s="177"/>
      <c r="Y484" s="177"/>
      <c r="Z484" s="177"/>
      <c r="AA484" s="177"/>
      <c r="AB484" s="178"/>
      <c r="AC484" s="178"/>
      <c r="AD484" s="178"/>
      <c r="AE484" s="178"/>
      <c r="AF484" s="179"/>
      <c r="AG484" s="179"/>
      <c r="AH484" s="179"/>
      <c r="AI484" s="179"/>
      <c r="AJ484" s="179"/>
      <c r="AK484" s="179"/>
      <c r="AL484" s="179"/>
    </row>
    <row r="485" spans="11:38">
      <c r="K485" s="177"/>
      <c r="L485" s="177"/>
      <c r="M485" s="177"/>
      <c r="N485" s="177"/>
      <c r="O485" s="177"/>
      <c r="P485" s="177"/>
      <c r="Q485" s="177"/>
      <c r="R485" s="177"/>
      <c r="S485" s="177"/>
      <c r="T485" s="177"/>
      <c r="U485" s="177"/>
      <c r="V485" s="177"/>
      <c r="W485" s="177"/>
      <c r="X485" s="177"/>
      <c r="Y485" s="177"/>
      <c r="Z485" s="177"/>
      <c r="AA485" s="177"/>
      <c r="AB485" s="178"/>
      <c r="AC485" s="178"/>
      <c r="AD485" s="178"/>
      <c r="AE485" s="178"/>
      <c r="AF485" s="179"/>
      <c r="AG485" s="179"/>
      <c r="AH485" s="179"/>
      <c r="AI485" s="179"/>
      <c r="AJ485" s="179"/>
      <c r="AK485" s="179"/>
      <c r="AL485" s="179"/>
    </row>
    <row r="486" spans="11:38">
      <c r="K486" s="177"/>
      <c r="L486" s="177"/>
      <c r="M486" s="177"/>
      <c r="N486" s="177"/>
      <c r="O486" s="177"/>
      <c r="P486" s="177"/>
      <c r="Q486" s="177"/>
      <c r="R486" s="177"/>
      <c r="S486" s="177"/>
      <c r="T486" s="177"/>
      <c r="U486" s="177"/>
      <c r="V486" s="177"/>
      <c r="W486" s="177"/>
      <c r="X486" s="177"/>
      <c r="Y486" s="177"/>
      <c r="Z486" s="177"/>
      <c r="AA486" s="177"/>
      <c r="AB486" s="178"/>
      <c r="AC486" s="178"/>
      <c r="AD486" s="178"/>
      <c r="AE486" s="178"/>
      <c r="AF486" s="179"/>
      <c r="AG486" s="179"/>
      <c r="AH486" s="179"/>
      <c r="AI486" s="179"/>
      <c r="AJ486" s="179"/>
      <c r="AK486" s="179"/>
      <c r="AL486" s="179"/>
    </row>
    <row r="487" spans="11:38">
      <c r="K487" s="177"/>
      <c r="L487" s="177"/>
      <c r="M487" s="177"/>
      <c r="N487" s="177"/>
      <c r="O487" s="177"/>
      <c r="P487" s="177"/>
      <c r="Q487" s="177"/>
      <c r="R487" s="177"/>
      <c r="S487" s="177"/>
      <c r="T487" s="177"/>
      <c r="U487" s="177"/>
      <c r="V487" s="177"/>
      <c r="W487" s="177"/>
      <c r="X487" s="177"/>
      <c r="Y487" s="177"/>
      <c r="Z487" s="177"/>
      <c r="AA487" s="177"/>
      <c r="AB487" s="178"/>
      <c r="AC487" s="178"/>
      <c r="AD487" s="178"/>
      <c r="AE487" s="178"/>
      <c r="AF487" s="179"/>
      <c r="AG487" s="179"/>
      <c r="AH487" s="179"/>
      <c r="AI487" s="179"/>
      <c r="AJ487" s="179"/>
      <c r="AK487" s="179"/>
      <c r="AL487" s="179"/>
    </row>
    <row r="488" spans="11:38">
      <c r="K488" s="177"/>
      <c r="L488" s="177"/>
      <c r="M488" s="177"/>
      <c r="N488" s="177"/>
      <c r="O488" s="177"/>
      <c r="P488" s="177"/>
      <c r="Q488" s="177"/>
      <c r="R488" s="177"/>
      <c r="S488" s="177"/>
      <c r="T488" s="177"/>
      <c r="U488" s="177"/>
      <c r="V488" s="177"/>
      <c r="W488" s="177"/>
      <c r="X488" s="177"/>
      <c r="Y488" s="177"/>
      <c r="Z488" s="177"/>
      <c r="AA488" s="177"/>
      <c r="AB488" s="178"/>
      <c r="AC488" s="178"/>
      <c r="AD488" s="178"/>
      <c r="AE488" s="178"/>
      <c r="AF488" s="179"/>
      <c r="AG488" s="179"/>
      <c r="AH488" s="179"/>
      <c r="AI488" s="179"/>
      <c r="AJ488" s="179"/>
      <c r="AK488" s="179"/>
      <c r="AL488" s="179"/>
    </row>
    <row r="489" spans="11:38">
      <c r="K489" s="177"/>
      <c r="L489" s="177"/>
      <c r="M489" s="177"/>
      <c r="N489" s="177"/>
      <c r="O489" s="177"/>
      <c r="P489" s="177"/>
      <c r="Q489" s="177"/>
      <c r="R489" s="177"/>
      <c r="S489" s="177"/>
      <c r="T489" s="177"/>
      <c r="U489" s="177"/>
      <c r="V489" s="177"/>
      <c r="W489" s="177"/>
      <c r="X489" s="177"/>
      <c r="Y489" s="177"/>
      <c r="Z489" s="177"/>
      <c r="AA489" s="177"/>
      <c r="AB489" s="178"/>
      <c r="AC489" s="178"/>
      <c r="AD489" s="178"/>
      <c r="AE489" s="178"/>
      <c r="AF489" s="179"/>
      <c r="AG489" s="179"/>
      <c r="AH489" s="179"/>
      <c r="AI489" s="179"/>
      <c r="AJ489" s="179"/>
      <c r="AK489" s="179"/>
      <c r="AL489" s="179"/>
    </row>
    <row r="490" spans="11:38">
      <c r="K490" s="177"/>
      <c r="L490" s="177"/>
      <c r="M490" s="177"/>
      <c r="N490" s="177"/>
      <c r="O490" s="177"/>
      <c r="P490" s="177"/>
      <c r="Q490" s="177"/>
      <c r="R490" s="177"/>
      <c r="S490" s="177"/>
      <c r="T490" s="177"/>
      <c r="U490" s="177"/>
      <c r="V490" s="177"/>
      <c r="W490" s="177"/>
      <c r="X490" s="177"/>
      <c r="Y490" s="177"/>
      <c r="Z490" s="177"/>
      <c r="AA490" s="177"/>
      <c r="AB490" s="178"/>
      <c r="AC490" s="178"/>
      <c r="AD490" s="178"/>
      <c r="AE490" s="178"/>
      <c r="AF490" s="179"/>
      <c r="AG490" s="179"/>
      <c r="AH490" s="179"/>
      <c r="AI490" s="179"/>
      <c r="AJ490" s="179"/>
      <c r="AK490" s="179"/>
      <c r="AL490" s="179"/>
    </row>
    <row r="491" spans="11:38">
      <c r="K491" s="177"/>
      <c r="L491" s="177"/>
      <c r="M491" s="177"/>
      <c r="N491" s="177"/>
      <c r="O491" s="177"/>
      <c r="P491" s="177"/>
      <c r="Q491" s="177"/>
      <c r="R491" s="177"/>
      <c r="S491" s="177"/>
      <c r="T491" s="177"/>
      <c r="U491" s="177"/>
      <c r="V491" s="177"/>
      <c r="W491" s="177"/>
      <c r="X491" s="177"/>
      <c r="Y491" s="177"/>
      <c r="Z491" s="177"/>
      <c r="AA491" s="177"/>
      <c r="AB491" s="178"/>
      <c r="AC491" s="178"/>
      <c r="AD491" s="178"/>
      <c r="AE491" s="178"/>
      <c r="AF491" s="179"/>
      <c r="AG491" s="179"/>
      <c r="AH491" s="179"/>
      <c r="AI491" s="179"/>
      <c r="AJ491" s="179"/>
      <c r="AK491" s="179"/>
      <c r="AL491" s="179"/>
    </row>
    <row r="492" spans="11:38">
      <c r="K492" s="177"/>
      <c r="L492" s="177"/>
      <c r="M492" s="177"/>
      <c r="N492" s="177"/>
      <c r="O492" s="177"/>
      <c r="P492" s="177"/>
      <c r="Q492" s="177"/>
      <c r="R492" s="177"/>
      <c r="S492" s="177"/>
      <c r="T492" s="177"/>
      <c r="U492" s="177"/>
      <c r="V492" s="177"/>
      <c r="W492" s="177"/>
      <c r="X492" s="177"/>
      <c r="Y492" s="177"/>
      <c r="Z492" s="177"/>
      <c r="AA492" s="177"/>
      <c r="AB492" s="178"/>
      <c r="AC492" s="178"/>
      <c r="AD492" s="178"/>
      <c r="AE492" s="178"/>
      <c r="AF492" s="179"/>
      <c r="AG492" s="179"/>
      <c r="AH492" s="179"/>
      <c r="AI492" s="179"/>
      <c r="AJ492" s="179"/>
      <c r="AK492" s="179"/>
      <c r="AL492" s="179"/>
    </row>
    <row r="493" spans="11:38">
      <c r="K493" s="177"/>
      <c r="L493" s="177"/>
      <c r="M493" s="177"/>
      <c r="N493" s="177"/>
      <c r="O493" s="177"/>
      <c r="P493" s="177"/>
      <c r="Q493" s="177"/>
      <c r="R493" s="177"/>
      <c r="S493" s="177"/>
      <c r="T493" s="177"/>
      <c r="U493" s="177"/>
      <c r="V493" s="177"/>
      <c r="W493" s="177"/>
      <c r="X493" s="177"/>
      <c r="Y493" s="177"/>
      <c r="Z493" s="177"/>
      <c r="AA493" s="177"/>
      <c r="AB493" s="178"/>
      <c r="AC493" s="178"/>
      <c r="AD493" s="178"/>
      <c r="AE493" s="178"/>
      <c r="AF493" s="179"/>
      <c r="AG493" s="179"/>
      <c r="AH493" s="179"/>
      <c r="AI493" s="179"/>
      <c r="AJ493" s="179"/>
      <c r="AK493" s="179"/>
      <c r="AL493" s="179"/>
    </row>
    <row r="494" spans="11:38">
      <c r="K494" s="177"/>
      <c r="L494" s="177"/>
      <c r="M494" s="177"/>
      <c r="N494" s="177"/>
      <c r="O494" s="177"/>
      <c r="P494" s="177"/>
      <c r="Q494" s="177"/>
      <c r="R494" s="177"/>
      <c r="S494" s="177"/>
      <c r="T494" s="177"/>
      <c r="U494" s="177"/>
      <c r="V494" s="177"/>
      <c r="W494" s="177"/>
      <c r="X494" s="177"/>
      <c r="Y494" s="177"/>
      <c r="Z494" s="177"/>
      <c r="AA494" s="177"/>
      <c r="AB494" s="178"/>
      <c r="AC494" s="178"/>
      <c r="AD494" s="178"/>
      <c r="AE494" s="178"/>
      <c r="AF494" s="179"/>
      <c r="AG494" s="179"/>
      <c r="AH494" s="179"/>
      <c r="AI494" s="179"/>
      <c r="AJ494" s="179"/>
      <c r="AK494" s="179"/>
      <c r="AL494" s="179"/>
    </row>
    <row r="495" spans="11:38">
      <c r="K495" s="177"/>
      <c r="L495" s="177"/>
      <c r="M495" s="177"/>
      <c r="N495" s="177"/>
      <c r="O495" s="177"/>
      <c r="P495" s="177"/>
      <c r="Q495" s="177"/>
      <c r="R495" s="177"/>
      <c r="S495" s="177"/>
      <c r="T495" s="177"/>
      <c r="U495" s="177"/>
      <c r="V495" s="177"/>
      <c r="W495" s="177"/>
      <c r="X495" s="177"/>
      <c r="Y495" s="177"/>
      <c r="Z495" s="177"/>
      <c r="AA495" s="177"/>
      <c r="AB495" s="178"/>
      <c r="AC495" s="178"/>
      <c r="AD495" s="178"/>
      <c r="AE495" s="178"/>
      <c r="AF495" s="179"/>
      <c r="AG495" s="179"/>
      <c r="AH495" s="179"/>
      <c r="AI495" s="179"/>
      <c r="AJ495" s="179"/>
      <c r="AK495" s="179"/>
      <c r="AL495" s="179"/>
    </row>
    <row r="496" spans="11:38">
      <c r="K496" s="177"/>
      <c r="L496" s="177"/>
      <c r="M496" s="177"/>
      <c r="N496" s="177"/>
      <c r="O496" s="177"/>
      <c r="P496" s="177"/>
      <c r="Q496" s="177"/>
      <c r="R496" s="177"/>
      <c r="S496" s="177"/>
      <c r="T496" s="177"/>
      <c r="U496" s="177"/>
      <c r="V496" s="177"/>
      <c r="W496" s="177"/>
      <c r="X496" s="177"/>
      <c r="Y496" s="177"/>
      <c r="Z496" s="177"/>
      <c r="AA496" s="177"/>
      <c r="AB496" s="178"/>
      <c r="AC496" s="178"/>
      <c r="AD496" s="178"/>
      <c r="AE496" s="178"/>
      <c r="AF496" s="179"/>
      <c r="AG496" s="179"/>
      <c r="AH496" s="179"/>
      <c r="AI496" s="179"/>
      <c r="AJ496" s="179"/>
      <c r="AK496" s="179"/>
      <c r="AL496" s="179"/>
    </row>
    <row r="497" spans="11:38">
      <c r="K497" s="177"/>
      <c r="L497" s="177"/>
      <c r="M497" s="177"/>
      <c r="N497" s="177"/>
      <c r="O497" s="177"/>
      <c r="P497" s="177"/>
      <c r="Q497" s="177"/>
      <c r="R497" s="177"/>
      <c r="S497" s="177"/>
      <c r="T497" s="177"/>
      <c r="U497" s="177"/>
      <c r="V497" s="177"/>
      <c r="W497" s="177"/>
      <c r="X497" s="177"/>
      <c r="Y497" s="177"/>
      <c r="Z497" s="177"/>
      <c r="AA497" s="177"/>
      <c r="AB497" s="178"/>
      <c r="AC497" s="178"/>
      <c r="AD497" s="178"/>
      <c r="AE497" s="178"/>
      <c r="AF497" s="179"/>
      <c r="AG497" s="179"/>
      <c r="AH497" s="179"/>
      <c r="AI497" s="179"/>
      <c r="AJ497" s="179"/>
      <c r="AK497" s="179"/>
      <c r="AL497" s="179"/>
    </row>
    <row r="498" spans="11:38">
      <c r="K498" s="177"/>
      <c r="L498" s="177"/>
      <c r="M498" s="177"/>
      <c r="N498" s="177"/>
      <c r="O498" s="177"/>
      <c r="P498" s="177"/>
      <c r="Q498" s="177"/>
      <c r="R498" s="177"/>
      <c r="S498" s="177"/>
      <c r="T498" s="177"/>
      <c r="U498" s="177"/>
      <c r="V498" s="177"/>
      <c r="W498" s="177"/>
      <c r="X498" s="177"/>
      <c r="Y498" s="177"/>
      <c r="Z498" s="177"/>
      <c r="AA498" s="177"/>
      <c r="AB498" s="178"/>
      <c r="AC498" s="178"/>
      <c r="AD498" s="178"/>
      <c r="AE498" s="178"/>
      <c r="AF498" s="179"/>
      <c r="AG498" s="179"/>
      <c r="AH498" s="179"/>
      <c r="AI498" s="179"/>
      <c r="AJ498" s="179"/>
      <c r="AK498" s="179"/>
      <c r="AL498" s="179"/>
    </row>
    <row r="499" spans="11:38">
      <c r="K499" s="177"/>
      <c r="L499" s="177"/>
      <c r="M499" s="177"/>
      <c r="N499" s="177"/>
      <c r="O499" s="177"/>
      <c r="P499" s="177"/>
      <c r="Q499" s="177"/>
      <c r="R499" s="177"/>
      <c r="S499" s="177"/>
      <c r="T499" s="177"/>
      <c r="U499" s="177"/>
      <c r="V499" s="177"/>
      <c r="W499" s="177"/>
      <c r="X499" s="177"/>
      <c r="Y499" s="177"/>
      <c r="Z499" s="177"/>
      <c r="AA499" s="177"/>
      <c r="AB499" s="178"/>
      <c r="AC499" s="178"/>
      <c r="AD499" s="178"/>
      <c r="AE499" s="178"/>
      <c r="AF499" s="179"/>
      <c r="AG499" s="179"/>
      <c r="AH499" s="179"/>
      <c r="AI499" s="179"/>
      <c r="AJ499" s="179"/>
      <c r="AK499" s="179"/>
      <c r="AL499" s="179"/>
    </row>
    <row r="500" spans="11:38">
      <c r="K500" s="177"/>
      <c r="L500" s="177"/>
      <c r="M500" s="177"/>
      <c r="N500" s="177"/>
      <c r="O500" s="177"/>
      <c r="P500" s="177"/>
      <c r="Q500" s="177"/>
      <c r="R500" s="177"/>
      <c r="S500" s="177"/>
      <c r="T500" s="177"/>
      <c r="U500" s="177"/>
      <c r="V500" s="177"/>
      <c r="W500" s="177"/>
      <c r="X500" s="177"/>
      <c r="Y500" s="177"/>
      <c r="Z500" s="177"/>
      <c r="AA500" s="177"/>
      <c r="AB500" s="178"/>
      <c r="AC500" s="178"/>
      <c r="AD500" s="178"/>
      <c r="AE500" s="178"/>
      <c r="AF500" s="179"/>
      <c r="AG500" s="179"/>
      <c r="AH500" s="179"/>
      <c r="AI500" s="179"/>
      <c r="AJ500" s="179"/>
      <c r="AK500" s="179"/>
      <c r="AL500" s="179"/>
    </row>
    <row r="501" spans="11:38">
      <c r="K501" s="177"/>
      <c r="L501" s="177"/>
      <c r="M501" s="177"/>
      <c r="N501" s="177"/>
      <c r="O501" s="177"/>
      <c r="P501" s="177"/>
      <c r="Q501" s="177"/>
      <c r="R501" s="177"/>
      <c r="S501" s="177"/>
      <c r="T501" s="177"/>
      <c r="U501" s="177"/>
      <c r="V501" s="177"/>
      <c r="W501" s="177"/>
      <c r="X501" s="177"/>
      <c r="Y501" s="177"/>
      <c r="Z501" s="177"/>
      <c r="AA501" s="177"/>
      <c r="AB501" s="178"/>
      <c r="AC501" s="178"/>
      <c r="AD501" s="178"/>
      <c r="AE501" s="178"/>
      <c r="AF501" s="179"/>
      <c r="AG501" s="179"/>
      <c r="AH501" s="179"/>
      <c r="AI501" s="179"/>
      <c r="AJ501" s="179"/>
      <c r="AK501" s="179"/>
      <c r="AL501" s="179"/>
    </row>
    <row r="502" spans="11:38">
      <c r="K502" s="177"/>
      <c r="L502" s="177"/>
      <c r="M502" s="177"/>
      <c r="N502" s="177"/>
      <c r="O502" s="177"/>
      <c r="P502" s="177"/>
      <c r="Q502" s="177"/>
      <c r="R502" s="177"/>
      <c r="S502" s="177"/>
      <c r="T502" s="177"/>
      <c r="U502" s="177"/>
      <c r="V502" s="177"/>
      <c r="W502" s="177"/>
      <c r="X502" s="177"/>
      <c r="Y502" s="177"/>
      <c r="Z502" s="177"/>
      <c r="AA502" s="177"/>
      <c r="AB502" s="178"/>
      <c r="AC502" s="178"/>
      <c r="AD502" s="178"/>
      <c r="AE502" s="178"/>
      <c r="AF502" s="179"/>
      <c r="AG502" s="179"/>
      <c r="AH502" s="179"/>
      <c r="AI502" s="179"/>
      <c r="AJ502" s="179"/>
      <c r="AK502" s="179"/>
      <c r="AL502" s="179"/>
    </row>
    <row r="503" spans="11:38">
      <c r="K503" s="177"/>
      <c r="L503" s="177"/>
      <c r="M503" s="177"/>
      <c r="N503" s="177"/>
      <c r="O503" s="177"/>
      <c r="P503" s="177"/>
      <c r="Q503" s="177"/>
      <c r="R503" s="177"/>
      <c r="S503" s="177"/>
      <c r="T503" s="177"/>
      <c r="U503" s="177"/>
      <c r="V503" s="177"/>
      <c r="W503" s="177"/>
      <c r="X503" s="177"/>
      <c r="Y503" s="177"/>
      <c r="Z503" s="177"/>
      <c r="AA503" s="177"/>
      <c r="AB503" s="178"/>
      <c r="AC503" s="178"/>
      <c r="AD503" s="178"/>
      <c r="AE503" s="178"/>
      <c r="AF503" s="179"/>
      <c r="AG503" s="179"/>
      <c r="AH503" s="179"/>
      <c r="AI503" s="179"/>
      <c r="AJ503" s="179"/>
      <c r="AK503" s="179"/>
      <c r="AL503" s="179"/>
    </row>
    <row r="504" spans="11:38">
      <c r="K504" s="177"/>
      <c r="L504" s="177"/>
      <c r="M504" s="177"/>
      <c r="N504" s="177"/>
      <c r="O504" s="177"/>
      <c r="P504" s="177"/>
      <c r="Q504" s="177"/>
      <c r="R504" s="177"/>
      <c r="S504" s="177"/>
      <c r="T504" s="177"/>
      <c r="U504" s="177"/>
      <c r="V504" s="177"/>
      <c r="W504" s="177"/>
      <c r="X504" s="177"/>
      <c r="Y504" s="177"/>
      <c r="Z504" s="177"/>
      <c r="AA504" s="177"/>
      <c r="AB504" s="178"/>
      <c r="AC504" s="178"/>
      <c r="AD504" s="178"/>
      <c r="AE504" s="178"/>
      <c r="AF504" s="179"/>
      <c r="AG504" s="179"/>
      <c r="AH504" s="179"/>
      <c r="AI504" s="179"/>
      <c r="AJ504" s="179"/>
      <c r="AK504" s="179"/>
      <c r="AL504" s="179"/>
    </row>
    <row r="505" spans="11:38">
      <c r="K505" s="177"/>
      <c r="L505" s="177"/>
      <c r="M505" s="177"/>
      <c r="N505" s="177"/>
      <c r="O505" s="177"/>
      <c r="P505" s="177"/>
      <c r="Q505" s="177"/>
      <c r="R505" s="177"/>
      <c r="S505" s="177"/>
      <c r="T505" s="177"/>
      <c r="U505" s="177"/>
      <c r="V505" s="177"/>
      <c r="W505" s="177"/>
      <c r="X505" s="177"/>
      <c r="Y505" s="177"/>
      <c r="Z505" s="177"/>
      <c r="AA505" s="177"/>
      <c r="AB505" s="178"/>
      <c r="AC505" s="178"/>
      <c r="AD505" s="178"/>
      <c r="AE505" s="178"/>
      <c r="AF505" s="179"/>
      <c r="AG505" s="179"/>
      <c r="AH505" s="179"/>
      <c r="AI505" s="179"/>
      <c r="AJ505" s="179"/>
      <c r="AK505" s="179"/>
      <c r="AL505" s="179"/>
    </row>
    <row r="506" spans="11:38">
      <c r="K506" s="177"/>
      <c r="L506" s="177"/>
      <c r="M506" s="177"/>
      <c r="N506" s="177"/>
      <c r="O506" s="177"/>
      <c r="P506" s="177"/>
      <c r="Q506" s="177"/>
      <c r="R506" s="177"/>
      <c r="S506" s="177"/>
      <c r="T506" s="177"/>
      <c r="U506" s="177"/>
      <c r="V506" s="177"/>
      <c r="W506" s="177"/>
      <c r="X506" s="177"/>
      <c r="Y506" s="177"/>
      <c r="Z506" s="177"/>
      <c r="AA506" s="177"/>
      <c r="AB506" s="178"/>
      <c r="AC506" s="178"/>
      <c r="AD506" s="178"/>
      <c r="AE506" s="178"/>
      <c r="AF506" s="179"/>
      <c r="AG506" s="179"/>
      <c r="AH506" s="179"/>
      <c r="AI506" s="179"/>
      <c r="AJ506" s="179"/>
      <c r="AK506" s="179"/>
      <c r="AL506" s="179"/>
    </row>
    <row r="507" spans="11:38">
      <c r="K507" s="177"/>
      <c r="L507" s="177"/>
      <c r="M507" s="177"/>
      <c r="N507" s="177"/>
      <c r="O507" s="177"/>
      <c r="P507" s="177"/>
      <c r="Q507" s="177"/>
      <c r="R507" s="177"/>
      <c r="S507" s="177"/>
      <c r="T507" s="177"/>
      <c r="U507" s="177"/>
      <c r="V507" s="177"/>
      <c r="W507" s="177"/>
      <c r="X507" s="177"/>
      <c r="Y507" s="177"/>
      <c r="Z507" s="177"/>
      <c r="AA507" s="177"/>
      <c r="AB507" s="178"/>
      <c r="AC507" s="178"/>
      <c r="AD507" s="178"/>
      <c r="AE507" s="178"/>
      <c r="AF507" s="179"/>
      <c r="AG507" s="179"/>
      <c r="AH507" s="179"/>
      <c r="AI507" s="179"/>
      <c r="AJ507" s="179"/>
      <c r="AK507" s="179"/>
      <c r="AL507" s="179"/>
    </row>
    <row r="508" spans="11:38">
      <c r="K508" s="177"/>
      <c r="L508" s="177"/>
      <c r="M508" s="177"/>
      <c r="N508" s="177"/>
      <c r="O508" s="177"/>
      <c r="P508" s="177"/>
      <c r="Q508" s="177"/>
      <c r="R508" s="177"/>
      <c r="S508" s="177"/>
      <c r="T508" s="177"/>
      <c r="U508" s="177"/>
      <c r="V508" s="177"/>
      <c r="W508" s="177"/>
      <c r="X508" s="177"/>
      <c r="Y508" s="177"/>
      <c r="Z508" s="177"/>
      <c r="AA508" s="177"/>
      <c r="AB508" s="178"/>
      <c r="AC508" s="178"/>
      <c r="AD508" s="178"/>
      <c r="AE508" s="178"/>
      <c r="AF508" s="179"/>
      <c r="AG508" s="179"/>
      <c r="AH508" s="179"/>
      <c r="AI508" s="179"/>
      <c r="AJ508" s="179"/>
      <c r="AK508" s="179"/>
      <c r="AL508" s="179"/>
    </row>
    <row r="509" spans="11:38">
      <c r="K509" s="177"/>
      <c r="L509" s="177"/>
      <c r="M509" s="177"/>
      <c r="N509" s="177"/>
      <c r="O509" s="177"/>
      <c r="P509" s="177"/>
      <c r="Q509" s="177"/>
      <c r="R509" s="177"/>
      <c r="S509" s="177"/>
      <c r="T509" s="177"/>
      <c r="U509" s="177"/>
      <c r="V509" s="177"/>
      <c r="W509" s="177"/>
      <c r="X509" s="177"/>
      <c r="Y509" s="177"/>
      <c r="Z509" s="177"/>
      <c r="AA509" s="177"/>
      <c r="AB509" s="178"/>
      <c r="AC509" s="178"/>
      <c r="AD509" s="178"/>
      <c r="AE509" s="178"/>
      <c r="AF509" s="179"/>
      <c r="AG509" s="179"/>
      <c r="AH509" s="179"/>
      <c r="AI509" s="179"/>
      <c r="AJ509" s="179"/>
      <c r="AK509" s="179"/>
      <c r="AL509" s="179"/>
    </row>
    <row r="510" spans="11:38">
      <c r="K510" s="177"/>
      <c r="L510" s="177"/>
      <c r="M510" s="177"/>
      <c r="N510" s="177"/>
      <c r="O510" s="177"/>
      <c r="P510" s="177"/>
      <c r="Q510" s="177"/>
      <c r="R510" s="177"/>
      <c r="S510" s="177"/>
      <c r="T510" s="177"/>
      <c r="U510" s="177"/>
      <c r="V510" s="177"/>
      <c r="W510" s="177"/>
      <c r="X510" s="177"/>
      <c r="Y510" s="177"/>
      <c r="Z510" s="177"/>
      <c r="AA510" s="177"/>
      <c r="AB510" s="178"/>
      <c r="AC510" s="178"/>
      <c r="AD510" s="178"/>
      <c r="AE510" s="178"/>
      <c r="AF510" s="179"/>
      <c r="AG510" s="179"/>
      <c r="AH510" s="179"/>
      <c r="AI510" s="179"/>
      <c r="AJ510" s="179"/>
      <c r="AK510" s="179"/>
      <c r="AL510" s="179"/>
    </row>
    <row r="511" spans="11:38">
      <c r="K511" s="177"/>
      <c r="L511" s="177"/>
      <c r="M511" s="177"/>
      <c r="N511" s="177"/>
      <c r="O511" s="177"/>
      <c r="P511" s="177"/>
      <c r="Q511" s="177"/>
      <c r="R511" s="177"/>
      <c r="S511" s="177"/>
      <c r="T511" s="177"/>
      <c r="U511" s="177"/>
      <c r="V511" s="177"/>
      <c r="W511" s="177"/>
      <c r="X511" s="177"/>
      <c r="Y511" s="177"/>
      <c r="Z511" s="177"/>
      <c r="AA511" s="177"/>
      <c r="AB511" s="178"/>
      <c r="AC511" s="178"/>
      <c r="AD511" s="178"/>
      <c r="AE511" s="178"/>
      <c r="AF511" s="179"/>
      <c r="AG511" s="179"/>
      <c r="AH511" s="179"/>
      <c r="AI511" s="179"/>
      <c r="AJ511" s="179"/>
      <c r="AK511" s="179"/>
      <c r="AL511" s="179"/>
    </row>
    <row r="512" spans="11:38">
      <c r="K512" s="177"/>
      <c r="L512" s="177"/>
      <c r="M512" s="177"/>
      <c r="N512" s="177"/>
      <c r="O512" s="177"/>
      <c r="P512" s="177"/>
      <c r="Q512" s="177"/>
      <c r="R512" s="177"/>
      <c r="S512" s="177"/>
      <c r="T512" s="177"/>
      <c r="U512" s="177"/>
      <c r="V512" s="177"/>
      <c r="W512" s="177"/>
      <c r="X512" s="177"/>
      <c r="Y512" s="177"/>
      <c r="Z512" s="177"/>
      <c r="AA512" s="177"/>
      <c r="AB512" s="178"/>
      <c r="AC512" s="178"/>
      <c r="AD512" s="178"/>
      <c r="AE512" s="178"/>
      <c r="AF512" s="179"/>
      <c r="AG512" s="179"/>
      <c r="AH512" s="179"/>
      <c r="AI512" s="179"/>
      <c r="AJ512" s="179"/>
      <c r="AK512" s="179"/>
      <c r="AL512" s="179"/>
    </row>
    <row r="513" spans="11:38">
      <c r="K513" s="177"/>
      <c r="L513" s="177"/>
      <c r="M513" s="177"/>
      <c r="N513" s="177"/>
      <c r="O513" s="177"/>
      <c r="P513" s="177"/>
      <c r="Q513" s="177"/>
      <c r="R513" s="177"/>
      <c r="S513" s="177"/>
      <c r="T513" s="177"/>
      <c r="U513" s="177"/>
      <c r="V513" s="177"/>
      <c r="W513" s="177"/>
      <c r="X513" s="177"/>
      <c r="Y513" s="177"/>
      <c r="Z513" s="177"/>
      <c r="AA513" s="177"/>
      <c r="AB513" s="178"/>
      <c r="AC513" s="178"/>
      <c r="AD513" s="178"/>
      <c r="AE513" s="178"/>
      <c r="AF513" s="179"/>
      <c r="AG513" s="179"/>
      <c r="AH513" s="179"/>
      <c r="AI513" s="179"/>
      <c r="AJ513" s="179"/>
      <c r="AK513" s="179"/>
      <c r="AL513" s="179"/>
    </row>
    <row r="514" spans="11:38">
      <c r="K514" s="177"/>
      <c r="L514" s="177"/>
      <c r="M514" s="177"/>
      <c r="N514" s="177"/>
      <c r="O514" s="177"/>
      <c r="P514" s="177"/>
      <c r="Q514" s="177"/>
      <c r="R514" s="177"/>
      <c r="S514" s="177"/>
      <c r="T514" s="177"/>
      <c r="U514" s="177"/>
      <c r="V514" s="177"/>
      <c r="W514" s="177"/>
      <c r="X514" s="177"/>
      <c r="Y514" s="177"/>
      <c r="Z514" s="177"/>
      <c r="AA514" s="177"/>
      <c r="AB514" s="178"/>
      <c r="AC514" s="178"/>
      <c r="AD514" s="178"/>
      <c r="AE514" s="178"/>
      <c r="AF514" s="179"/>
      <c r="AG514" s="179"/>
      <c r="AH514" s="179"/>
      <c r="AI514" s="179"/>
      <c r="AJ514" s="179"/>
      <c r="AK514" s="179"/>
      <c r="AL514" s="179"/>
    </row>
    <row r="515" spans="11:38">
      <c r="K515" s="177"/>
      <c r="L515" s="177"/>
      <c r="M515" s="177"/>
      <c r="N515" s="177"/>
      <c r="O515" s="177"/>
      <c r="P515" s="177"/>
      <c r="Q515" s="177"/>
      <c r="R515" s="177"/>
      <c r="S515" s="177"/>
      <c r="T515" s="177"/>
      <c r="U515" s="177"/>
      <c r="V515" s="177"/>
      <c r="W515" s="177"/>
      <c r="X515" s="177"/>
      <c r="Y515" s="177"/>
      <c r="Z515" s="177"/>
      <c r="AA515" s="177"/>
      <c r="AB515" s="178"/>
      <c r="AC515" s="178"/>
      <c r="AD515" s="178"/>
      <c r="AE515" s="178"/>
      <c r="AF515" s="179"/>
      <c r="AG515" s="179"/>
      <c r="AH515" s="179"/>
      <c r="AI515" s="179"/>
      <c r="AJ515" s="179"/>
      <c r="AK515" s="179"/>
      <c r="AL515" s="179"/>
    </row>
    <row r="516" spans="11:38">
      <c r="K516" s="177"/>
      <c r="L516" s="177"/>
      <c r="M516" s="177"/>
      <c r="N516" s="177"/>
      <c r="O516" s="177"/>
      <c r="P516" s="177"/>
      <c r="Q516" s="177"/>
      <c r="R516" s="177"/>
      <c r="S516" s="177"/>
      <c r="T516" s="177"/>
      <c r="U516" s="177"/>
      <c r="V516" s="177"/>
      <c r="W516" s="177"/>
      <c r="X516" s="177"/>
      <c r="Y516" s="177"/>
      <c r="Z516" s="177"/>
      <c r="AA516" s="177"/>
      <c r="AB516" s="178"/>
      <c r="AC516" s="178"/>
      <c r="AD516" s="178"/>
      <c r="AE516" s="178"/>
      <c r="AF516" s="179"/>
      <c r="AG516" s="179"/>
      <c r="AH516" s="179"/>
      <c r="AI516" s="179"/>
      <c r="AJ516" s="179"/>
      <c r="AK516" s="179"/>
      <c r="AL516" s="179"/>
    </row>
    <row r="517" spans="11:38">
      <c r="K517" s="177"/>
      <c r="L517" s="177"/>
      <c r="M517" s="177"/>
      <c r="N517" s="177"/>
      <c r="O517" s="177"/>
      <c r="P517" s="177"/>
      <c r="Q517" s="177"/>
      <c r="R517" s="177"/>
      <c r="S517" s="177"/>
      <c r="T517" s="177"/>
      <c r="U517" s="177"/>
      <c r="V517" s="177"/>
      <c r="W517" s="177"/>
      <c r="X517" s="177"/>
      <c r="Y517" s="177"/>
      <c r="Z517" s="177"/>
      <c r="AA517" s="177"/>
      <c r="AB517" s="178"/>
      <c r="AC517" s="178"/>
      <c r="AD517" s="178"/>
      <c r="AE517" s="178"/>
      <c r="AF517" s="179"/>
      <c r="AG517" s="179"/>
      <c r="AH517" s="179"/>
      <c r="AI517" s="179"/>
      <c r="AJ517" s="179"/>
      <c r="AK517" s="179"/>
      <c r="AL517" s="179"/>
    </row>
    <row r="518" spans="11:38">
      <c r="K518" s="177"/>
      <c r="L518" s="177"/>
      <c r="M518" s="177"/>
      <c r="N518" s="177"/>
      <c r="O518" s="177"/>
      <c r="P518" s="177"/>
      <c r="Q518" s="177"/>
      <c r="R518" s="177"/>
      <c r="S518" s="177"/>
      <c r="T518" s="177"/>
      <c r="U518" s="177"/>
      <c r="V518" s="177"/>
      <c r="W518" s="177"/>
      <c r="X518" s="177"/>
      <c r="Y518" s="177"/>
      <c r="Z518" s="177"/>
      <c r="AA518" s="177"/>
      <c r="AB518" s="178"/>
      <c r="AC518" s="178"/>
      <c r="AD518" s="178"/>
      <c r="AE518" s="178"/>
      <c r="AF518" s="179"/>
      <c r="AG518" s="179"/>
      <c r="AH518" s="179"/>
      <c r="AI518" s="179"/>
      <c r="AJ518" s="179"/>
      <c r="AK518" s="179"/>
      <c r="AL518" s="179"/>
    </row>
    <row r="519" spans="11:38">
      <c r="K519" s="177"/>
      <c r="L519" s="177"/>
      <c r="M519" s="177"/>
      <c r="N519" s="177"/>
      <c r="O519" s="177"/>
      <c r="P519" s="177"/>
      <c r="Q519" s="177"/>
      <c r="R519" s="177"/>
      <c r="S519" s="177"/>
      <c r="T519" s="177"/>
      <c r="U519" s="177"/>
      <c r="V519" s="177"/>
      <c r="W519" s="177"/>
      <c r="X519" s="177"/>
      <c r="Y519" s="177"/>
      <c r="Z519" s="177"/>
      <c r="AA519" s="177"/>
      <c r="AB519" s="178"/>
      <c r="AC519" s="178"/>
      <c r="AD519" s="178"/>
      <c r="AE519" s="178"/>
      <c r="AF519" s="179"/>
      <c r="AG519" s="179"/>
      <c r="AH519" s="179"/>
      <c r="AI519" s="179"/>
      <c r="AJ519" s="179"/>
      <c r="AK519" s="179"/>
      <c r="AL519" s="179"/>
    </row>
    <row r="520" spans="11:38">
      <c r="K520" s="177"/>
      <c r="L520" s="177"/>
      <c r="M520" s="177"/>
      <c r="N520" s="177"/>
      <c r="O520" s="177"/>
      <c r="P520" s="177"/>
      <c r="Q520" s="177"/>
      <c r="R520" s="177"/>
      <c r="S520" s="177"/>
      <c r="T520" s="177"/>
      <c r="U520" s="177"/>
      <c r="V520" s="177"/>
      <c r="W520" s="177"/>
      <c r="X520" s="177"/>
      <c r="Y520" s="177"/>
      <c r="Z520" s="177"/>
      <c r="AA520" s="177"/>
      <c r="AB520" s="178"/>
      <c r="AC520" s="178"/>
      <c r="AD520" s="178"/>
      <c r="AE520" s="178"/>
      <c r="AF520" s="179"/>
      <c r="AG520" s="179"/>
      <c r="AH520" s="179"/>
      <c r="AI520" s="179"/>
      <c r="AJ520" s="179"/>
      <c r="AK520" s="179"/>
      <c r="AL520" s="179"/>
    </row>
    <row r="521" spans="11:38">
      <c r="K521" s="177"/>
      <c r="L521" s="177"/>
      <c r="M521" s="177"/>
      <c r="N521" s="177"/>
      <c r="O521" s="177"/>
      <c r="P521" s="177"/>
      <c r="Q521" s="177"/>
      <c r="R521" s="177"/>
      <c r="S521" s="177"/>
      <c r="T521" s="177"/>
      <c r="U521" s="177"/>
      <c r="V521" s="177"/>
      <c r="W521" s="177"/>
      <c r="X521" s="177"/>
      <c r="Y521" s="177"/>
      <c r="Z521" s="177"/>
      <c r="AA521" s="177"/>
      <c r="AB521" s="178"/>
      <c r="AC521" s="178"/>
      <c r="AD521" s="178"/>
      <c r="AE521" s="178"/>
      <c r="AF521" s="179"/>
      <c r="AG521" s="179"/>
      <c r="AH521" s="179"/>
      <c r="AI521" s="179"/>
      <c r="AJ521" s="179"/>
      <c r="AK521" s="179"/>
      <c r="AL521" s="179"/>
    </row>
    <row r="522" spans="11:38">
      <c r="K522" s="177"/>
      <c r="L522" s="177"/>
      <c r="M522" s="177"/>
      <c r="N522" s="177"/>
      <c r="O522" s="177"/>
      <c r="P522" s="177"/>
      <c r="Q522" s="177"/>
      <c r="R522" s="177"/>
      <c r="S522" s="177"/>
      <c r="T522" s="177"/>
      <c r="U522" s="177"/>
      <c r="V522" s="177"/>
      <c r="W522" s="177"/>
      <c r="X522" s="177"/>
      <c r="Y522" s="177"/>
      <c r="Z522" s="177"/>
      <c r="AA522" s="177"/>
      <c r="AB522" s="178"/>
      <c r="AC522" s="178"/>
      <c r="AD522" s="178"/>
      <c r="AE522" s="178"/>
      <c r="AF522" s="179"/>
      <c r="AG522" s="179"/>
      <c r="AH522" s="179"/>
      <c r="AI522" s="179"/>
      <c r="AJ522" s="179"/>
      <c r="AK522" s="179"/>
      <c r="AL522" s="179"/>
    </row>
    <row r="523" spans="11:38">
      <c r="K523" s="177"/>
      <c r="L523" s="177"/>
      <c r="M523" s="177"/>
      <c r="N523" s="177"/>
      <c r="O523" s="177"/>
      <c r="P523" s="177"/>
      <c r="Q523" s="177"/>
      <c r="R523" s="177"/>
      <c r="S523" s="177"/>
      <c r="T523" s="177"/>
      <c r="U523" s="177"/>
      <c r="V523" s="177"/>
      <c r="W523" s="177"/>
      <c r="X523" s="177"/>
      <c r="Y523" s="177"/>
      <c r="Z523" s="177"/>
      <c r="AA523" s="177"/>
      <c r="AB523" s="178"/>
      <c r="AC523" s="178"/>
      <c r="AD523" s="178"/>
      <c r="AE523" s="178"/>
      <c r="AF523" s="179"/>
      <c r="AG523" s="179"/>
      <c r="AH523" s="179"/>
      <c r="AI523" s="179"/>
      <c r="AJ523" s="179"/>
      <c r="AK523" s="179"/>
      <c r="AL523" s="179"/>
    </row>
    <row r="524" spans="11:38">
      <c r="K524" s="177"/>
      <c r="L524" s="177"/>
      <c r="M524" s="177"/>
      <c r="N524" s="177"/>
      <c r="O524" s="177"/>
      <c r="P524" s="177"/>
      <c r="Q524" s="177"/>
      <c r="R524" s="177"/>
      <c r="S524" s="177"/>
      <c r="T524" s="177"/>
      <c r="U524" s="177"/>
      <c r="V524" s="177"/>
      <c r="W524" s="177"/>
      <c r="X524" s="177"/>
      <c r="Y524" s="177"/>
      <c r="Z524" s="177"/>
      <c r="AA524" s="177"/>
      <c r="AB524" s="178"/>
      <c r="AC524" s="178"/>
      <c r="AD524" s="178"/>
      <c r="AE524" s="178"/>
      <c r="AF524" s="179"/>
      <c r="AG524" s="179"/>
      <c r="AH524" s="179"/>
      <c r="AI524" s="179"/>
      <c r="AJ524" s="179"/>
      <c r="AK524" s="179"/>
      <c r="AL524" s="179"/>
    </row>
    <row r="525" spans="11:38">
      <c r="K525" s="177"/>
      <c r="L525" s="177"/>
      <c r="M525" s="177"/>
      <c r="N525" s="177"/>
      <c r="O525" s="177"/>
      <c r="P525" s="177"/>
      <c r="Q525" s="177"/>
      <c r="R525" s="177"/>
      <c r="S525" s="177"/>
      <c r="T525" s="177"/>
      <c r="U525" s="177"/>
      <c r="V525" s="177"/>
      <c r="W525" s="177"/>
      <c r="X525" s="177"/>
      <c r="Y525" s="177"/>
      <c r="Z525" s="177"/>
      <c r="AA525" s="177"/>
      <c r="AB525" s="178"/>
      <c r="AC525" s="178"/>
      <c r="AD525" s="178"/>
      <c r="AE525" s="178"/>
      <c r="AF525" s="179"/>
      <c r="AG525" s="179"/>
      <c r="AH525" s="179"/>
      <c r="AI525" s="179"/>
      <c r="AJ525" s="179"/>
      <c r="AK525" s="179"/>
      <c r="AL525" s="179"/>
    </row>
    <row r="526" spans="11:38">
      <c r="K526" s="177"/>
      <c r="L526" s="177"/>
      <c r="M526" s="177"/>
      <c r="N526" s="177"/>
      <c r="O526" s="177"/>
      <c r="P526" s="177"/>
      <c r="Q526" s="177"/>
      <c r="R526" s="177"/>
      <c r="S526" s="177"/>
      <c r="T526" s="177"/>
      <c r="U526" s="177"/>
      <c r="V526" s="177"/>
      <c r="W526" s="177"/>
      <c r="X526" s="177"/>
      <c r="Y526" s="177"/>
      <c r="Z526" s="177"/>
      <c r="AA526" s="177"/>
      <c r="AB526" s="178"/>
      <c r="AC526" s="178"/>
      <c r="AD526" s="178"/>
      <c r="AE526" s="178"/>
      <c r="AF526" s="179"/>
      <c r="AG526" s="179"/>
      <c r="AH526" s="179"/>
      <c r="AI526" s="179"/>
      <c r="AJ526" s="179"/>
      <c r="AK526" s="179"/>
      <c r="AL526" s="179"/>
    </row>
    <row r="527" spans="11:38">
      <c r="K527" s="177"/>
      <c r="L527" s="177"/>
      <c r="M527" s="177"/>
      <c r="N527" s="177"/>
      <c r="O527" s="177"/>
      <c r="P527" s="177"/>
      <c r="Q527" s="177"/>
      <c r="R527" s="177"/>
      <c r="S527" s="177"/>
      <c r="T527" s="177"/>
      <c r="U527" s="177"/>
      <c r="V527" s="177"/>
      <c r="W527" s="177"/>
      <c r="X527" s="177"/>
      <c r="Y527" s="177"/>
      <c r="Z527" s="177"/>
      <c r="AA527" s="177"/>
      <c r="AB527" s="178"/>
      <c r="AC527" s="178"/>
      <c r="AD527" s="178"/>
      <c r="AE527" s="178"/>
      <c r="AF527" s="179"/>
      <c r="AG527" s="179"/>
      <c r="AH527" s="179"/>
      <c r="AI527" s="179"/>
      <c r="AJ527" s="179"/>
      <c r="AK527" s="179"/>
      <c r="AL527" s="179"/>
    </row>
    <row r="528" spans="11:38">
      <c r="K528" s="177"/>
      <c r="L528" s="177"/>
      <c r="M528" s="177"/>
      <c r="N528" s="177"/>
      <c r="O528" s="177"/>
      <c r="P528" s="177"/>
      <c r="Q528" s="177"/>
      <c r="R528" s="177"/>
      <c r="S528" s="177"/>
      <c r="T528" s="177"/>
      <c r="U528" s="177"/>
      <c r="V528" s="177"/>
      <c r="W528" s="177"/>
      <c r="X528" s="177"/>
      <c r="Y528" s="177"/>
      <c r="Z528" s="177"/>
      <c r="AA528" s="177"/>
      <c r="AB528" s="178"/>
      <c r="AC528" s="178"/>
      <c r="AD528" s="178"/>
      <c r="AE528" s="178"/>
      <c r="AF528" s="179"/>
      <c r="AG528" s="179"/>
      <c r="AH528" s="179"/>
      <c r="AI528" s="179"/>
      <c r="AJ528" s="179"/>
      <c r="AK528" s="179"/>
      <c r="AL528" s="179"/>
    </row>
    <row r="529" spans="11:38">
      <c r="K529" s="177"/>
      <c r="L529" s="177"/>
      <c r="M529" s="177"/>
      <c r="N529" s="177"/>
      <c r="O529" s="177"/>
      <c r="P529" s="177"/>
      <c r="Q529" s="177"/>
      <c r="R529" s="177"/>
      <c r="S529" s="177"/>
      <c r="T529" s="177"/>
      <c r="U529" s="177"/>
      <c r="V529" s="177"/>
      <c r="W529" s="177"/>
      <c r="X529" s="177"/>
      <c r="Y529" s="177"/>
      <c r="Z529" s="177"/>
      <c r="AA529" s="177"/>
      <c r="AB529" s="178"/>
      <c r="AC529" s="178"/>
      <c r="AD529" s="178"/>
      <c r="AE529" s="178"/>
      <c r="AF529" s="179"/>
      <c r="AG529" s="179"/>
      <c r="AH529" s="179"/>
      <c r="AI529" s="179"/>
      <c r="AJ529" s="179"/>
      <c r="AK529" s="179"/>
      <c r="AL529" s="179"/>
    </row>
    <row r="530" spans="11:38">
      <c r="K530" s="177"/>
      <c r="L530" s="177"/>
      <c r="M530" s="177"/>
      <c r="N530" s="177"/>
      <c r="O530" s="177"/>
      <c r="P530" s="177"/>
      <c r="Q530" s="177"/>
      <c r="R530" s="177"/>
      <c r="S530" s="177"/>
      <c r="T530" s="177"/>
      <c r="U530" s="177"/>
      <c r="V530" s="177"/>
      <c r="W530" s="177"/>
      <c r="X530" s="177"/>
      <c r="Y530" s="177"/>
      <c r="Z530" s="177"/>
      <c r="AA530" s="177"/>
      <c r="AB530" s="178"/>
      <c r="AC530" s="178"/>
      <c r="AD530" s="178"/>
      <c r="AE530" s="178"/>
      <c r="AF530" s="179"/>
      <c r="AG530" s="179"/>
      <c r="AH530" s="179"/>
      <c r="AI530" s="179"/>
      <c r="AJ530" s="179"/>
      <c r="AK530" s="179"/>
      <c r="AL530" s="179"/>
    </row>
    <row r="531" spans="11:38">
      <c r="K531" s="177"/>
      <c r="L531" s="177"/>
      <c r="M531" s="177"/>
      <c r="N531" s="177"/>
      <c r="O531" s="177"/>
      <c r="P531" s="177"/>
      <c r="Q531" s="177"/>
      <c r="R531" s="177"/>
      <c r="S531" s="177"/>
      <c r="T531" s="177"/>
      <c r="U531" s="177"/>
      <c r="V531" s="177"/>
      <c r="W531" s="177"/>
      <c r="X531" s="177"/>
      <c r="Y531" s="177"/>
      <c r="Z531" s="177"/>
      <c r="AA531" s="177"/>
      <c r="AB531" s="178"/>
      <c r="AC531" s="178"/>
      <c r="AD531" s="178"/>
      <c r="AE531" s="178"/>
      <c r="AF531" s="179"/>
      <c r="AG531" s="179"/>
      <c r="AH531" s="179"/>
      <c r="AI531" s="179"/>
      <c r="AJ531" s="179"/>
      <c r="AK531" s="179"/>
      <c r="AL531" s="179"/>
    </row>
    <row r="532" spans="11:38">
      <c r="K532" s="177"/>
      <c r="L532" s="177"/>
      <c r="M532" s="177"/>
      <c r="N532" s="177"/>
      <c r="O532" s="177"/>
      <c r="P532" s="177"/>
      <c r="Q532" s="177"/>
      <c r="R532" s="177"/>
      <c r="S532" s="177"/>
      <c r="T532" s="177"/>
      <c r="U532" s="177"/>
      <c r="V532" s="177"/>
      <c r="W532" s="177"/>
      <c r="X532" s="177"/>
      <c r="Y532" s="177"/>
      <c r="Z532" s="177"/>
      <c r="AA532" s="177"/>
      <c r="AB532" s="178"/>
      <c r="AC532" s="178"/>
      <c r="AD532" s="178"/>
      <c r="AE532" s="178"/>
      <c r="AF532" s="179"/>
      <c r="AG532" s="179"/>
      <c r="AH532" s="179"/>
      <c r="AI532" s="179"/>
      <c r="AJ532" s="179"/>
      <c r="AK532" s="179"/>
      <c r="AL532" s="179"/>
    </row>
    <row r="533" spans="11:38">
      <c r="K533" s="177"/>
      <c r="L533" s="177"/>
      <c r="M533" s="177"/>
      <c r="N533" s="177"/>
      <c r="O533" s="177"/>
      <c r="P533" s="177"/>
      <c r="Q533" s="177"/>
      <c r="R533" s="177"/>
      <c r="S533" s="177"/>
      <c r="T533" s="177"/>
      <c r="U533" s="177"/>
      <c r="V533" s="177"/>
      <c r="W533" s="177"/>
      <c r="X533" s="177"/>
      <c r="Y533" s="177"/>
      <c r="Z533" s="177"/>
      <c r="AA533" s="177"/>
      <c r="AB533" s="178"/>
      <c r="AC533" s="178"/>
      <c r="AD533" s="178"/>
      <c r="AE533" s="178"/>
      <c r="AF533" s="179"/>
      <c r="AG533" s="179"/>
      <c r="AH533" s="179"/>
      <c r="AI533" s="179"/>
      <c r="AJ533" s="179"/>
      <c r="AK533" s="179"/>
      <c r="AL533" s="179"/>
    </row>
    <row r="534" spans="11:38">
      <c r="K534" s="177"/>
      <c r="L534" s="177"/>
      <c r="M534" s="177"/>
      <c r="N534" s="177"/>
      <c r="O534" s="177"/>
      <c r="P534" s="177"/>
      <c r="Q534" s="177"/>
      <c r="R534" s="177"/>
      <c r="S534" s="177"/>
      <c r="T534" s="177"/>
      <c r="U534" s="177"/>
      <c r="V534" s="177"/>
      <c r="W534" s="177"/>
      <c r="X534" s="177"/>
      <c r="Y534" s="177"/>
      <c r="Z534" s="177"/>
      <c r="AA534" s="177"/>
      <c r="AB534" s="178"/>
      <c r="AC534" s="178"/>
      <c r="AD534" s="178"/>
      <c r="AE534" s="178"/>
      <c r="AF534" s="179"/>
      <c r="AG534" s="179"/>
      <c r="AH534" s="179"/>
      <c r="AI534" s="179"/>
      <c r="AJ534" s="179"/>
      <c r="AK534" s="179"/>
      <c r="AL534" s="179"/>
    </row>
    <row r="535" spans="11:38">
      <c r="K535" s="177"/>
      <c r="L535" s="177"/>
      <c r="M535" s="177"/>
      <c r="N535" s="177"/>
      <c r="O535" s="177"/>
      <c r="P535" s="177"/>
      <c r="Q535" s="177"/>
      <c r="R535" s="177"/>
      <c r="S535" s="177"/>
      <c r="T535" s="177"/>
      <c r="U535" s="177"/>
      <c r="V535" s="177"/>
      <c r="W535" s="177"/>
      <c r="X535" s="177"/>
      <c r="Y535" s="177"/>
      <c r="Z535" s="177"/>
      <c r="AA535" s="177"/>
      <c r="AB535" s="178"/>
      <c r="AC535" s="178"/>
      <c r="AD535" s="178"/>
      <c r="AE535" s="178"/>
      <c r="AF535" s="179"/>
      <c r="AG535" s="179"/>
      <c r="AH535" s="179"/>
      <c r="AI535" s="179"/>
      <c r="AJ535" s="179"/>
      <c r="AK535" s="179"/>
      <c r="AL535" s="179"/>
    </row>
    <row r="536" spans="11:38">
      <c r="K536" s="177"/>
      <c r="L536" s="177"/>
      <c r="M536" s="177"/>
      <c r="N536" s="177"/>
      <c r="O536" s="177"/>
      <c r="P536" s="177"/>
      <c r="Q536" s="177"/>
      <c r="R536" s="177"/>
      <c r="S536" s="177"/>
      <c r="T536" s="177"/>
      <c r="U536" s="177"/>
      <c r="V536" s="177"/>
      <c r="W536" s="177"/>
      <c r="X536" s="177"/>
      <c r="Y536" s="177"/>
      <c r="Z536" s="177"/>
      <c r="AA536" s="177"/>
      <c r="AB536" s="178"/>
      <c r="AC536" s="178"/>
      <c r="AD536" s="178"/>
      <c r="AE536" s="178"/>
      <c r="AF536" s="179"/>
      <c r="AG536" s="179"/>
      <c r="AH536" s="179"/>
      <c r="AI536" s="179"/>
      <c r="AJ536" s="179"/>
      <c r="AK536" s="179"/>
      <c r="AL536" s="179"/>
    </row>
    <row r="537" spans="11:38">
      <c r="K537" s="177"/>
      <c r="L537" s="177"/>
      <c r="M537" s="177"/>
      <c r="N537" s="177"/>
      <c r="O537" s="177"/>
      <c r="P537" s="177"/>
      <c r="Q537" s="177"/>
      <c r="R537" s="177"/>
      <c r="S537" s="177"/>
      <c r="T537" s="177"/>
      <c r="U537" s="177"/>
      <c r="V537" s="177"/>
      <c r="W537" s="177"/>
      <c r="X537" s="177"/>
      <c r="Y537" s="177"/>
      <c r="Z537" s="177"/>
      <c r="AA537" s="177"/>
      <c r="AB537" s="178"/>
      <c r="AC537" s="178"/>
      <c r="AD537" s="178"/>
      <c r="AE537" s="178"/>
      <c r="AF537" s="179"/>
      <c r="AG537" s="179"/>
      <c r="AH537" s="179"/>
      <c r="AI537" s="179"/>
      <c r="AJ537" s="179"/>
      <c r="AK537" s="179"/>
      <c r="AL537" s="179"/>
    </row>
    <row r="538" spans="11:38">
      <c r="K538" s="177"/>
      <c r="L538" s="177"/>
      <c r="M538" s="177"/>
      <c r="N538" s="177"/>
      <c r="O538" s="177"/>
      <c r="P538" s="177"/>
      <c r="Q538" s="177"/>
      <c r="R538" s="177"/>
      <c r="S538" s="177"/>
      <c r="T538" s="177"/>
      <c r="U538" s="177"/>
      <c r="V538" s="177"/>
      <c r="W538" s="177"/>
      <c r="X538" s="177"/>
      <c r="Y538" s="177"/>
      <c r="Z538" s="177"/>
      <c r="AA538" s="177"/>
      <c r="AB538" s="178"/>
      <c r="AC538" s="178"/>
      <c r="AD538" s="178"/>
      <c r="AE538" s="178"/>
      <c r="AF538" s="179"/>
      <c r="AG538" s="179"/>
      <c r="AH538" s="179"/>
      <c r="AI538" s="179"/>
      <c r="AJ538" s="179"/>
      <c r="AK538" s="179"/>
      <c r="AL538" s="179"/>
    </row>
    <row r="539" spans="11:38">
      <c r="K539" s="177"/>
      <c r="L539" s="177"/>
      <c r="M539" s="177"/>
      <c r="N539" s="177"/>
      <c r="O539" s="177"/>
      <c r="P539" s="177"/>
      <c r="Q539" s="177"/>
      <c r="R539" s="177"/>
      <c r="S539" s="177"/>
      <c r="T539" s="177"/>
      <c r="U539" s="177"/>
      <c r="V539" s="177"/>
      <c r="W539" s="177"/>
      <c r="X539" s="177"/>
      <c r="Y539" s="177"/>
      <c r="Z539" s="177"/>
      <c r="AA539" s="177"/>
      <c r="AB539" s="178"/>
      <c r="AC539" s="178"/>
      <c r="AD539" s="178"/>
      <c r="AE539" s="178"/>
      <c r="AF539" s="179"/>
      <c r="AG539" s="179"/>
      <c r="AH539" s="179"/>
      <c r="AI539" s="179"/>
      <c r="AJ539" s="179"/>
      <c r="AK539" s="179"/>
      <c r="AL539" s="179"/>
    </row>
    <row r="540" spans="11:38">
      <c r="K540" s="177"/>
      <c r="L540" s="177"/>
      <c r="M540" s="177"/>
      <c r="N540" s="177"/>
      <c r="O540" s="177"/>
      <c r="P540" s="177"/>
      <c r="Q540" s="177"/>
      <c r="R540" s="177"/>
      <c r="S540" s="177"/>
      <c r="T540" s="177"/>
      <c r="U540" s="177"/>
      <c r="V540" s="177"/>
      <c r="W540" s="177"/>
      <c r="X540" s="177"/>
      <c r="Y540" s="177"/>
      <c r="Z540" s="177"/>
      <c r="AA540" s="177"/>
      <c r="AB540" s="178"/>
      <c r="AC540" s="178"/>
      <c r="AD540" s="178"/>
      <c r="AE540" s="178"/>
      <c r="AF540" s="179"/>
      <c r="AG540" s="179"/>
      <c r="AH540" s="179"/>
      <c r="AI540" s="179"/>
      <c r="AJ540" s="179"/>
      <c r="AK540" s="179"/>
      <c r="AL540" s="179"/>
    </row>
    <row r="541" spans="11:38">
      <c r="K541" s="177"/>
      <c r="L541" s="177"/>
      <c r="M541" s="177"/>
      <c r="N541" s="177"/>
      <c r="O541" s="177"/>
      <c r="P541" s="177"/>
      <c r="Q541" s="177"/>
      <c r="R541" s="177"/>
      <c r="S541" s="177"/>
      <c r="T541" s="177"/>
      <c r="U541" s="177"/>
      <c r="V541" s="177"/>
      <c r="W541" s="177"/>
      <c r="X541" s="177"/>
      <c r="Y541" s="177"/>
      <c r="Z541" s="177"/>
      <c r="AA541" s="177"/>
      <c r="AB541" s="178"/>
      <c r="AC541" s="178"/>
      <c r="AD541" s="178"/>
      <c r="AE541" s="178"/>
      <c r="AF541" s="179"/>
      <c r="AG541" s="179"/>
      <c r="AH541" s="179"/>
      <c r="AI541" s="179"/>
      <c r="AJ541" s="179"/>
      <c r="AK541" s="179"/>
      <c r="AL541" s="179"/>
    </row>
    <row r="542" spans="11:38">
      <c r="K542" s="177"/>
      <c r="L542" s="177"/>
      <c r="M542" s="177"/>
      <c r="N542" s="177"/>
      <c r="O542" s="177"/>
      <c r="P542" s="177"/>
      <c r="Q542" s="177"/>
      <c r="R542" s="177"/>
      <c r="S542" s="177"/>
      <c r="T542" s="177"/>
      <c r="U542" s="177"/>
      <c r="V542" s="177"/>
      <c r="W542" s="177"/>
      <c r="X542" s="177"/>
      <c r="Y542" s="177"/>
      <c r="Z542" s="177"/>
      <c r="AA542" s="177"/>
      <c r="AB542" s="178"/>
      <c r="AC542" s="178"/>
      <c r="AD542" s="178"/>
      <c r="AE542" s="178"/>
      <c r="AF542" s="179"/>
      <c r="AG542" s="179"/>
      <c r="AH542" s="179"/>
      <c r="AI542" s="179"/>
      <c r="AJ542" s="179"/>
      <c r="AK542" s="179"/>
      <c r="AL542" s="179"/>
    </row>
    <row r="543" spans="11:38">
      <c r="K543" s="177"/>
      <c r="L543" s="177"/>
      <c r="M543" s="177"/>
      <c r="N543" s="177"/>
      <c r="O543" s="177"/>
      <c r="P543" s="177"/>
      <c r="Q543" s="177"/>
      <c r="R543" s="177"/>
      <c r="S543" s="177"/>
      <c r="T543" s="177"/>
      <c r="U543" s="177"/>
      <c r="V543" s="177"/>
      <c r="W543" s="177"/>
      <c r="X543" s="177"/>
      <c r="Y543" s="177"/>
      <c r="Z543" s="177"/>
      <c r="AA543" s="177"/>
      <c r="AB543" s="178"/>
      <c r="AC543" s="178"/>
      <c r="AD543" s="178"/>
      <c r="AE543" s="178"/>
      <c r="AF543" s="179"/>
      <c r="AG543" s="179"/>
      <c r="AH543" s="179"/>
      <c r="AI543" s="179"/>
      <c r="AJ543" s="179"/>
      <c r="AK543" s="179"/>
      <c r="AL543" s="179"/>
    </row>
    <row r="544" spans="11:38">
      <c r="K544" s="177"/>
      <c r="L544" s="177"/>
      <c r="M544" s="177"/>
      <c r="N544" s="177"/>
      <c r="O544" s="177"/>
      <c r="P544" s="177"/>
      <c r="Q544" s="177"/>
      <c r="R544" s="177"/>
      <c r="S544" s="177"/>
      <c r="T544" s="177"/>
      <c r="U544" s="177"/>
      <c r="V544" s="177"/>
      <c r="W544" s="177"/>
      <c r="X544" s="177"/>
      <c r="Y544" s="177"/>
      <c r="Z544" s="177"/>
      <c r="AA544" s="177"/>
      <c r="AB544" s="178"/>
      <c r="AC544" s="178"/>
      <c r="AD544" s="178"/>
      <c r="AE544" s="178"/>
      <c r="AF544" s="179"/>
      <c r="AG544" s="179"/>
      <c r="AH544" s="179"/>
      <c r="AI544" s="179"/>
      <c r="AJ544" s="179"/>
      <c r="AK544" s="179"/>
      <c r="AL544" s="179"/>
    </row>
    <row r="545" spans="11:38">
      <c r="K545" s="177"/>
      <c r="L545" s="177"/>
      <c r="M545" s="177"/>
      <c r="N545" s="177"/>
      <c r="O545" s="177"/>
      <c r="P545" s="177"/>
      <c r="Q545" s="177"/>
      <c r="R545" s="177"/>
      <c r="S545" s="177"/>
      <c r="T545" s="177"/>
      <c r="U545" s="177"/>
      <c r="V545" s="177"/>
      <c r="W545" s="177"/>
      <c r="X545" s="177"/>
      <c r="Y545" s="177"/>
      <c r="Z545" s="177"/>
      <c r="AA545" s="177"/>
      <c r="AB545" s="178"/>
      <c r="AC545" s="178"/>
      <c r="AD545" s="178"/>
      <c r="AE545" s="178"/>
      <c r="AF545" s="179"/>
      <c r="AG545" s="179"/>
      <c r="AH545" s="179"/>
      <c r="AI545" s="179"/>
      <c r="AJ545" s="179"/>
      <c r="AK545" s="179"/>
      <c r="AL545" s="179"/>
    </row>
    <row r="546" spans="11:38">
      <c r="K546" s="177"/>
      <c r="L546" s="177"/>
      <c r="M546" s="177"/>
      <c r="N546" s="177"/>
      <c r="O546" s="177"/>
      <c r="P546" s="177"/>
      <c r="Q546" s="177"/>
      <c r="R546" s="177"/>
      <c r="S546" s="177"/>
      <c r="T546" s="177"/>
      <c r="U546" s="177"/>
      <c r="V546" s="177"/>
      <c r="W546" s="177"/>
      <c r="X546" s="177"/>
      <c r="Y546" s="177"/>
      <c r="Z546" s="177"/>
      <c r="AA546" s="177"/>
      <c r="AB546" s="178"/>
      <c r="AC546" s="178"/>
      <c r="AD546" s="178"/>
      <c r="AE546" s="178"/>
      <c r="AF546" s="179"/>
      <c r="AG546" s="179"/>
      <c r="AH546" s="179"/>
      <c r="AI546" s="179"/>
      <c r="AJ546" s="179"/>
      <c r="AK546" s="179"/>
      <c r="AL546" s="179"/>
    </row>
    <row r="547" spans="11:38">
      <c r="K547" s="177"/>
      <c r="L547" s="177"/>
      <c r="M547" s="177"/>
      <c r="N547" s="177"/>
      <c r="O547" s="177"/>
      <c r="P547" s="177"/>
      <c r="Q547" s="177"/>
      <c r="R547" s="177"/>
      <c r="S547" s="177"/>
      <c r="T547" s="177"/>
      <c r="U547" s="177"/>
      <c r="V547" s="177"/>
      <c r="W547" s="177"/>
      <c r="X547" s="177"/>
      <c r="Y547" s="177"/>
      <c r="Z547" s="177"/>
      <c r="AA547" s="177"/>
      <c r="AB547" s="178"/>
      <c r="AC547" s="178"/>
      <c r="AD547" s="178"/>
      <c r="AE547" s="178"/>
      <c r="AF547" s="179"/>
      <c r="AG547" s="179"/>
      <c r="AH547" s="179"/>
      <c r="AI547" s="179"/>
      <c r="AJ547" s="179"/>
      <c r="AK547" s="179"/>
      <c r="AL547" s="179"/>
    </row>
    <row r="548" spans="11:38">
      <c r="K548" s="177"/>
      <c r="L548" s="177"/>
      <c r="M548" s="177"/>
      <c r="N548" s="177"/>
      <c r="O548" s="177"/>
      <c r="P548" s="177"/>
      <c r="Q548" s="177"/>
      <c r="R548" s="177"/>
      <c r="S548" s="177"/>
      <c r="T548" s="177"/>
      <c r="U548" s="177"/>
      <c r="V548" s="177"/>
      <c r="W548" s="177"/>
      <c r="X548" s="177"/>
      <c r="Y548" s="177"/>
      <c r="Z548" s="177"/>
      <c r="AA548" s="177"/>
      <c r="AB548" s="178"/>
      <c r="AC548" s="178"/>
      <c r="AD548" s="178"/>
      <c r="AE548" s="178"/>
      <c r="AF548" s="179"/>
      <c r="AG548" s="179"/>
      <c r="AH548" s="179"/>
      <c r="AI548" s="179"/>
      <c r="AJ548" s="179"/>
      <c r="AK548" s="179"/>
      <c r="AL548" s="179"/>
    </row>
    <row r="549" spans="11:38">
      <c r="K549" s="177"/>
      <c r="L549" s="177"/>
      <c r="M549" s="177"/>
      <c r="N549" s="177"/>
      <c r="O549" s="177"/>
      <c r="P549" s="177"/>
      <c r="Q549" s="177"/>
      <c r="R549" s="177"/>
      <c r="S549" s="177"/>
      <c r="T549" s="177"/>
      <c r="U549" s="177"/>
      <c r="V549" s="177"/>
      <c r="W549" s="177"/>
      <c r="X549" s="177"/>
      <c r="Y549" s="177"/>
      <c r="Z549" s="177"/>
      <c r="AA549" s="177"/>
      <c r="AB549" s="178"/>
      <c r="AC549" s="178"/>
      <c r="AD549" s="178"/>
      <c r="AE549" s="178"/>
      <c r="AF549" s="179"/>
      <c r="AG549" s="179"/>
      <c r="AH549" s="179"/>
      <c r="AI549" s="179"/>
      <c r="AJ549" s="179"/>
      <c r="AK549" s="179"/>
      <c r="AL549" s="179"/>
    </row>
    <row r="550" spans="11:38">
      <c r="K550" s="177"/>
      <c r="L550" s="177"/>
      <c r="M550" s="177"/>
      <c r="N550" s="177"/>
      <c r="O550" s="177"/>
      <c r="P550" s="177"/>
      <c r="Q550" s="177"/>
      <c r="R550" s="177"/>
      <c r="S550" s="177"/>
      <c r="T550" s="177"/>
      <c r="U550" s="177"/>
      <c r="V550" s="177"/>
      <c r="W550" s="177"/>
      <c r="X550" s="177"/>
      <c r="Y550" s="177"/>
      <c r="Z550" s="177"/>
      <c r="AA550" s="177"/>
      <c r="AB550" s="178"/>
      <c r="AC550" s="178"/>
      <c r="AD550" s="178"/>
      <c r="AE550" s="178"/>
      <c r="AF550" s="179"/>
      <c r="AG550" s="179"/>
      <c r="AH550" s="179"/>
      <c r="AI550" s="179"/>
      <c r="AJ550" s="179"/>
      <c r="AK550" s="179"/>
      <c r="AL550" s="179"/>
    </row>
    <row r="551" spans="11:38">
      <c r="K551" s="177"/>
      <c r="L551" s="177"/>
      <c r="M551" s="177"/>
      <c r="N551" s="177"/>
      <c r="O551" s="177"/>
      <c r="P551" s="177"/>
      <c r="Q551" s="177"/>
      <c r="R551" s="177"/>
      <c r="S551" s="177"/>
      <c r="T551" s="177"/>
      <c r="U551" s="177"/>
      <c r="V551" s="177"/>
      <c r="W551" s="177"/>
      <c r="X551" s="177"/>
      <c r="Y551" s="177"/>
      <c r="Z551" s="177"/>
      <c r="AA551" s="177"/>
      <c r="AB551" s="178"/>
      <c r="AC551" s="178"/>
      <c r="AD551" s="178"/>
      <c r="AE551" s="178"/>
      <c r="AF551" s="179"/>
      <c r="AG551" s="179"/>
      <c r="AH551" s="179"/>
      <c r="AI551" s="179"/>
      <c r="AJ551" s="179"/>
      <c r="AK551" s="179"/>
      <c r="AL551" s="179"/>
    </row>
    <row r="552" spans="11:38">
      <c r="K552" s="177"/>
      <c r="L552" s="177"/>
      <c r="M552" s="177"/>
      <c r="N552" s="177"/>
      <c r="O552" s="177"/>
      <c r="P552" s="177"/>
      <c r="Q552" s="177"/>
      <c r="R552" s="177"/>
      <c r="S552" s="177"/>
      <c r="T552" s="177"/>
      <c r="U552" s="177"/>
      <c r="V552" s="177"/>
      <c r="W552" s="177"/>
      <c r="X552" s="177"/>
      <c r="Y552" s="177"/>
      <c r="Z552" s="177"/>
      <c r="AA552" s="177"/>
      <c r="AB552" s="178"/>
      <c r="AC552" s="178"/>
      <c r="AD552" s="178"/>
      <c r="AE552" s="178"/>
      <c r="AF552" s="179"/>
      <c r="AG552" s="179"/>
      <c r="AH552" s="179"/>
      <c r="AI552" s="179"/>
      <c r="AJ552" s="179"/>
      <c r="AK552" s="179"/>
      <c r="AL552" s="179"/>
    </row>
    <row r="553" spans="11:38">
      <c r="K553" s="177"/>
      <c r="L553" s="177"/>
      <c r="M553" s="177"/>
      <c r="N553" s="177"/>
      <c r="O553" s="177"/>
      <c r="P553" s="177"/>
      <c r="Q553" s="177"/>
      <c r="R553" s="177"/>
      <c r="S553" s="177"/>
      <c r="T553" s="177"/>
      <c r="U553" s="177"/>
      <c r="V553" s="177"/>
      <c r="W553" s="177"/>
      <c r="X553" s="177"/>
      <c r="Y553" s="177"/>
      <c r="Z553" s="177"/>
      <c r="AA553" s="177"/>
      <c r="AB553" s="178"/>
      <c r="AC553" s="178"/>
      <c r="AD553" s="178"/>
      <c r="AE553" s="178"/>
      <c r="AF553" s="179"/>
      <c r="AG553" s="179"/>
      <c r="AH553" s="179"/>
      <c r="AI553" s="179"/>
      <c r="AJ553" s="179"/>
      <c r="AK553" s="179"/>
      <c r="AL553" s="179"/>
    </row>
    <row r="554" spans="11:38">
      <c r="K554" s="177"/>
      <c r="L554" s="177"/>
      <c r="M554" s="177"/>
      <c r="N554" s="177"/>
      <c r="O554" s="177"/>
      <c r="P554" s="177"/>
      <c r="Q554" s="177"/>
      <c r="R554" s="177"/>
      <c r="S554" s="177"/>
      <c r="T554" s="177"/>
      <c r="U554" s="177"/>
      <c r="V554" s="177"/>
      <c r="W554" s="177"/>
      <c r="X554" s="177"/>
      <c r="Y554" s="177"/>
      <c r="Z554" s="177"/>
      <c r="AA554" s="177"/>
      <c r="AB554" s="178"/>
      <c r="AC554" s="178"/>
      <c r="AD554" s="178"/>
      <c r="AE554" s="178"/>
      <c r="AF554" s="179"/>
      <c r="AG554" s="179"/>
      <c r="AH554" s="179"/>
      <c r="AI554" s="179"/>
      <c r="AJ554" s="179"/>
      <c r="AK554" s="179"/>
      <c r="AL554" s="179"/>
    </row>
    <row r="555" spans="11:38">
      <c r="K555" s="177"/>
      <c r="L555" s="177"/>
      <c r="M555" s="177"/>
      <c r="N555" s="177"/>
      <c r="O555" s="177"/>
      <c r="P555" s="177"/>
      <c r="Q555" s="177"/>
      <c r="R555" s="177"/>
      <c r="S555" s="177"/>
      <c r="T555" s="177"/>
      <c r="U555" s="177"/>
      <c r="V555" s="177"/>
      <c r="W555" s="177"/>
      <c r="X555" s="177"/>
      <c r="Y555" s="177"/>
      <c r="Z555" s="177"/>
      <c r="AA555" s="177"/>
      <c r="AB555" s="178"/>
      <c r="AC555" s="178"/>
      <c r="AD555" s="178"/>
      <c r="AE555" s="178"/>
      <c r="AF555" s="179"/>
      <c r="AG555" s="179"/>
      <c r="AH555" s="179"/>
      <c r="AI555" s="179"/>
      <c r="AJ555" s="179"/>
      <c r="AK555" s="179"/>
      <c r="AL555" s="179"/>
    </row>
    <row r="556" spans="11:38">
      <c r="K556" s="177"/>
      <c r="L556" s="177"/>
      <c r="M556" s="177"/>
      <c r="N556" s="177"/>
      <c r="O556" s="177"/>
      <c r="P556" s="177"/>
      <c r="Q556" s="177"/>
      <c r="R556" s="177"/>
      <c r="S556" s="177"/>
      <c r="T556" s="177"/>
      <c r="U556" s="177"/>
      <c r="V556" s="177"/>
      <c r="W556" s="177"/>
      <c r="X556" s="177"/>
      <c r="Y556" s="177"/>
      <c r="Z556" s="177"/>
      <c r="AA556" s="177"/>
      <c r="AB556" s="178"/>
      <c r="AC556" s="178"/>
      <c r="AD556" s="178"/>
      <c r="AE556" s="178"/>
      <c r="AF556" s="179"/>
      <c r="AG556" s="179"/>
      <c r="AH556" s="179"/>
      <c r="AI556" s="179"/>
      <c r="AJ556" s="179"/>
      <c r="AK556" s="179"/>
      <c r="AL556" s="179"/>
    </row>
    <row r="557" spans="11:38">
      <c r="K557" s="177"/>
      <c r="L557" s="177"/>
      <c r="M557" s="177"/>
      <c r="N557" s="177"/>
      <c r="O557" s="177"/>
      <c r="P557" s="177"/>
      <c r="Q557" s="177"/>
      <c r="R557" s="177"/>
      <c r="S557" s="177"/>
      <c r="T557" s="177"/>
      <c r="U557" s="177"/>
      <c r="V557" s="177"/>
      <c r="W557" s="177"/>
      <c r="X557" s="177"/>
      <c r="Y557" s="177"/>
      <c r="Z557" s="177"/>
      <c r="AA557" s="177"/>
      <c r="AB557" s="178"/>
      <c r="AC557" s="178"/>
      <c r="AD557" s="178"/>
      <c r="AE557" s="178"/>
      <c r="AF557" s="179"/>
      <c r="AG557" s="179"/>
      <c r="AH557" s="179"/>
      <c r="AI557" s="179"/>
      <c r="AJ557" s="179"/>
      <c r="AK557" s="179"/>
      <c r="AL557" s="179"/>
    </row>
    <row r="558" spans="11:38">
      <c r="K558" s="177"/>
      <c r="L558" s="177"/>
      <c r="M558" s="177"/>
      <c r="N558" s="177"/>
      <c r="O558" s="177"/>
      <c r="P558" s="177"/>
      <c r="Q558" s="177"/>
      <c r="R558" s="177"/>
      <c r="S558" s="177"/>
      <c r="T558" s="177"/>
      <c r="U558" s="177"/>
      <c r="V558" s="177"/>
      <c r="W558" s="177"/>
      <c r="X558" s="177"/>
      <c r="Y558" s="177"/>
      <c r="Z558" s="177"/>
      <c r="AA558" s="177"/>
      <c r="AB558" s="178"/>
      <c r="AC558" s="178"/>
      <c r="AD558" s="178"/>
      <c r="AE558" s="178"/>
      <c r="AF558" s="179"/>
      <c r="AG558" s="179"/>
      <c r="AH558" s="179"/>
      <c r="AI558" s="179"/>
      <c r="AJ558" s="179"/>
      <c r="AK558" s="179"/>
      <c r="AL558" s="179"/>
    </row>
    <row r="559" spans="11:38">
      <c r="K559" s="177"/>
      <c r="L559" s="177"/>
      <c r="M559" s="177"/>
      <c r="N559" s="177"/>
      <c r="O559" s="177"/>
      <c r="P559" s="177"/>
      <c r="Q559" s="177"/>
      <c r="R559" s="177"/>
      <c r="S559" s="177"/>
      <c r="T559" s="177"/>
      <c r="U559" s="177"/>
      <c r="V559" s="177"/>
      <c r="W559" s="177"/>
      <c r="X559" s="177"/>
      <c r="Y559" s="177"/>
      <c r="Z559" s="177"/>
      <c r="AA559" s="177"/>
      <c r="AB559" s="178"/>
      <c r="AC559" s="178"/>
      <c r="AD559" s="178"/>
      <c r="AE559" s="178"/>
      <c r="AF559" s="179"/>
      <c r="AG559" s="179"/>
      <c r="AH559" s="179"/>
      <c r="AI559" s="179"/>
      <c r="AJ559" s="179"/>
      <c r="AK559" s="179"/>
      <c r="AL559" s="179"/>
    </row>
    <row r="560" spans="11:38">
      <c r="K560" s="177"/>
      <c r="L560" s="177"/>
      <c r="M560" s="177"/>
      <c r="N560" s="177"/>
      <c r="O560" s="177"/>
      <c r="P560" s="177"/>
      <c r="Q560" s="177"/>
      <c r="R560" s="177"/>
      <c r="S560" s="177"/>
      <c r="T560" s="177"/>
      <c r="U560" s="177"/>
      <c r="V560" s="177"/>
      <c r="W560" s="177"/>
      <c r="X560" s="177"/>
      <c r="Y560" s="177"/>
      <c r="Z560" s="177"/>
      <c r="AA560" s="177"/>
      <c r="AB560" s="178"/>
      <c r="AC560" s="178"/>
      <c r="AD560" s="178"/>
      <c r="AE560" s="178"/>
      <c r="AF560" s="179"/>
      <c r="AG560" s="179"/>
      <c r="AH560" s="179"/>
      <c r="AI560" s="179"/>
      <c r="AJ560" s="179"/>
      <c r="AK560" s="179"/>
      <c r="AL560" s="179"/>
    </row>
    <row r="561" spans="11:38">
      <c r="K561" s="177"/>
      <c r="L561" s="177"/>
      <c r="M561" s="177"/>
      <c r="N561" s="177"/>
      <c r="O561" s="177"/>
      <c r="P561" s="177"/>
      <c r="Q561" s="177"/>
      <c r="R561" s="177"/>
      <c r="S561" s="177"/>
      <c r="T561" s="177"/>
      <c r="U561" s="177"/>
      <c r="V561" s="177"/>
      <c r="W561" s="177"/>
      <c r="X561" s="177"/>
      <c r="Y561" s="177"/>
      <c r="Z561" s="177"/>
      <c r="AA561" s="177"/>
      <c r="AB561" s="178"/>
      <c r="AC561" s="178"/>
      <c r="AD561" s="178"/>
      <c r="AE561" s="178"/>
      <c r="AF561" s="179"/>
      <c r="AG561" s="179"/>
      <c r="AH561" s="179"/>
      <c r="AI561" s="179"/>
      <c r="AJ561" s="179"/>
      <c r="AK561" s="179"/>
      <c r="AL561" s="179"/>
    </row>
    <row r="562" spans="11:38">
      <c r="K562" s="177"/>
      <c r="L562" s="177"/>
      <c r="M562" s="177"/>
      <c r="N562" s="177"/>
      <c r="O562" s="177"/>
      <c r="P562" s="177"/>
      <c r="Q562" s="177"/>
      <c r="R562" s="177"/>
      <c r="S562" s="177"/>
      <c r="T562" s="177"/>
      <c r="U562" s="177"/>
      <c r="V562" s="177"/>
      <c r="W562" s="177"/>
      <c r="X562" s="177"/>
      <c r="Y562" s="177"/>
      <c r="Z562" s="177"/>
      <c r="AA562" s="177"/>
      <c r="AB562" s="178"/>
      <c r="AC562" s="178"/>
      <c r="AD562" s="178"/>
      <c r="AE562" s="178"/>
      <c r="AF562" s="179"/>
      <c r="AG562" s="179"/>
      <c r="AH562" s="179"/>
      <c r="AI562" s="179"/>
      <c r="AJ562" s="179"/>
      <c r="AK562" s="179"/>
      <c r="AL562" s="179"/>
    </row>
    <row r="563" spans="11:38">
      <c r="K563" s="177"/>
      <c r="L563" s="177"/>
      <c r="M563" s="177"/>
      <c r="N563" s="177"/>
      <c r="O563" s="177"/>
      <c r="P563" s="177"/>
      <c r="Q563" s="177"/>
      <c r="R563" s="177"/>
      <c r="S563" s="177"/>
      <c r="T563" s="177"/>
      <c r="U563" s="177"/>
      <c r="V563" s="177"/>
      <c r="W563" s="177"/>
      <c r="X563" s="177"/>
      <c r="Y563" s="177"/>
      <c r="Z563" s="177"/>
      <c r="AA563" s="177"/>
      <c r="AB563" s="178"/>
      <c r="AC563" s="178"/>
      <c r="AD563" s="178"/>
      <c r="AE563" s="178"/>
      <c r="AF563" s="179"/>
      <c r="AG563" s="179"/>
      <c r="AH563" s="179"/>
      <c r="AI563" s="179"/>
      <c r="AJ563" s="179"/>
      <c r="AK563" s="179"/>
      <c r="AL563" s="179"/>
    </row>
    <row r="564" spans="11:38">
      <c r="K564" s="177"/>
      <c r="L564" s="177"/>
      <c r="M564" s="177"/>
      <c r="N564" s="177"/>
      <c r="O564" s="177"/>
      <c r="P564" s="177"/>
      <c r="Q564" s="177"/>
      <c r="R564" s="177"/>
      <c r="S564" s="177"/>
      <c r="T564" s="177"/>
      <c r="U564" s="177"/>
      <c r="V564" s="177"/>
      <c r="W564" s="177"/>
      <c r="X564" s="177"/>
      <c r="Y564" s="177"/>
      <c r="Z564" s="177"/>
      <c r="AA564" s="177"/>
      <c r="AB564" s="178"/>
      <c r="AC564" s="178"/>
      <c r="AD564" s="178"/>
      <c r="AE564" s="178"/>
      <c r="AF564" s="179"/>
      <c r="AG564" s="179"/>
      <c r="AH564" s="179"/>
      <c r="AI564" s="179"/>
      <c r="AJ564" s="179"/>
      <c r="AK564" s="179"/>
      <c r="AL564" s="179"/>
    </row>
    <row r="565" spans="11:38">
      <c r="K565" s="177"/>
      <c r="L565" s="177"/>
      <c r="M565" s="177"/>
      <c r="N565" s="177"/>
      <c r="O565" s="177"/>
      <c r="P565" s="177"/>
      <c r="Q565" s="177"/>
      <c r="R565" s="177"/>
      <c r="S565" s="177"/>
      <c r="T565" s="177"/>
      <c r="U565" s="177"/>
      <c r="V565" s="177"/>
      <c r="W565" s="177"/>
      <c r="X565" s="177"/>
      <c r="Y565" s="177"/>
      <c r="Z565" s="177"/>
      <c r="AA565" s="177"/>
      <c r="AB565" s="178"/>
      <c r="AC565" s="178"/>
      <c r="AD565" s="178"/>
      <c r="AE565" s="178"/>
      <c r="AF565" s="179"/>
      <c r="AG565" s="179"/>
      <c r="AH565" s="179"/>
      <c r="AI565" s="179"/>
      <c r="AJ565" s="179"/>
      <c r="AK565" s="179"/>
      <c r="AL565" s="179"/>
    </row>
    <row r="566" spans="11:38">
      <c r="K566" s="177"/>
      <c r="L566" s="177"/>
      <c r="M566" s="177"/>
      <c r="N566" s="177"/>
      <c r="O566" s="177"/>
      <c r="P566" s="177"/>
      <c r="Q566" s="177"/>
      <c r="R566" s="177"/>
      <c r="S566" s="177"/>
      <c r="T566" s="177"/>
      <c r="U566" s="177"/>
      <c r="V566" s="177"/>
      <c r="W566" s="177"/>
      <c r="X566" s="177"/>
      <c r="Y566" s="177"/>
      <c r="Z566" s="177"/>
      <c r="AA566" s="177"/>
      <c r="AB566" s="178"/>
      <c r="AC566" s="178"/>
      <c r="AD566" s="178"/>
      <c r="AE566" s="178"/>
      <c r="AF566" s="179"/>
      <c r="AG566" s="179"/>
      <c r="AH566" s="179"/>
      <c r="AI566" s="179"/>
      <c r="AJ566" s="179"/>
      <c r="AK566" s="179"/>
      <c r="AL566" s="179"/>
    </row>
    <row r="567" spans="11:38">
      <c r="K567" s="177"/>
      <c r="L567" s="177"/>
      <c r="M567" s="177"/>
      <c r="N567" s="177"/>
      <c r="O567" s="177"/>
      <c r="P567" s="177"/>
      <c r="Q567" s="177"/>
      <c r="R567" s="177"/>
      <c r="S567" s="177"/>
      <c r="T567" s="177"/>
      <c r="U567" s="177"/>
      <c r="V567" s="177"/>
      <c r="W567" s="177"/>
      <c r="X567" s="177"/>
      <c r="Y567" s="177"/>
      <c r="Z567" s="177"/>
      <c r="AA567" s="177"/>
      <c r="AB567" s="178"/>
      <c r="AC567" s="178"/>
      <c r="AD567" s="178"/>
      <c r="AE567" s="178"/>
      <c r="AF567" s="179"/>
      <c r="AG567" s="179"/>
      <c r="AH567" s="179"/>
      <c r="AI567" s="179"/>
      <c r="AJ567" s="179"/>
      <c r="AK567" s="179"/>
      <c r="AL567" s="179"/>
    </row>
    <row r="568" spans="11:38">
      <c r="K568" s="177"/>
      <c r="L568" s="177"/>
      <c r="M568" s="177"/>
      <c r="N568" s="177"/>
      <c r="O568" s="177"/>
      <c r="P568" s="177"/>
      <c r="Q568" s="177"/>
      <c r="R568" s="177"/>
      <c r="S568" s="177"/>
      <c r="T568" s="177"/>
      <c r="U568" s="177"/>
      <c r="V568" s="177"/>
      <c r="W568" s="177"/>
      <c r="X568" s="177"/>
      <c r="Y568" s="177"/>
      <c r="Z568" s="177"/>
      <c r="AA568" s="177"/>
      <c r="AB568" s="178"/>
      <c r="AC568" s="178"/>
      <c r="AD568" s="178"/>
      <c r="AE568" s="178"/>
      <c r="AF568" s="179"/>
      <c r="AG568" s="179"/>
      <c r="AH568" s="179"/>
      <c r="AI568" s="179"/>
      <c r="AJ568" s="179"/>
      <c r="AK568" s="179"/>
      <c r="AL568" s="179"/>
    </row>
    <row r="569" spans="11:38">
      <c r="K569" s="177"/>
      <c r="L569" s="177"/>
      <c r="M569" s="177"/>
      <c r="N569" s="177"/>
      <c r="O569" s="177"/>
      <c r="P569" s="177"/>
      <c r="Q569" s="177"/>
      <c r="R569" s="177"/>
      <c r="S569" s="177"/>
      <c r="T569" s="177"/>
      <c r="U569" s="177"/>
      <c r="V569" s="177"/>
      <c r="W569" s="177"/>
      <c r="X569" s="177"/>
      <c r="Y569" s="177"/>
      <c r="Z569" s="177"/>
      <c r="AA569" s="177"/>
      <c r="AB569" s="178"/>
      <c r="AC569" s="178"/>
      <c r="AD569" s="178"/>
      <c r="AE569" s="178"/>
      <c r="AF569" s="179"/>
      <c r="AG569" s="179"/>
      <c r="AH569" s="179"/>
      <c r="AI569" s="179"/>
      <c r="AJ569" s="179"/>
      <c r="AK569" s="179"/>
      <c r="AL569" s="179"/>
    </row>
    <row r="570" spans="11:38">
      <c r="K570" s="177"/>
      <c r="L570" s="177"/>
      <c r="M570" s="177"/>
      <c r="N570" s="177"/>
      <c r="O570" s="177"/>
      <c r="P570" s="177"/>
      <c r="Q570" s="177"/>
      <c r="R570" s="177"/>
      <c r="S570" s="177"/>
      <c r="T570" s="177"/>
      <c r="U570" s="177"/>
      <c r="V570" s="177"/>
      <c r="W570" s="177"/>
      <c r="X570" s="177"/>
      <c r="Y570" s="177"/>
      <c r="Z570" s="177"/>
      <c r="AA570" s="177"/>
      <c r="AB570" s="178"/>
      <c r="AC570" s="178"/>
      <c r="AD570" s="178"/>
      <c r="AE570" s="178"/>
      <c r="AF570" s="179"/>
      <c r="AG570" s="179"/>
      <c r="AH570" s="179"/>
      <c r="AI570" s="179"/>
      <c r="AJ570" s="179"/>
      <c r="AK570" s="179"/>
      <c r="AL570" s="179"/>
    </row>
    <row r="571" spans="11:38">
      <c r="K571" s="177"/>
      <c r="L571" s="177"/>
      <c r="M571" s="177"/>
      <c r="N571" s="177"/>
      <c r="O571" s="177"/>
      <c r="P571" s="177"/>
      <c r="Q571" s="177"/>
      <c r="R571" s="177"/>
      <c r="S571" s="177"/>
      <c r="T571" s="177"/>
      <c r="U571" s="177"/>
      <c r="V571" s="177"/>
      <c r="W571" s="177"/>
      <c r="X571" s="177"/>
      <c r="Y571" s="177"/>
      <c r="Z571" s="177"/>
      <c r="AA571" s="177"/>
      <c r="AB571" s="178"/>
      <c r="AC571" s="178"/>
      <c r="AD571" s="178"/>
      <c r="AE571" s="178"/>
      <c r="AF571" s="179"/>
      <c r="AG571" s="179"/>
      <c r="AH571" s="179"/>
      <c r="AI571" s="179"/>
      <c r="AJ571" s="179"/>
      <c r="AK571" s="179"/>
      <c r="AL571" s="179"/>
    </row>
    <row r="572" spans="11:38">
      <c r="K572" s="177"/>
      <c r="L572" s="177"/>
      <c r="M572" s="177"/>
      <c r="N572" s="177"/>
      <c r="O572" s="177"/>
      <c r="P572" s="177"/>
      <c r="Q572" s="177"/>
      <c r="R572" s="177"/>
      <c r="S572" s="177"/>
      <c r="T572" s="177"/>
      <c r="U572" s="177"/>
      <c r="V572" s="177"/>
      <c r="W572" s="177"/>
      <c r="X572" s="177"/>
      <c r="Y572" s="177"/>
      <c r="Z572" s="177"/>
      <c r="AA572" s="177"/>
      <c r="AB572" s="178"/>
      <c r="AC572" s="178"/>
      <c r="AD572" s="178"/>
      <c r="AE572" s="178"/>
      <c r="AF572" s="179"/>
      <c r="AG572" s="179"/>
      <c r="AH572" s="179"/>
      <c r="AI572" s="179"/>
      <c r="AJ572" s="179"/>
      <c r="AK572" s="179"/>
      <c r="AL572" s="179"/>
    </row>
    <row r="573" spans="11:38">
      <c r="K573" s="177"/>
      <c r="L573" s="177"/>
      <c r="M573" s="177"/>
      <c r="N573" s="177"/>
      <c r="O573" s="177"/>
      <c r="P573" s="177"/>
      <c r="Q573" s="177"/>
      <c r="R573" s="177"/>
      <c r="S573" s="177"/>
      <c r="T573" s="177"/>
      <c r="U573" s="177"/>
      <c r="V573" s="177"/>
      <c r="W573" s="177"/>
      <c r="X573" s="177"/>
      <c r="Y573" s="177"/>
      <c r="Z573" s="177"/>
      <c r="AA573" s="177"/>
      <c r="AB573" s="178"/>
      <c r="AC573" s="178"/>
      <c r="AD573" s="178"/>
      <c r="AE573" s="178"/>
      <c r="AF573" s="179"/>
      <c r="AG573" s="179"/>
      <c r="AH573" s="179"/>
      <c r="AI573" s="179"/>
      <c r="AJ573" s="179"/>
      <c r="AK573" s="179"/>
      <c r="AL573" s="179"/>
    </row>
    <row r="574" spans="11:38">
      <c r="K574" s="177"/>
      <c r="L574" s="177"/>
      <c r="M574" s="177"/>
      <c r="N574" s="177"/>
      <c r="O574" s="177"/>
      <c r="P574" s="177"/>
      <c r="Q574" s="177"/>
      <c r="R574" s="177"/>
      <c r="S574" s="177"/>
      <c r="T574" s="177"/>
      <c r="U574" s="177"/>
      <c r="V574" s="177"/>
      <c r="W574" s="177"/>
      <c r="X574" s="177"/>
      <c r="Y574" s="177"/>
      <c r="Z574" s="177"/>
      <c r="AA574" s="177"/>
      <c r="AB574" s="178"/>
      <c r="AC574" s="178"/>
      <c r="AD574" s="178"/>
      <c r="AE574" s="178"/>
      <c r="AF574" s="179"/>
      <c r="AG574" s="179"/>
      <c r="AH574" s="179"/>
      <c r="AI574" s="179"/>
      <c r="AJ574" s="179"/>
      <c r="AK574" s="179"/>
      <c r="AL574" s="179"/>
    </row>
    <row r="575" spans="11:38">
      <c r="K575" s="177"/>
      <c r="L575" s="177"/>
      <c r="M575" s="177"/>
      <c r="N575" s="177"/>
      <c r="O575" s="177"/>
      <c r="P575" s="177"/>
      <c r="Q575" s="177"/>
      <c r="R575" s="177"/>
      <c r="S575" s="177"/>
      <c r="T575" s="177"/>
      <c r="U575" s="177"/>
      <c r="V575" s="177"/>
      <c r="W575" s="177"/>
      <c r="X575" s="177"/>
      <c r="Y575" s="177"/>
      <c r="Z575" s="177"/>
      <c r="AA575" s="177"/>
      <c r="AB575" s="178"/>
      <c r="AC575" s="178"/>
      <c r="AD575" s="178"/>
      <c r="AE575" s="178"/>
      <c r="AF575" s="179"/>
      <c r="AG575" s="179"/>
      <c r="AH575" s="179"/>
      <c r="AI575" s="179"/>
      <c r="AJ575" s="179"/>
      <c r="AK575" s="179"/>
      <c r="AL575" s="179"/>
    </row>
    <row r="576" spans="11:38">
      <c r="K576" s="177"/>
      <c r="L576" s="177"/>
      <c r="M576" s="177"/>
      <c r="N576" s="177"/>
      <c r="O576" s="177"/>
      <c r="P576" s="177"/>
      <c r="Q576" s="177"/>
      <c r="R576" s="177"/>
      <c r="S576" s="177"/>
      <c r="T576" s="177"/>
      <c r="U576" s="177"/>
      <c r="V576" s="177"/>
      <c r="W576" s="177"/>
      <c r="X576" s="177"/>
      <c r="Y576" s="177"/>
      <c r="Z576" s="177"/>
      <c r="AA576" s="177"/>
      <c r="AB576" s="178"/>
      <c r="AC576" s="178"/>
      <c r="AD576" s="178"/>
      <c r="AE576" s="178"/>
      <c r="AF576" s="179"/>
      <c r="AG576" s="179"/>
      <c r="AH576" s="179"/>
      <c r="AI576" s="179"/>
      <c r="AJ576" s="179"/>
      <c r="AK576" s="179"/>
      <c r="AL576" s="179"/>
    </row>
    <row r="577" spans="11:38">
      <c r="K577" s="177"/>
      <c r="L577" s="177"/>
      <c r="M577" s="177"/>
      <c r="N577" s="177"/>
      <c r="O577" s="177"/>
      <c r="P577" s="177"/>
      <c r="Q577" s="177"/>
      <c r="R577" s="177"/>
      <c r="S577" s="177"/>
      <c r="T577" s="177"/>
      <c r="U577" s="177"/>
      <c r="V577" s="177"/>
      <c r="W577" s="177"/>
      <c r="X577" s="177"/>
      <c r="Y577" s="177"/>
      <c r="Z577" s="177"/>
      <c r="AA577" s="177"/>
      <c r="AB577" s="178"/>
      <c r="AC577" s="178"/>
      <c r="AD577" s="178"/>
      <c r="AE577" s="178"/>
      <c r="AF577" s="179"/>
      <c r="AG577" s="179"/>
      <c r="AH577" s="179"/>
      <c r="AI577" s="179"/>
      <c r="AJ577" s="179"/>
      <c r="AK577" s="179"/>
      <c r="AL577" s="179"/>
    </row>
    <row r="578" spans="11:38">
      <c r="K578" s="177"/>
      <c r="L578" s="177"/>
      <c r="M578" s="177"/>
      <c r="N578" s="177"/>
      <c r="O578" s="177"/>
      <c r="P578" s="177"/>
      <c r="Q578" s="177"/>
      <c r="R578" s="177"/>
      <c r="S578" s="177"/>
      <c r="T578" s="177"/>
      <c r="U578" s="177"/>
      <c r="V578" s="177"/>
      <c r="W578" s="177"/>
      <c r="X578" s="177"/>
      <c r="Y578" s="177"/>
      <c r="Z578" s="177"/>
      <c r="AA578" s="177"/>
      <c r="AB578" s="178"/>
      <c r="AC578" s="178"/>
      <c r="AD578" s="178"/>
      <c r="AE578" s="178"/>
      <c r="AF578" s="179"/>
      <c r="AG578" s="179"/>
      <c r="AH578" s="179"/>
      <c r="AI578" s="179"/>
      <c r="AJ578" s="179"/>
      <c r="AK578" s="179"/>
      <c r="AL578" s="179"/>
    </row>
    <row r="579" spans="11:38">
      <c r="K579" s="177"/>
      <c r="L579" s="177"/>
      <c r="M579" s="177"/>
      <c r="N579" s="177"/>
      <c r="O579" s="177"/>
      <c r="P579" s="177"/>
      <c r="Q579" s="177"/>
      <c r="R579" s="177"/>
      <c r="S579" s="177"/>
      <c r="T579" s="177"/>
      <c r="U579" s="177"/>
      <c r="V579" s="177"/>
      <c r="W579" s="177"/>
      <c r="X579" s="177"/>
      <c r="Y579" s="177"/>
      <c r="Z579" s="177"/>
      <c r="AA579" s="177"/>
      <c r="AB579" s="178"/>
      <c r="AC579" s="178"/>
      <c r="AD579" s="178"/>
      <c r="AE579" s="178"/>
      <c r="AF579" s="179"/>
      <c r="AG579" s="179"/>
      <c r="AH579" s="179"/>
      <c r="AI579" s="179"/>
      <c r="AJ579" s="179"/>
      <c r="AK579" s="179"/>
      <c r="AL579" s="179"/>
    </row>
    <row r="580" spans="11:38">
      <c r="K580" s="177"/>
      <c r="L580" s="177"/>
      <c r="M580" s="177"/>
      <c r="N580" s="177"/>
      <c r="O580" s="177"/>
      <c r="P580" s="177"/>
      <c r="Q580" s="177"/>
      <c r="R580" s="177"/>
      <c r="S580" s="177"/>
      <c r="T580" s="177"/>
      <c r="U580" s="177"/>
      <c r="V580" s="177"/>
      <c r="W580" s="177"/>
      <c r="X580" s="177"/>
      <c r="Y580" s="177"/>
      <c r="Z580" s="177"/>
      <c r="AA580" s="177"/>
      <c r="AB580" s="178"/>
      <c r="AC580" s="178"/>
      <c r="AD580" s="178"/>
      <c r="AE580" s="178"/>
      <c r="AF580" s="179"/>
      <c r="AG580" s="179"/>
      <c r="AH580" s="179"/>
      <c r="AI580" s="179"/>
      <c r="AJ580" s="179"/>
      <c r="AK580" s="179"/>
      <c r="AL580" s="179"/>
    </row>
    <row r="581" spans="11:38">
      <c r="K581" s="177"/>
      <c r="L581" s="177"/>
      <c r="M581" s="177"/>
      <c r="N581" s="177"/>
      <c r="O581" s="177"/>
      <c r="P581" s="177"/>
      <c r="Q581" s="177"/>
      <c r="R581" s="177"/>
      <c r="S581" s="177"/>
      <c r="T581" s="177"/>
      <c r="U581" s="177"/>
      <c r="V581" s="177"/>
      <c r="W581" s="177"/>
      <c r="X581" s="177"/>
      <c r="Y581" s="177"/>
      <c r="Z581" s="177"/>
      <c r="AA581" s="177"/>
      <c r="AB581" s="178"/>
      <c r="AC581" s="178"/>
      <c r="AD581" s="178"/>
      <c r="AE581" s="178"/>
      <c r="AF581" s="179"/>
      <c r="AG581" s="179"/>
      <c r="AH581" s="179"/>
      <c r="AI581" s="179"/>
      <c r="AJ581" s="179"/>
      <c r="AK581" s="179"/>
      <c r="AL581" s="179"/>
    </row>
    <row r="582" spans="11:38">
      <c r="K582" s="177"/>
      <c r="L582" s="177"/>
      <c r="M582" s="177"/>
      <c r="N582" s="177"/>
      <c r="O582" s="177"/>
      <c r="P582" s="177"/>
      <c r="Q582" s="177"/>
      <c r="R582" s="177"/>
      <c r="S582" s="177"/>
      <c r="T582" s="177"/>
      <c r="U582" s="177"/>
      <c r="V582" s="177"/>
      <c r="W582" s="177"/>
      <c r="X582" s="177"/>
      <c r="Y582" s="177"/>
      <c r="Z582" s="177"/>
      <c r="AA582" s="177"/>
      <c r="AB582" s="178"/>
      <c r="AC582" s="178"/>
      <c r="AD582" s="178"/>
      <c r="AE582" s="178"/>
      <c r="AF582" s="179"/>
      <c r="AG582" s="179"/>
      <c r="AH582" s="179"/>
      <c r="AI582" s="179"/>
      <c r="AJ582" s="179"/>
      <c r="AK582" s="179"/>
      <c r="AL582" s="179"/>
    </row>
    <row r="583" spans="11:38">
      <c r="K583" s="177"/>
      <c r="L583" s="177"/>
      <c r="M583" s="177"/>
      <c r="N583" s="177"/>
      <c r="O583" s="177"/>
      <c r="P583" s="177"/>
      <c r="Q583" s="177"/>
      <c r="R583" s="177"/>
      <c r="S583" s="177"/>
      <c r="T583" s="177"/>
      <c r="U583" s="177"/>
      <c r="V583" s="177"/>
      <c r="W583" s="177"/>
      <c r="X583" s="177"/>
      <c r="Y583" s="177"/>
      <c r="Z583" s="177"/>
      <c r="AA583" s="177"/>
      <c r="AB583" s="178"/>
      <c r="AC583" s="178"/>
      <c r="AD583" s="178"/>
      <c r="AE583" s="178"/>
      <c r="AF583" s="179"/>
      <c r="AG583" s="179"/>
      <c r="AH583" s="179"/>
      <c r="AI583" s="179"/>
      <c r="AJ583" s="179"/>
      <c r="AK583" s="179"/>
      <c r="AL583" s="179"/>
    </row>
    <row r="584" spans="11:38">
      <c r="K584" s="177"/>
      <c r="L584" s="177"/>
      <c r="M584" s="177"/>
      <c r="N584" s="177"/>
      <c r="O584" s="177"/>
      <c r="P584" s="177"/>
      <c r="Q584" s="177"/>
      <c r="R584" s="177"/>
      <c r="S584" s="177"/>
      <c r="T584" s="177"/>
      <c r="U584" s="177"/>
      <c r="V584" s="177"/>
      <c r="W584" s="177"/>
      <c r="X584" s="177"/>
      <c r="Y584" s="177"/>
      <c r="Z584" s="177"/>
      <c r="AA584" s="177"/>
      <c r="AB584" s="178"/>
      <c r="AC584" s="178"/>
      <c r="AD584" s="178"/>
      <c r="AE584" s="178"/>
      <c r="AF584" s="179"/>
      <c r="AG584" s="179"/>
      <c r="AH584" s="179"/>
      <c r="AI584" s="179"/>
      <c r="AJ584" s="179"/>
      <c r="AK584" s="179"/>
      <c r="AL584" s="179"/>
    </row>
    <row r="585" spans="11:38">
      <c r="K585" s="177"/>
      <c r="L585" s="177"/>
      <c r="M585" s="177"/>
      <c r="N585" s="177"/>
      <c r="O585" s="177"/>
      <c r="P585" s="177"/>
      <c r="Q585" s="177"/>
      <c r="R585" s="177"/>
      <c r="S585" s="177"/>
      <c r="T585" s="177"/>
      <c r="U585" s="177"/>
      <c r="V585" s="177"/>
      <c r="W585" s="177"/>
      <c r="X585" s="177"/>
      <c r="Y585" s="177"/>
      <c r="Z585" s="177"/>
      <c r="AA585" s="177"/>
      <c r="AB585" s="178"/>
      <c r="AC585" s="178"/>
      <c r="AD585" s="178"/>
      <c r="AE585" s="178"/>
      <c r="AF585" s="179"/>
      <c r="AG585" s="179"/>
      <c r="AH585" s="179"/>
      <c r="AI585" s="179"/>
      <c r="AJ585" s="179"/>
      <c r="AK585" s="179"/>
      <c r="AL585" s="179"/>
    </row>
    <row r="586" spans="11:38">
      <c r="K586" s="177"/>
      <c r="L586" s="177"/>
      <c r="M586" s="177"/>
      <c r="N586" s="177"/>
      <c r="O586" s="177"/>
      <c r="P586" s="177"/>
      <c r="Q586" s="177"/>
      <c r="R586" s="177"/>
      <c r="S586" s="177"/>
      <c r="T586" s="177"/>
      <c r="U586" s="177"/>
      <c r="V586" s="177"/>
      <c r="W586" s="177"/>
      <c r="X586" s="177"/>
      <c r="Y586" s="177"/>
      <c r="Z586" s="177"/>
      <c r="AA586" s="177"/>
      <c r="AB586" s="178"/>
      <c r="AC586" s="178"/>
      <c r="AD586" s="178"/>
      <c r="AE586" s="178"/>
      <c r="AF586" s="179"/>
      <c r="AG586" s="179"/>
      <c r="AH586" s="179"/>
      <c r="AI586" s="179"/>
      <c r="AJ586" s="179"/>
      <c r="AK586" s="179"/>
      <c r="AL586" s="179"/>
    </row>
    <row r="587" spans="11:38">
      <c r="K587" s="177"/>
      <c r="L587" s="177"/>
      <c r="M587" s="177"/>
      <c r="N587" s="177"/>
      <c r="O587" s="177"/>
      <c r="P587" s="177"/>
      <c r="Q587" s="177"/>
      <c r="R587" s="177"/>
      <c r="S587" s="177"/>
      <c r="T587" s="177"/>
      <c r="U587" s="177"/>
      <c r="V587" s="177"/>
      <c r="W587" s="177"/>
      <c r="X587" s="177"/>
      <c r="Y587" s="177"/>
      <c r="Z587" s="177"/>
      <c r="AA587" s="177"/>
      <c r="AB587" s="178"/>
      <c r="AC587" s="178"/>
      <c r="AD587" s="178"/>
      <c r="AE587" s="178"/>
      <c r="AF587" s="179"/>
      <c r="AG587" s="179"/>
      <c r="AH587" s="179"/>
      <c r="AI587" s="179"/>
      <c r="AJ587" s="179"/>
      <c r="AK587" s="179"/>
      <c r="AL587" s="179"/>
    </row>
    <row r="588" spans="11:38">
      <c r="K588" s="177"/>
      <c r="L588" s="177"/>
      <c r="M588" s="177"/>
      <c r="N588" s="177"/>
      <c r="O588" s="177"/>
      <c r="P588" s="177"/>
      <c r="Q588" s="177"/>
      <c r="R588" s="177"/>
      <c r="S588" s="177"/>
      <c r="T588" s="177"/>
      <c r="U588" s="177"/>
      <c r="V588" s="177"/>
      <c r="W588" s="177"/>
      <c r="X588" s="177"/>
      <c r="Y588" s="177"/>
      <c r="Z588" s="177"/>
      <c r="AA588" s="177"/>
      <c r="AB588" s="178"/>
      <c r="AC588" s="178"/>
      <c r="AD588" s="178"/>
      <c r="AE588" s="178"/>
      <c r="AF588" s="179"/>
      <c r="AG588" s="179"/>
      <c r="AH588" s="179"/>
      <c r="AI588" s="179"/>
      <c r="AJ588" s="179"/>
      <c r="AK588" s="179"/>
      <c r="AL588" s="179"/>
    </row>
    <row r="589" spans="11:38">
      <c r="K589" s="177"/>
      <c r="L589" s="177"/>
      <c r="M589" s="177"/>
      <c r="N589" s="177"/>
      <c r="O589" s="177"/>
      <c r="P589" s="177"/>
      <c r="Q589" s="177"/>
      <c r="R589" s="177"/>
      <c r="S589" s="177"/>
      <c r="T589" s="177"/>
      <c r="U589" s="177"/>
      <c r="V589" s="177"/>
      <c r="W589" s="177"/>
      <c r="X589" s="177"/>
      <c r="Y589" s="177"/>
      <c r="Z589" s="177"/>
      <c r="AA589" s="177"/>
      <c r="AB589" s="178"/>
      <c r="AC589" s="178"/>
      <c r="AD589" s="178"/>
      <c r="AE589" s="178"/>
      <c r="AF589" s="179"/>
      <c r="AG589" s="179"/>
      <c r="AH589" s="179"/>
      <c r="AI589" s="179"/>
      <c r="AJ589" s="179"/>
      <c r="AK589" s="179"/>
      <c r="AL589" s="179"/>
    </row>
    <row r="590" spans="11:38">
      <c r="K590" s="177"/>
      <c r="L590" s="177"/>
      <c r="M590" s="177"/>
      <c r="N590" s="177"/>
      <c r="O590" s="177"/>
      <c r="P590" s="177"/>
      <c r="Q590" s="177"/>
      <c r="R590" s="177"/>
      <c r="S590" s="177"/>
      <c r="T590" s="177"/>
      <c r="U590" s="177"/>
      <c r="V590" s="177"/>
      <c r="W590" s="177"/>
      <c r="X590" s="177"/>
      <c r="Y590" s="177"/>
      <c r="Z590" s="177"/>
      <c r="AA590" s="177"/>
      <c r="AB590" s="178"/>
      <c r="AC590" s="178"/>
      <c r="AD590" s="178"/>
      <c r="AE590" s="178"/>
      <c r="AF590" s="179"/>
      <c r="AG590" s="179"/>
      <c r="AH590" s="179"/>
      <c r="AI590" s="179"/>
      <c r="AJ590" s="179"/>
      <c r="AK590" s="179"/>
      <c r="AL590" s="179"/>
    </row>
    <row r="591" spans="11:38">
      <c r="K591" s="177"/>
      <c r="L591" s="177"/>
      <c r="M591" s="177"/>
      <c r="N591" s="177"/>
      <c r="O591" s="177"/>
      <c r="P591" s="177"/>
      <c r="Q591" s="177"/>
      <c r="R591" s="177"/>
      <c r="S591" s="177"/>
      <c r="T591" s="177"/>
      <c r="U591" s="177"/>
      <c r="V591" s="177"/>
      <c r="W591" s="177"/>
      <c r="X591" s="177"/>
      <c r="Y591" s="177"/>
      <c r="Z591" s="177"/>
      <c r="AA591" s="177"/>
      <c r="AB591" s="178"/>
      <c r="AC591" s="178"/>
      <c r="AD591" s="178"/>
      <c r="AE591" s="178"/>
      <c r="AF591" s="179"/>
      <c r="AG591" s="179"/>
      <c r="AH591" s="179"/>
      <c r="AI591" s="179"/>
      <c r="AJ591" s="179"/>
      <c r="AK591" s="179"/>
      <c r="AL591" s="179"/>
    </row>
    <row r="592" spans="11:38">
      <c r="K592" s="177"/>
      <c r="L592" s="177"/>
      <c r="M592" s="177"/>
      <c r="N592" s="177"/>
      <c r="O592" s="177"/>
      <c r="P592" s="177"/>
      <c r="Q592" s="177"/>
      <c r="R592" s="177"/>
      <c r="S592" s="177"/>
      <c r="T592" s="177"/>
      <c r="U592" s="177"/>
      <c r="V592" s="177"/>
      <c r="W592" s="177"/>
      <c r="X592" s="177"/>
      <c r="Y592" s="177"/>
      <c r="Z592" s="177"/>
      <c r="AA592" s="177"/>
      <c r="AB592" s="178"/>
      <c r="AC592" s="178"/>
      <c r="AD592" s="178"/>
      <c r="AE592" s="178"/>
      <c r="AF592" s="179"/>
      <c r="AG592" s="179"/>
      <c r="AH592" s="179"/>
      <c r="AI592" s="179"/>
      <c r="AJ592" s="179"/>
      <c r="AK592" s="179"/>
      <c r="AL592" s="179"/>
    </row>
    <row r="593" spans="11:38">
      <c r="K593" s="177"/>
      <c r="L593" s="177"/>
      <c r="M593" s="177"/>
      <c r="N593" s="177"/>
      <c r="O593" s="177"/>
      <c r="P593" s="177"/>
      <c r="Q593" s="177"/>
      <c r="R593" s="177"/>
      <c r="S593" s="177"/>
      <c r="T593" s="177"/>
      <c r="U593" s="177"/>
      <c r="V593" s="177"/>
      <c r="W593" s="177"/>
      <c r="X593" s="177"/>
      <c r="Y593" s="177"/>
      <c r="Z593" s="177"/>
      <c r="AA593" s="177"/>
      <c r="AB593" s="178"/>
      <c r="AC593" s="178"/>
      <c r="AD593" s="178"/>
      <c r="AE593" s="178"/>
      <c r="AF593" s="179"/>
      <c r="AG593" s="179"/>
      <c r="AH593" s="179"/>
      <c r="AI593" s="179"/>
      <c r="AJ593" s="179"/>
      <c r="AK593" s="179"/>
      <c r="AL593" s="179"/>
    </row>
    <row r="594" spans="11:38">
      <c r="K594" s="177"/>
      <c r="L594" s="177"/>
      <c r="M594" s="177"/>
      <c r="N594" s="177"/>
      <c r="O594" s="177"/>
      <c r="P594" s="177"/>
      <c r="Q594" s="177"/>
      <c r="R594" s="177"/>
      <c r="S594" s="177"/>
      <c r="T594" s="177"/>
      <c r="U594" s="177"/>
      <c r="V594" s="177"/>
      <c r="W594" s="177"/>
      <c r="X594" s="177"/>
      <c r="Y594" s="177"/>
      <c r="Z594" s="177"/>
      <c r="AA594" s="177"/>
      <c r="AB594" s="178"/>
      <c r="AC594" s="178"/>
      <c r="AD594" s="178"/>
      <c r="AE594" s="178"/>
      <c r="AF594" s="179"/>
      <c r="AG594" s="179"/>
      <c r="AH594" s="179"/>
      <c r="AI594" s="179"/>
      <c r="AJ594" s="179"/>
      <c r="AK594" s="179"/>
      <c r="AL594" s="179"/>
    </row>
  </sheetData>
  <sheetProtection algorithmName="SHA-512" hashValue="FfOZ4tHM/zDp8yDhGOjPOwZ4DWq1Ht2KU68QfrBqEJjkgtNgBqLx+eKp3VoMt/h/nZL97BWGkoeR7ASmhu7Cow==" saltValue="+bODMWkpgB3V5aIeZRM4CQ==" spinCount="100000" sheet="1" objects="1" scenarios="1"/>
  <mergeCells count="19">
    <mergeCell ref="B28:F31"/>
    <mergeCell ref="H2:K2"/>
    <mergeCell ref="B3:C3"/>
    <mergeCell ref="B4:B5"/>
    <mergeCell ref="C4:C5"/>
    <mergeCell ref="D4:D5"/>
    <mergeCell ref="B32:C32"/>
    <mergeCell ref="B37:C37"/>
    <mergeCell ref="B38:D38"/>
    <mergeCell ref="E38:E43"/>
    <mergeCell ref="F38:H38"/>
    <mergeCell ref="K38:O38"/>
    <mergeCell ref="B39:B43"/>
    <mergeCell ref="C39:C43"/>
    <mergeCell ref="D39:D43"/>
    <mergeCell ref="F39:F43"/>
    <mergeCell ref="G39:G43"/>
    <mergeCell ref="H39:H43"/>
    <mergeCell ref="I38:I43"/>
  </mergeCells>
  <phoneticPr fontId="4"/>
  <conditionalFormatting sqref="B44:B58">
    <cfRule type="expression" dxfId="2" priority="1" stopIfTrue="1">
      <formula>MAX($K$42:$K$63)+14&lt;$B44</formula>
    </cfRule>
  </conditionalFormatting>
  <conditionalFormatting sqref="I44:I58">
    <cfRule type="expression" dxfId="1" priority="2">
      <formula>MAX($K$44:$K$63)+4&lt;$B44</formula>
    </cfRule>
    <cfRule type="expression" dxfId="0" priority="3" stopIfTrue="1">
      <formula>MAX($K$42:$K$63)+14&lt;$B44</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K23"/>
  <sheetViews>
    <sheetView zoomScale="115" zoomScaleNormal="115" workbookViewId="0">
      <selection activeCell="G10" sqref="G10"/>
    </sheetView>
  </sheetViews>
  <sheetFormatPr defaultColWidth="9" defaultRowHeight="18"/>
  <cols>
    <col min="1" max="1" width="4.453125" style="65" customWidth="1"/>
    <col min="2" max="2" width="31.453125" style="65" customWidth="1"/>
    <col min="3" max="3" width="12.453125" style="65" customWidth="1"/>
    <col min="4" max="4" width="2.81640625" style="65" customWidth="1"/>
    <col min="5" max="5" width="8.26953125" style="65" customWidth="1"/>
    <col min="6" max="6" width="13.453125" style="65" customWidth="1"/>
    <col min="7" max="7" width="12.26953125" style="65" customWidth="1"/>
    <col min="8" max="8" width="13.453125" style="65" customWidth="1"/>
    <col min="9" max="9" width="5.453125" style="65" customWidth="1"/>
    <col min="10" max="16384" width="9" style="65"/>
  </cols>
  <sheetData>
    <row r="1" spans="1:11" ht="19.5" customHeight="1">
      <c r="A1" s="64" t="s">
        <v>203</v>
      </c>
    </row>
    <row r="2" spans="1:11">
      <c r="J2" s="101"/>
      <c r="K2" s="63" t="s">
        <v>3</v>
      </c>
    </row>
    <row r="3" spans="1:11">
      <c r="A3" s="65" t="s">
        <v>75</v>
      </c>
      <c r="J3" s="69"/>
      <c r="K3" s="63" t="s">
        <v>76</v>
      </c>
    </row>
    <row r="4" spans="1:11" ht="18.5" thickBot="1">
      <c r="B4" s="102" t="s">
        <v>77</v>
      </c>
      <c r="C4" s="103" t="s">
        <v>78</v>
      </c>
      <c r="D4" s="104"/>
      <c r="E4" s="274" t="s">
        <v>204</v>
      </c>
      <c r="F4" s="333"/>
      <c r="G4" s="274" t="s">
        <v>205</v>
      </c>
      <c r="H4" s="333"/>
      <c r="J4" s="70"/>
      <c r="K4" s="63" t="s">
        <v>38</v>
      </c>
    </row>
    <row r="5" spans="1:11" ht="19" thickTop="1" thickBot="1">
      <c r="B5" s="22"/>
      <c r="C5" s="23"/>
      <c r="D5" s="106" t="s">
        <v>82</v>
      </c>
      <c r="E5" s="236" t="str">
        <f>'田面水シナリオ '!C8</f>
        <v/>
      </c>
      <c r="F5" s="106" t="s">
        <v>206</v>
      </c>
      <c r="G5" s="45"/>
      <c r="H5" s="106" t="s">
        <v>207</v>
      </c>
      <c r="J5" s="141"/>
      <c r="K5" s="142" t="s">
        <v>135</v>
      </c>
    </row>
    <row r="6" spans="1:11" ht="18.5" thickTop="1"/>
    <row r="7" spans="1:11" ht="18.5" thickBot="1">
      <c r="A7" s="65" t="s">
        <v>86</v>
      </c>
    </row>
    <row r="8" spans="1:11" ht="19" thickTop="1" thickBot="1">
      <c r="B8" s="107" t="s">
        <v>1</v>
      </c>
      <c r="C8" s="237">
        <f>評価結果!C3</f>
        <v>0</v>
      </c>
      <c r="D8" s="275" t="s">
        <v>2</v>
      </c>
      <c r="E8" s="276"/>
      <c r="F8" s="277"/>
    </row>
    <row r="9" spans="1:11" ht="19" thickTop="1" thickBot="1">
      <c r="B9" s="107" t="s">
        <v>208</v>
      </c>
      <c r="C9" s="118">
        <f>IFERROR(IF(ISBLANK(E5),"",E5*C8),0)</f>
        <v>0</v>
      </c>
      <c r="D9" s="127" t="s">
        <v>94</v>
      </c>
      <c r="E9" s="121"/>
      <c r="F9" s="122"/>
    </row>
    <row r="10" spans="1:11" ht="19" thickTop="1" thickBot="1">
      <c r="B10" s="107" t="s">
        <v>209</v>
      </c>
      <c r="C10" s="118" t="str">
        <f>IFERROR(IF(ISBLANK(G5),"",G5/1000*C8),"")</f>
        <v/>
      </c>
      <c r="D10" s="127" t="s">
        <v>94</v>
      </c>
      <c r="E10" s="121"/>
      <c r="F10" s="122"/>
    </row>
    <row r="11" spans="1:11" ht="19" thickTop="1" thickBot="1">
      <c r="B11" s="107" t="s">
        <v>210</v>
      </c>
      <c r="C11" s="118">
        <f>IFERROR(IF(ISBLANK(C9),"",400/1.37*C9*0.1*0.001),"")</f>
        <v>0</v>
      </c>
      <c r="D11" s="120" t="s">
        <v>17</v>
      </c>
      <c r="E11" s="121"/>
      <c r="F11" s="122"/>
    </row>
    <row r="12" spans="1:11" ht="19" thickTop="1" thickBot="1">
      <c r="B12" s="107" t="s">
        <v>211</v>
      </c>
      <c r="C12" s="118" t="str">
        <f>IFERROR(IF(ISBLANK(C10),"",400/1.37*C10*0.001),"")</f>
        <v/>
      </c>
      <c r="D12" s="120" t="s">
        <v>17</v>
      </c>
      <c r="E12" s="121"/>
      <c r="F12" s="122"/>
    </row>
    <row r="13" spans="1:11" ht="18.5" thickTop="1"/>
    <row r="14" spans="1:11" ht="18.5" thickBot="1">
      <c r="A14" s="65" t="s">
        <v>96</v>
      </c>
    </row>
    <row r="15" spans="1:11" ht="19" thickTop="1" thickBot="1">
      <c r="B15" s="123" t="s">
        <v>212</v>
      </c>
      <c r="C15" s="238">
        <f>IF('田面水シナリオ '!C14="",0,'田面水シナリオ '!C14)</f>
        <v>0</v>
      </c>
      <c r="D15" s="110" t="s">
        <v>206</v>
      </c>
      <c r="E15" s="110"/>
      <c r="F15" s="111"/>
    </row>
    <row r="16" spans="1:11" ht="19" thickTop="1" thickBot="1">
      <c r="B16" s="123" t="s">
        <v>213</v>
      </c>
      <c r="C16" s="56"/>
      <c r="D16" s="121" t="s">
        <v>207</v>
      </c>
      <c r="E16" s="121"/>
      <c r="F16" s="111"/>
    </row>
    <row r="17" spans="2:6" ht="19" thickTop="1" thickBot="1"/>
    <row r="18" spans="2:6" ht="19" thickTop="1" thickBot="1">
      <c r="B18" s="107" t="s">
        <v>208</v>
      </c>
      <c r="C18" s="118">
        <f>IFERROR(IF(ISBLANK(C15),"",C15*C8),0)</f>
        <v>0</v>
      </c>
      <c r="D18" s="127" t="s">
        <v>94</v>
      </c>
      <c r="E18" s="121"/>
      <c r="F18" s="122"/>
    </row>
    <row r="19" spans="2:6" ht="19" thickTop="1" thickBot="1">
      <c r="B19" s="107" t="s">
        <v>209</v>
      </c>
      <c r="C19" s="239" t="str">
        <f>IF(ISBLANK(C16),"",C16*C8/1000)</f>
        <v/>
      </c>
      <c r="D19" s="127" t="s">
        <v>94</v>
      </c>
      <c r="E19" s="121"/>
      <c r="F19" s="122"/>
    </row>
    <row r="20" spans="2:6" ht="19" thickTop="1" thickBot="1"/>
    <row r="21" spans="2:6" ht="19" thickTop="1" thickBot="1">
      <c r="B21" s="107" t="s">
        <v>210</v>
      </c>
      <c r="C21" s="118">
        <f>IF(ISBLANK(C15),"",0.4*C18*0.1/1.37)</f>
        <v>0</v>
      </c>
      <c r="D21" s="120" t="s">
        <v>17</v>
      </c>
      <c r="E21" s="121"/>
      <c r="F21" s="122"/>
    </row>
    <row r="22" spans="2:6" ht="19" thickTop="1" thickBot="1">
      <c r="B22" s="107" t="s">
        <v>211</v>
      </c>
      <c r="C22" s="124" t="str">
        <f>IF(ISBLANK(C16),"",0.4*C19/1.37)</f>
        <v/>
      </c>
      <c r="D22" s="120" t="s">
        <v>17</v>
      </c>
      <c r="E22" s="121"/>
      <c r="F22" s="122"/>
    </row>
    <row r="23" spans="2:6" ht="18.5" thickTop="1"/>
  </sheetData>
  <sheetProtection algorithmName="SHA-512" hashValue="DmMS+ev6GQ/QAWV3jeBPzWTfpgFlsJoPbfoBexYNVPwfBhch593Yoabl0GntGcSO66mt/G1gIba2B+aOjp4usA==" saltValue="BKQvwYujl94cdyvJPnTlvg==" spinCount="100000" sheet="1" objects="1" scenarios="1"/>
  <mergeCells count="3">
    <mergeCell ref="E4:F4"/>
    <mergeCell ref="D8:F8"/>
    <mergeCell ref="G4:H4"/>
  </mergeCells>
  <phoneticPr fontId="3"/>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49"/>
  <sheetViews>
    <sheetView topLeftCell="A35" zoomScaleNormal="100" workbookViewId="0">
      <selection activeCell="Q40" sqref="Q40"/>
    </sheetView>
  </sheetViews>
  <sheetFormatPr defaultColWidth="9" defaultRowHeight="18"/>
  <cols>
    <col min="1" max="1" width="9.54296875" style="65" customWidth="1"/>
    <col min="2" max="2" width="15.1796875" style="65" customWidth="1"/>
    <col min="3" max="3" width="13.1796875" style="65" customWidth="1"/>
    <col min="4" max="4" width="2.81640625" style="65" customWidth="1"/>
    <col min="5" max="5" width="13.453125" style="65" customWidth="1"/>
    <col min="6" max="6" width="12" style="65" customWidth="1"/>
    <col min="7" max="7" width="3.1796875" style="65" customWidth="1"/>
    <col min="8" max="8" width="8.453125" style="65" customWidth="1"/>
    <col min="9" max="9" width="3" style="65" customWidth="1"/>
    <col min="10" max="10" width="9.453125" style="65" customWidth="1"/>
    <col min="11" max="11" width="14.81640625" style="65" customWidth="1"/>
    <col min="12" max="12" width="13.26953125" style="65" customWidth="1"/>
    <col min="13" max="13" width="6.453125" style="65" customWidth="1"/>
    <col min="14" max="16384" width="9" style="65"/>
  </cols>
  <sheetData>
    <row r="1" spans="1:16" ht="19.5" customHeight="1">
      <c r="A1" s="64" t="s">
        <v>214</v>
      </c>
      <c r="G1" s="85"/>
      <c r="H1" s="85"/>
      <c r="I1" s="85"/>
      <c r="J1" s="85"/>
      <c r="K1" s="85"/>
    </row>
    <row r="2" spans="1:16">
      <c r="N2" s="101"/>
      <c r="O2" s="63" t="s">
        <v>3</v>
      </c>
    </row>
    <row r="3" spans="1:16">
      <c r="A3" s="65" t="s">
        <v>75</v>
      </c>
      <c r="N3" s="69"/>
      <c r="O3" s="63" t="s">
        <v>76</v>
      </c>
    </row>
    <row r="4" spans="1:16" ht="19.5" customHeight="1" thickBot="1">
      <c r="B4" s="102" t="s">
        <v>77</v>
      </c>
      <c r="C4" s="103" t="s">
        <v>78</v>
      </c>
      <c r="D4" s="104"/>
      <c r="E4" s="274" t="s">
        <v>79</v>
      </c>
      <c r="F4" s="274"/>
      <c r="N4" s="70"/>
      <c r="O4" s="63" t="s">
        <v>38</v>
      </c>
    </row>
    <row r="5" spans="1:16" ht="19" thickTop="1" thickBot="1">
      <c r="A5" s="85" t="s">
        <v>118</v>
      </c>
      <c r="B5" s="22"/>
      <c r="C5" s="23"/>
      <c r="D5" s="106" t="s">
        <v>82</v>
      </c>
      <c r="E5" s="24"/>
      <c r="F5" s="106" t="s">
        <v>83</v>
      </c>
      <c r="N5" s="141"/>
      <c r="O5" s="142" t="s">
        <v>135</v>
      </c>
      <c r="P5" s="151"/>
    </row>
    <row r="6" spans="1:16" ht="19" thickTop="1" thickBot="1">
      <c r="A6" s="85" t="s">
        <v>119</v>
      </c>
      <c r="B6" s="22"/>
      <c r="C6" s="23"/>
      <c r="D6" s="106" t="s">
        <v>82</v>
      </c>
      <c r="E6" s="24"/>
      <c r="F6" s="106" t="s">
        <v>83</v>
      </c>
    </row>
    <row r="7" spans="1:16" ht="18.5" thickTop="1">
      <c r="A7" s="85"/>
    </row>
    <row r="8" spans="1:16">
      <c r="A8" s="85"/>
      <c r="B8" s="240" t="s">
        <v>215</v>
      </c>
      <c r="C8" s="251"/>
    </row>
    <row r="10" spans="1:16">
      <c r="A10" s="65" t="s">
        <v>86</v>
      </c>
    </row>
    <row r="11" spans="1:16" ht="18.5" thickBot="1">
      <c r="A11" s="65" t="s">
        <v>216</v>
      </c>
      <c r="J11" s="65" t="s">
        <v>217</v>
      </c>
    </row>
    <row r="12" spans="1:16" ht="19" thickTop="1" thickBot="1">
      <c r="A12" s="85" t="s">
        <v>118</v>
      </c>
      <c r="B12" s="107" t="s">
        <v>87</v>
      </c>
      <c r="C12" s="108" t="str">
        <f>IF(ISBLANK(E5),"",E5)</f>
        <v/>
      </c>
      <c r="D12" s="109" t="s">
        <v>83</v>
      </c>
      <c r="E12" s="110"/>
      <c r="F12" s="111"/>
      <c r="J12" s="85" t="s">
        <v>118</v>
      </c>
      <c r="K12" s="107" t="s">
        <v>87</v>
      </c>
      <c r="L12" s="108" t="str">
        <f>IF(ISBLANK(E5),"",E5)</f>
        <v/>
      </c>
      <c r="M12" s="109" t="s">
        <v>83</v>
      </c>
      <c r="N12" s="110"/>
      <c r="O12" s="111"/>
    </row>
    <row r="13" spans="1:16" ht="19" thickTop="1" thickBot="1">
      <c r="A13" s="85" t="s">
        <v>119</v>
      </c>
      <c r="B13" s="107" t="s">
        <v>87</v>
      </c>
      <c r="C13" s="108" t="str">
        <f>IF(ISBLANK(E6),"",E6)</f>
        <v/>
      </c>
      <c r="D13" s="109" t="s">
        <v>83</v>
      </c>
      <c r="E13" s="110"/>
      <c r="F13" s="111"/>
      <c r="J13" s="85" t="s">
        <v>119</v>
      </c>
      <c r="K13" s="107" t="s">
        <v>87</v>
      </c>
      <c r="L13" s="108" t="str">
        <f>IF(ISBLANK(E6),"",E6)</f>
        <v/>
      </c>
      <c r="M13" s="109" t="s">
        <v>83</v>
      </c>
      <c r="N13" s="110"/>
      <c r="O13" s="111"/>
    </row>
    <row r="14" spans="1:16" ht="19" thickTop="1" thickBot="1">
      <c r="A14" s="85" t="s">
        <v>118</v>
      </c>
      <c r="B14" s="107" t="s">
        <v>218</v>
      </c>
      <c r="C14" s="112" t="str">
        <f>IF(ISNUMBER(E5),C12*10^2/(0.1*950),"")</f>
        <v/>
      </c>
      <c r="D14" s="127" t="s">
        <v>219</v>
      </c>
      <c r="E14" s="121"/>
      <c r="F14" s="122"/>
      <c r="J14" s="85" t="s">
        <v>118</v>
      </c>
      <c r="K14" s="107" t="s">
        <v>220</v>
      </c>
      <c r="L14" s="241" t="str">
        <f>IF(ISNUMBER(E5),L12*10^2/(0.1*880),"")</f>
        <v/>
      </c>
      <c r="M14" s="127" t="s">
        <v>221</v>
      </c>
      <c r="N14" s="121"/>
      <c r="O14" s="122"/>
    </row>
    <row r="15" spans="1:16" ht="19" thickTop="1" thickBot="1">
      <c r="A15" s="85" t="s">
        <v>119</v>
      </c>
      <c r="B15" s="107" t="s">
        <v>218</v>
      </c>
      <c r="C15" s="112" t="str">
        <f>IF(ISNUMBER(E6),C13*10^2/(0.1*920),"")</f>
        <v/>
      </c>
      <c r="D15" s="127" t="s">
        <v>219</v>
      </c>
      <c r="E15" s="121"/>
      <c r="F15" s="122"/>
      <c r="J15" s="85" t="s">
        <v>119</v>
      </c>
      <c r="K15" s="107" t="s">
        <v>220</v>
      </c>
      <c r="L15" s="112" t="str">
        <f>IF(ISNUMBER(E6),L13*10^2/(0.1*680),"")</f>
        <v/>
      </c>
      <c r="M15" s="127" t="s">
        <v>221</v>
      </c>
      <c r="N15" s="121"/>
      <c r="O15" s="122"/>
    </row>
    <row r="16" spans="1:16" ht="19" thickTop="1" thickBot="1">
      <c r="B16" s="107" t="s">
        <v>222</v>
      </c>
      <c r="C16" s="242">
        <f>C8</f>
        <v>0</v>
      </c>
      <c r="D16" s="109"/>
      <c r="E16" s="110"/>
      <c r="F16" s="111"/>
      <c r="J16" s="85" t="s">
        <v>118</v>
      </c>
      <c r="K16" s="107" t="s">
        <v>223</v>
      </c>
      <c r="L16" s="243" t="str">
        <f>IF(ISNUMBER(E5),0.88*L14/(0.95*0.37*0.0234*L18+0.53),"")</f>
        <v/>
      </c>
      <c r="M16" s="127" t="s">
        <v>206</v>
      </c>
      <c r="N16" s="121"/>
      <c r="O16" s="122"/>
    </row>
    <row r="17" spans="1:17" ht="19" thickTop="1" thickBot="1">
      <c r="B17" s="107" t="s">
        <v>6</v>
      </c>
      <c r="C17" s="244">
        <f>評価結果!C5</f>
        <v>1</v>
      </c>
      <c r="D17" s="109"/>
      <c r="E17" s="110"/>
      <c r="F17" s="111"/>
      <c r="J17" s="85" t="s">
        <v>119</v>
      </c>
      <c r="K17" s="107" t="s">
        <v>223</v>
      </c>
      <c r="L17" s="245" t="str">
        <f>IF(ISNUMBER(E6),0.68*L15/(0.92*0.35*0.0322*L18+0.36),"")</f>
        <v/>
      </c>
      <c r="M17" s="127" t="s">
        <v>206</v>
      </c>
      <c r="N17" s="121"/>
      <c r="O17" s="122"/>
    </row>
    <row r="18" spans="1:17" ht="19" thickTop="1" thickBot="1">
      <c r="A18" s="85" t="s">
        <v>118</v>
      </c>
      <c r="B18" s="107" t="s">
        <v>1</v>
      </c>
      <c r="C18" s="245" t="e">
        <f>(0.84+0.012*C17)/(C16*0.0234*1)</f>
        <v>#DIV/0!</v>
      </c>
      <c r="D18" s="109" t="s">
        <v>224</v>
      </c>
      <c r="E18" s="110"/>
      <c r="F18" s="111"/>
      <c r="K18" s="107" t="s">
        <v>222</v>
      </c>
      <c r="L18" s="246">
        <f>C16</f>
        <v>0</v>
      </c>
      <c r="M18" s="109"/>
      <c r="N18" s="110"/>
      <c r="O18" s="111"/>
    </row>
    <row r="19" spans="1:17" ht="19" thickTop="1" thickBot="1">
      <c r="A19" s="85" t="s">
        <v>119</v>
      </c>
      <c r="B19" s="107" t="s">
        <v>1</v>
      </c>
      <c r="C19" s="245" t="e">
        <f>(0.84+0.012*C17)/(C16*0.0322*1)</f>
        <v>#DIV/0!</v>
      </c>
      <c r="D19" s="109" t="s">
        <v>224</v>
      </c>
      <c r="E19" s="110"/>
      <c r="F19" s="111"/>
      <c r="K19" s="107" t="s">
        <v>6</v>
      </c>
      <c r="L19" s="247">
        <f>C17</f>
        <v>1</v>
      </c>
      <c r="M19" s="109"/>
      <c r="N19" s="110"/>
      <c r="O19" s="111"/>
    </row>
    <row r="20" spans="1:17" ht="19" thickTop="1" thickBot="1">
      <c r="K20" s="107" t="s">
        <v>1</v>
      </c>
      <c r="L20" s="241">
        <f>(0.84+0.012*L19)/(1)</f>
        <v>0.85199999999999998</v>
      </c>
      <c r="M20" s="109" t="s">
        <v>224</v>
      </c>
      <c r="N20" s="110"/>
      <c r="O20" s="111"/>
    </row>
    <row r="21" spans="1:17" ht="18.5" thickTop="1"/>
    <row r="22" spans="1:17" ht="18.5" thickBot="1"/>
    <row r="23" spans="1:17" ht="19" thickTop="1" thickBot="1">
      <c r="A23" s="85" t="s">
        <v>118</v>
      </c>
      <c r="B23" s="107" t="s">
        <v>92</v>
      </c>
      <c r="C23" s="117">
        <v>0.91</v>
      </c>
      <c r="D23" s="275" t="s">
        <v>91</v>
      </c>
      <c r="E23" s="276"/>
      <c r="F23" s="277"/>
      <c r="J23" s="85" t="s">
        <v>118</v>
      </c>
      <c r="K23" s="107" t="s">
        <v>92</v>
      </c>
      <c r="L23" s="117">
        <v>0.91</v>
      </c>
      <c r="M23" s="275" t="s">
        <v>91</v>
      </c>
      <c r="N23" s="276"/>
      <c r="O23" s="277"/>
    </row>
    <row r="24" spans="1:17" ht="19" thickTop="1" thickBot="1">
      <c r="A24" s="85" t="s">
        <v>119</v>
      </c>
      <c r="B24" s="107" t="s">
        <v>92</v>
      </c>
      <c r="C24" s="117">
        <v>0.95</v>
      </c>
      <c r="D24" s="275" t="s">
        <v>91</v>
      </c>
      <c r="E24" s="276"/>
      <c r="F24" s="277"/>
      <c r="J24" s="85" t="s">
        <v>119</v>
      </c>
      <c r="K24" s="107" t="s">
        <v>92</v>
      </c>
      <c r="L24" s="117">
        <v>0.95</v>
      </c>
      <c r="M24" s="275" t="s">
        <v>91</v>
      </c>
      <c r="N24" s="276"/>
      <c r="O24" s="277"/>
    </row>
    <row r="25" spans="1:17" ht="19" thickTop="1" thickBot="1">
      <c r="A25" s="85" t="s">
        <v>118</v>
      </c>
      <c r="B25" s="107" t="s">
        <v>225</v>
      </c>
      <c r="C25" s="124" t="str">
        <f>IF(ISNUMBER(E5),C14*C18*C23,"")</f>
        <v/>
      </c>
      <c r="D25" s="127" t="s">
        <v>94</v>
      </c>
      <c r="E25" s="121"/>
      <c r="F25" s="122"/>
      <c r="J25" s="85" t="s">
        <v>118</v>
      </c>
      <c r="K25" s="107" t="s">
        <v>225</v>
      </c>
      <c r="L25" s="118" t="str">
        <f>IF(ISNUMBER(E5),(L16*L20+L14*0.93*0.1)/(1+0.1*0.93)*L23,"")</f>
        <v/>
      </c>
      <c r="M25" s="127" t="s">
        <v>94</v>
      </c>
      <c r="N25" s="121"/>
      <c r="O25" s="122"/>
      <c r="Q25" s="248">
        <f>MAX(C25,L25)</f>
        <v>0</v>
      </c>
    </row>
    <row r="26" spans="1:17" ht="19" thickTop="1" thickBot="1">
      <c r="A26" s="85" t="s">
        <v>119</v>
      </c>
      <c r="B26" s="107" t="s">
        <v>225</v>
      </c>
      <c r="C26" s="124" t="str">
        <f>IF(ISNUMBER(E6),C15*C19*C24,"")</f>
        <v/>
      </c>
      <c r="D26" s="121" t="s">
        <v>94</v>
      </c>
      <c r="E26" s="121"/>
      <c r="F26" s="122"/>
      <c r="J26" s="85" t="s">
        <v>119</v>
      </c>
      <c r="K26" s="107" t="s">
        <v>225</v>
      </c>
      <c r="L26" s="124" t="str">
        <f>IF(ISNUMBER(E6),(L17*L20+L15*0.74*0.1)/(1+0.1*0.74)*L24,"")</f>
        <v/>
      </c>
      <c r="M26" s="121" t="s">
        <v>94</v>
      </c>
      <c r="N26" s="121"/>
      <c r="O26" s="122"/>
      <c r="Q26" s="248">
        <f>MAX(C26,L26)</f>
        <v>0</v>
      </c>
    </row>
    <row r="27" spans="1:17" ht="19" thickTop="1" thickBot="1">
      <c r="B27" s="107" t="s">
        <v>95</v>
      </c>
      <c r="C27" s="134" t="str">
        <f>IF(OR(ISNUMBER(E5),ISNUMBER(E6)),SUM(IF(ISNUMBER(E5),15*0.014*C25*0.001/0.022,0),IF(ISNUMBER(E6),15*0.011*C26*0.001/0.022,0)),"")</f>
        <v/>
      </c>
      <c r="D27" s="121" t="s">
        <v>17</v>
      </c>
      <c r="E27" s="121"/>
      <c r="F27" s="122"/>
      <c r="K27" s="107" t="s">
        <v>95</v>
      </c>
      <c r="L27" s="119" t="str">
        <f>IF(OR(ISNUMBER(E5),ISNUMBER(E6)),SUM(IF(ISNUMBER(E5),15*0.014*L25*0.001/0.022,0),IF(ISNUMBER(E6),15*0.011*L26*0.001/0.022,0)),"")</f>
        <v/>
      </c>
      <c r="M27" s="121" t="s">
        <v>17</v>
      </c>
      <c r="N27" s="121"/>
      <c r="O27" s="122"/>
    </row>
    <row r="28" spans="1:17" ht="19" thickTop="1" thickBot="1"/>
    <row r="29" spans="1:17" ht="19" thickTop="1" thickBot="1">
      <c r="B29" s="107" t="s">
        <v>95</v>
      </c>
      <c r="C29" s="133" t="str">
        <f>IF(MAX(C27,L27)=0,"",MAX(C27,L27))</f>
        <v/>
      </c>
      <c r="D29" s="121" t="s">
        <v>17</v>
      </c>
      <c r="E29" s="121"/>
      <c r="F29" s="122"/>
      <c r="H29" s="32" t="s">
        <v>226</v>
      </c>
    </row>
    <row r="30" spans="1:17" ht="18.5" thickTop="1"/>
    <row r="33" spans="1:17">
      <c r="A33" s="65" t="s">
        <v>96</v>
      </c>
    </row>
    <row r="34" spans="1:17" ht="18.5" thickBot="1">
      <c r="A34" s="65" t="s">
        <v>216</v>
      </c>
      <c r="J34" s="65" t="s">
        <v>217</v>
      </c>
    </row>
    <row r="35" spans="1:17" ht="37" thickTop="1" thickBot="1">
      <c r="A35" s="85" t="s">
        <v>118</v>
      </c>
      <c r="B35" s="249" t="s">
        <v>218</v>
      </c>
      <c r="C35" s="252"/>
      <c r="D35" s="127" t="s">
        <v>219</v>
      </c>
      <c r="E35" s="121"/>
      <c r="F35" s="122"/>
      <c r="J35" s="85" t="s">
        <v>118</v>
      </c>
      <c r="K35" s="249" t="s">
        <v>220</v>
      </c>
      <c r="L35" s="253"/>
      <c r="M35" s="127" t="s">
        <v>221</v>
      </c>
      <c r="N35" s="121"/>
      <c r="O35" s="122"/>
    </row>
    <row r="36" spans="1:17" ht="37" thickTop="1" thickBot="1">
      <c r="A36" s="85" t="s">
        <v>119</v>
      </c>
      <c r="B36" s="249" t="s">
        <v>218</v>
      </c>
      <c r="C36" s="253"/>
      <c r="D36" s="127" t="s">
        <v>219</v>
      </c>
      <c r="E36" s="121"/>
      <c r="F36" s="122"/>
      <c r="J36" s="85" t="s">
        <v>119</v>
      </c>
      <c r="K36" s="249" t="s">
        <v>220</v>
      </c>
      <c r="L36" s="253"/>
      <c r="M36" s="127" t="s">
        <v>221</v>
      </c>
      <c r="N36" s="121"/>
      <c r="O36" s="122"/>
    </row>
    <row r="37" spans="1:17" ht="37" thickTop="1" thickBot="1">
      <c r="A37" s="85" t="s">
        <v>118</v>
      </c>
      <c r="B37" s="123" t="s">
        <v>227</v>
      </c>
      <c r="C37" s="33"/>
      <c r="D37" s="110" t="s">
        <v>85</v>
      </c>
      <c r="E37" s="110"/>
      <c r="F37" s="111"/>
      <c r="J37" s="85" t="s">
        <v>118</v>
      </c>
      <c r="K37" s="249" t="s">
        <v>223</v>
      </c>
      <c r="L37" s="250" t="str">
        <f>IF(ISNUMBER(E5),0.88*L35/(0.95*0.37*0.0234*L18+0.53),"")</f>
        <v/>
      </c>
      <c r="M37" s="127" t="s">
        <v>206</v>
      </c>
      <c r="N37" s="121"/>
      <c r="O37" s="122"/>
    </row>
    <row r="38" spans="1:17" ht="37" thickTop="1" thickBot="1">
      <c r="A38" s="85" t="s">
        <v>119</v>
      </c>
      <c r="B38" s="123" t="s">
        <v>227</v>
      </c>
      <c r="C38" s="33"/>
      <c r="D38" s="110" t="s">
        <v>85</v>
      </c>
      <c r="E38" s="110"/>
      <c r="F38" s="111"/>
      <c r="J38" s="85" t="s">
        <v>119</v>
      </c>
      <c r="K38" s="249" t="s">
        <v>223</v>
      </c>
      <c r="L38" s="250" t="str">
        <f>IF(ISNUMBER(E6),0.68*L36/(0.92*0.35*0.0322*L18+0.36),"")</f>
        <v/>
      </c>
      <c r="M38" s="127" t="s">
        <v>206</v>
      </c>
      <c r="N38" s="121"/>
      <c r="O38" s="122"/>
    </row>
    <row r="39" spans="1:17" ht="34.5" thickTop="1" thickBot="1">
      <c r="J39" s="85" t="s">
        <v>118</v>
      </c>
      <c r="K39" s="123" t="s">
        <v>227</v>
      </c>
      <c r="L39" s="33"/>
      <c r="M39" s="110" t="s">
        <v>85</v>
      </c>
      <c r="N39" s="110"/>
      <c r="O39" s="111"/>
    </row>
    <row r="40" spans="1:17" ht="34.5" thickTop="1" thickBot="1">
      <c r="J40" s="85" t="s">
        <v>119</v>
      </c>
      <c r="K40" s="123" t="s">
        <v>227</v>
      </c>
      <c r="L40" s="33"/>
      <c r="M40" s="110" t="s">
        <v>85</v>
      </c>
      <c r="N40" s="110"/>
      <c r="O40" s="111"/>
    </row>
    <row r="41" spans="1:17" ht="19" thickTop="1" thickBot="1"/>
    <row r="42" spans="1:17" ht="19" thickTop="1" thickBot="1">
      <c r="A42" s="85" t="s">
        <v>118</v>
      </c>
      <c r="B42" s="107" t="s">
        <v>92</v>
      </c>
      <c r="C42" s="119" t="e">
        <f>(1-EXP(-LN(2)/C37*21))/(LN(2)/C37*21)</f>
        <v>#DIV/0!</v>
      </c>
      <c r="D42" s="275" t="s">
        <v>91</v>
      </c>
      <c r="E42" s="276"/>
      <c r="F42" s="277"/>
      <c r="J42" s="85" t="s">
        <v>118</v>
      </c>
      <c r="K42" s="107" t="s">
        <v>92</v>
      </c>
      <c r="L42" s="119" t="e">
        <f>(1-EXP(-LN(2)/L39*21))/(LN(2)/L39*21)</f>
        <v>#DIV/0!</v>
      </c>
      <c r="M42" s="275" t="s">
        <v>91</v>
      </c>
      <c r="N42" s="276"/>
      <c r="O42" s="277"/>
    </row>
    <row r="43" spans="1:17" ht="19" thickTop="1" thickBot="1">
      <c r="A43" s="85" t="s">
        <v>119</v>
      </c>
      <c r="B43" s="107" t="s">
        <v>92</v>
      </c>
      <c r="C43" s="119" t="e">
        <f>(1-EXP(-LN(2)/C38*21))/(LN(2)/C38*21)</f>
        <v>#DIV/0!</v>
      </c>
      <c r="D43" s="275" t="s">
        <v>91</v>
      </c>
      <c r="E43" s="276"/>
      <c r="F43" s="277"/>
      <c r="J43" s="85" t="s">
        <v>119</v>
      </c>
      <c r="K43" s="107" t="s">
        <v>92</v>
      </c>
      <c r="L43" s="119" t="e">
        <f>(1-EXP(-LN(2)/L40*21))/(LN(2)/L40*21)</f>
        <v>#DIV/0!</v>
      </c>
      <c r="M43" s="275" t="s">
        <v>91</v>
      </c>
      <c r="N43" s="276"/>
      <c r="O43" s="277"/>
    </row>
    <row r="44" spans="1:17" ht="19" thickTop="1" thickBot="1">
      <c r="A44" s="85" t="s">
        <v>118</v>
      </c>
      <c r="B44" s="107" t="s">
        <v>225</v>
      </c>
      <c r="C44" s="134" t="str">
        <f>IF(ISNUMBER(E5),C35*C18*C42,"")</f>
        <v/>
      </c>
      <c r="D44" s="127" t="s">
        <v>94</v>
      </c>
      <c r="E44" s="121"/>
      <c r="F44" s="122"/>
      <c r="J44" s="85" t="s">
        <v>118</v>
      </c>
      <c r="K44" s="107" t="s">
        <v>225</v>
      </c>
      <c r="L44" s="134" t="str">
        <f>IF(ISNUMBER(E5),(L37*L20+L35*0.93*0.1)/(1+0.1*0.93)*L42,"")</f>
        <v/>
      </c>
      <c r="M44" s="127" t="s">
        <v>94</v>
      </c>
      <c r="N44" s="121"/>
      <c r="O44" s="122"/>
      <c r="Q44" s="248">
        <f>MAX(C44,L44)</f>
        <v>0</v>
      </c>
    </row>
    <row r="45" spans="1:17" ht="19" thickTop="1" thickBot="1">
      <c r="A45" s="85" t="s">
        <v>119</v>
      </c>
      <c r="B45" s="107" t="s">
        <v>225</v>
      </c>
      <c r="C45" s="134" t="str">
        <f>IF(ISNUMBER(E6),C36*C19*C43,"")</f>
        <v/>
      </c>
      <c r="D45" s="121" t="s">
        <v>94</v>
      </c>
      <c r="E45" s="121"/>
      <c r="F45" s="122"/>
      <c r="J45" s="85" t="s">
        <v>119</v>
      </c>
      <c r="K45" s="107" t="s">
        <v>225</v>
      </c>
      <c r="L45" s="134" t="str">
        <f>IF(ISNUMBER(E6),(L38*L20+L36*0.74*0.1)/(1+0.1*0.74)*L43,"")</f>
        <v/>
      </c>
      <c r="M45" s="121" t="s">
        <v>94</v>
      </c>
      <c r="N45" s="121"/>
      <c r="O45" s="122"/>
      <c r="Q45" s="248">
        <f>MAX(C45,L45)</f>
        <v>0</v>
      </c>
    </row>
    <row r="46" spans="1:17" ht="19" thickTop="1" thickBot="1">
      <c r="B46" s="107" t="s">
        <v>95</v>
      </c>
      <c r="C46" s="150" t="str">
        <f>IF(OR(ISNUMBER(E5),ISNUMBER(E6)),SUM(IF(ISNUMBER(E5),15*0.014*C44*0.001/0.022,0),IF(ISNUMBER(E6),15*0.011*C45*0.001/0.022,0)),"")</f>
        <v/>
      </c>
      <c r="D46" s="121" t="s">
        <v>17</v>
      </c>
      <c r="E46" s="121"/>
      <c r="F46" s="122"/>
      <c r="K46" s="107" t="s">
        <v>95</v>
      </c>
      <c r="L46" s="150" t="str">
        <f>IF(OR(ISNUMBER(E5),ISNUMBER(E6)),SUM(IF(ISNUMBER(E5),15*0.014*L44*0.001/0.022,0),IF(ISNUMBER(E6),15*0.011*L45*0.001/0.022,0)),"")</f>
        <v/>
      </c>
      <c r="M46" s="121" t="s">
        <v>17</v>
      </c>
      <c r="N46" s="121"/>
      <c r="O46" s="122"/>
    </row>
    <row r="47" spans="1:17" ht="19" thickTop="1" thickBot="1"/>
    <row r="48" spans="1:17" ht="19" thickTop="1" thickBot="1">
      <c r="B48" s="107" t="s">
        <v>95</v>
      </c>
      <c r="C48" s="150">
        <f>MAX(C46,L46)</f>
        <v>0</v>
      </c>
      <c r="D48" s="121" t="s">
        <v>17</v>
      </c>
      <c r="E48" s="121"/>
      <c r="F48" s="122"/>
      <c r="H48" s="32" t="s">
        <v>226</v>
      </c>
    </row>
    <row r="49" s="65" customFormat="1" ht="18.5" thickTop="1"/>
  </sheetData>
  <sheetProtection algorithmName="SHA-512" hashValue="gQmDChhUcYH2QQjNlJ/tDdL9fJ5dlI+i7mKkavFTvXo1zQhKyB2ya2s95LK94wD6ar8nYpbPD6BqYMEee2zZGQ==" saltValue="7iBM6T84fOsyLtFy4AtXqw==" spinCount="100000" sheet="1" objects="1" scenarios="1"/>
  <mergeCells count="9">
    <mergeCell ref="E4:F4"/>
    <mergeCell ref="D23:F23"/>
    <mergeCell ref="D43:F43"/>
    <mergeCell ref="M43:O43"/>
    <mergeCell ref="D24:F24"/>
    <mergeCell ref="M23:O23"/>
    <mergeCell ref="M24:O24"/>
    <mergeCell ref="D42:F42"/>
    <mergeCell ref="M42:O42"/>
  </mergeCells>
  <phoneticPr fontId="3"/>
  <pageMargins left="0.7" right="0.7" top="0.75" bottom="0.75" header="0.3" footer="0.3"/>
  <pageSetup paperSize="9"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Q55"/>
  <sheetViews>
    <sheetView zoomScale="115" zoomScaleNormal="115" workbookViewId="0">
      <selection activeCell="H15" sqref="H15"/>
    </sheetView>
  </sheetViews>
  <sheetFormatPr defaultColWidth="9" defaultRowHeight="18"/>
  <cols>
    <col min="1" max="1" width="9.54296875" style="65" customWidth="1"/>
    <col min="2" max="2" width="24.81640625" style="65" customWidth="1"/>
    <col min="3" max="3" width="13.1796875" style="65" customWidth="1"/>
    <col min="4" max="4" width="2.81640625" style="65" customWidth="1"/>
    <col min="5" max="5" width="13.453125" style="65" customWidth="1"/>
    <col min="6" max="6" width="12" style="65" customWidth="1"/>
    <col min="7" max="7" width="3.1796875" style="65" customWidth="1"/>
    <col min="8" max="8" width="48.453125" style="65" customWidth="1"/>
    <col min="9" max="9" width="6.26953125" style="65" customWidth="1"/>
    <col min="10" max="10" width="4.54296875" style="65" customWidth="1"/>
    <col min="11" max="11" width="3.453125" style="65" customWidth="1"/>
    <col min="12" max="12" width="15.1796875" style="65" bestFit="1" customWidth="1"/>
    <col min="13" max="14" width="14.81640625" style="65" customWidth="1"/>
    <col min="15" max="15" width="6.453125" style="65" customWidth="1"/>
    <col min="16" max="16384" width="9" style="65"/>
  </cols>
  <sheetData>
    <row r="1" spans="1:17" ht="19.5" customHeight="1">
      <c r="A1" s="64" t="s">
        <v>228</v>
      </c>
      <c r="G1" s="85"/>
      <c r="H1" s="85"/>
      <c r="I1" s="85"/>
      <c r="J1" s="85"/>
      <c r="K1" s="85"/>
      <c r="L1" s="85"/>
      <c r="M1" s="85"/>
      <c r="N1" s="85"/>
    </row>
    <row r="2" spans="1:17">
      <c r="P2" s="101"/>
      <c r="Q2" s="63" t="s">
        <v>3</v>
      </c>
    </row>
    <row r="3" spans="1:17">
      <c r="A3" s="65" t="s">
        <v>75</v>
      </c>
      <c r="L3" s="65" t="s">
        <v>229</v>
      </c>
      <c r="M3" s="65" t="s">
        <v>230</v>
      </c>
      <c r="P3" s="69"/>
      <c r="Q3" s="63" t="s">
        <v>76</v>
      </c>
    </row>
    <row r="4" spans="1:17" ht="19.5" customHeight="1" thickBot="1">
      <c r="B4" s="102" t="s">
        <v>77</v>
      </c>
      <c r="C4" s="103" t="s">
        <v>78</v>
      </c>
      <c r="D4" s="104"/>
      <c r="E4" s="274" t="s">
        <v>79</v>
      </c>
      <c r="F4" s="274"/>
      <c r="L4" s="135" t="s">
        <v>231</v>
      </c>
      <c r="M4" s="136" t="s">
        <v>232</v>
      </c>
      <c r="N4" s="136" t="s">
        <v>233</v>
      </c>
      <c r="P4" s="70"/>
      <c r="Q4" s="63" t="s">
        <v>38</v>
      </c>
    </row>
    <row r="5" spans="1:17" ht="19" thickTop="1" thickBot="1">
      <c r="A5" s="85" t="s">
        <v>118</v>
      </c>
      <c r="B5" s="22"/>
      <c r="C5" s="23"/>
      <c r="D5" s="106" t="s">
        <v>82</v>
      </c>
      <c r="E5" s="24"/>
      <c r="F5" s="106" t="s">
        <v>83</v>
      </c>
      <c r="L5" s="137">
        <v>0</v>
      </c>
      <c r="M5" s="58"/>
      <c r="N5" s="254" t="str">
        <f t="shared" ref="N5:N14" si="0">IF(M5="","",LN(M5))</f>
        <v/>
      </c>
      <c r="P5" s="255"/>
      <c r="Q5" s="142" t="s">
        <v>234</v>
      </c>
    </row>
    <row r="6" spans="1:17" ht="19" thickTop="1" thickBot="1">
      <c r="A6" s="85" t="s">
        <v>119</v>
      </c>
      <c r="B6" s="22"/>
      <c r="C6" s="23"/>
      <c r="D6" s="106" t="s">
        <v>82</v>
      </c>
      <c r="E6" s="24"/>
      <c r="F6" s="106" t="s">
        <v>83</v>
      </c>
      <c r="L6" s="137">
        <v>1</v>
      </c>
      <c r="M6" s="58"/>
      <c r="N6" s="254" t="str">
        <f t="shared" si="0"/>
        <v/>
      </c>
    </row>
    <row r="7" spans="1:17" ht="18.5" thickTop="1">
      <c r="L7" s="137">
        <v>2</v>
      </c>
      <c r="M7" s="58"/>
      <c r="N7" s="254" t="str">
        <f t="shared" si="0"/>
        <v/>
      </c>
    </row>
    <row r="8" spans="1:17" ht="18.5" thickBot="1">
      <c r="A8" s="65" t="s">
        <v>235</v>
      </c>
      <c r="L8" s="137">
        <v>3</v>
      </c>
      <c r="M8" s="58"/>
      <c r="N8" s="254" t="str">
        <f t="shared" si="0"/>
        <v/>
      </c>
    </row>
    <row r="9" spans="1:17" ht="19" thickTop="1" thickBot="1">
      <c r="B9" s="107" t="s">
        <v>236</v>
      </c>
      <c r="C9" s="265"/>
      <c r="D9" s="109" t="s">
        <v>91</v>
      </c>
      <c r="E9" s="110"/>
      <c r="F9" s="111"/>
      <c r="L9" s="137">
        <v>4</v>
      </c>
      <c r="M9" s="58"/>
      <c r="N9" s="254" t="str">
        <f t="shared" si="0"/>
        <v/>
      </c>
    </row>
    <row r="10" spans="1:17" ht="19" thickTop="1" thickBot="1">
      <c r="B10" s="107" t="s">
        <v>237</v>
      </c>
      <c r="C10" s="256" t="str">
        <f>IFERROR(-SLOPE($N$5:$N$14,$L$5:$L$14),"")</f>
        <v/>
      </c>
      <c r="D10" s="109" t="s">
        <v>91</v>
      </c>
      <c r="E10" s="110"/>
      <c r="F10" s="111"/>
      <c r="H10" s="65" t="s">
        <v>238</v>
      </c>
      <c r="L10" s="137">
        <v>5</v>
      </c>
      <c r="M10" s="58"/>
      <c r="N10" s="254" t="str">
        <f t="shared" si="0"/>
        <v/>
      </c>
    </row>
    <row r="11" spans="1:17" ht="19" thickTop="1" thickBot="1">
      <c r="C11" s="257"/>
      <c r="L11" s="137">
        <v>6</v>
      </c>
      <c r="M11" s="58"/>
      <c r="N11" s="254" t="str">
        <f t="shared" si="0"/>
        <v/>
      </c>
    </row>
    <row r="12" spans="1:17" ht="19" thickTop="1" thickBot="1">
      <c r="B12" s="107" t="s">
        <v>239</v>
      </c>
      <c r="C12" s="150" t="e">
        <f>C9*137.5/0.686*0.001/C10</f>
        <v>#VALUE!</v>
      </c>
      <c r="D12" s="109" t="s">
        <v>91</v>
      </c>
      <c r="E12" s="121"/>
      <c r="F12" s="122"/>
      <c r="L12" s="137">
        <v>7</v>
      </c>
      <c r="M12" s="58"/>
      <c r="N12" s="254" t="str">
        <f t="shared" si="0"/>
        <v/>
      </c>
    </row>
    <row r="13" spans="1:17" ht="18.5" thickTop="1">
      <c r="L13" s="137">
        <v>8</v>
      </c>
      <c r="M13" s="58"/>
      <c r="N13" s="254" t="str">
        <f t="shared" si="0"/>
        <v/>
      </c>
    </row>
    <row r="14" spans="1:17" ht="18.5" thickBot="1">
      <c r="A14" s="65" t="s">
        <v>96</v>
      </c>
      <c r="L14" s="38">
        <v>9</v>
      </c>
      <c r="M14" s="59"/>
      <c r="N14" s="258" t="str">
        <f t="shared" si="0"/>
        <v/>
      </c>
    </row>
    <row r="15" spans="1:17" ht="19" thickTop="1" thickBot="1">
      <c r="A15" s="85" t="s">
        <v>146</v>
      </c>
      <c r="B15" s="107" t="s">
        <v>240</v>
      </c>
      <c r="C15" s="119" t="e">
        <f>C9*4.4/0.022*0.001/C10</f>
        <v>#VALUE!</v>
      </c>
      <c r="D15" s="109" t="s">
        <v>91</v>
      </c>
      <c r="E15" s="121"/>
      <c r="F15" s="122"/>
    </row>
    <row r="16" spans="1:17" ht="19" thickTop="1" thickBot="1">
      <c r="A16" s="85" t="s">
        <v>146</v>
      </c>
      <c r="B16" s="107" t="s">
        <v>241</v>
      </c>
      <c r="C16" s="119" t="e">
        <f>C9*15/0.022*0.001/C10</f>
        <v>#VALUE!</v>
      </c>
      <c r="D16" s="109" t="s">
        <v>91</v>
      </c>
      <c r="E16" s="121"/>
      <c r="F16" s="122"/>
    </row>
    <row r="17" spans="1:6" ht="19" thickTop="1" thickBot="1">
      <c r="A17" s="85" t="s">
        <v>146</v>
      </c>
      <c r="B17" s="107" t="s">
        <v>242</v>
      </c>
      <c r="C17" s="119" t="e">
        <f>C9*4.4/0.022*0.001/C10</f>
        <v>#VALUE!</v>
      </c>
      <c r="D17" s="109" t="s">
        <v>91</v>
      </c>
      <c r="E17" s="121"/>
      <c r="F17" s="122"/>
    </row>
    <row r="18" spans="1:6" ht="19" thickTop="1" thickBot="1">
      <c r="A18" s="85" t="s">
        <v>146</v>
      </c>
      <c r="B18" s="107" t="s">
        <v>243</v>
      </c>
      <c r="C18" s="119" t="e">
        <f>C9*4.4/0.022*0.001/C10</f>
        <v>#VALUE!</v>
      </c>
      <c r="D18" s="109" t="s">
        <v>91</v>
      </c>
      <c r="E18" s="121"/>
      <c r="F18" s="122"/>
    </row>
    <row r="19" spans="1:6" ht="19" thickTop="1" thickBot="1">
      <c r="A19" s="85" t="s">
        <v>146</v>
      </c>
      <c r="B19" s="107" t="s">
        <v>244</v>
      </c>
      <c r="C19" s="119" t="e">
        <f>C9*6.8/0.022*0.001/C10</f>
        <v>#VALUE!</v>
      </c>
      <c r="D19" s="109" t="s">
        <v>91</v>
      </c>
      <c r="E19" s="121"/>
      <c r="F19" s="122"/>
    </row>
    <row r="20" spans="1:6" ht="19" thickTop="1" thickBot="1">
      <c r="A20" s="85" t="s">
        <v>146</v>
      </c>
      <c r="B20" s="107" t="s">
        <v>245</v>
      </c>
      <c r="C20" s="119" t="e">
        <f>C19</f>
        <v>#VALUE!</v>
      </c>
      <c r="D20" s="109" t="s">
        <v>91</v>
      </c>
      <c r="E20" s="121"/>
      <c r="F20" s="122"/>
    </row>
    <row r="21" spans="1:6" ht="19" thickTop="1" thickBot="1">
      <c r="A21" s="85" t="s">
        <v>146</v>
      </c>
      <c r="B21" s="107" t="s">
        <v>246</v>
      </c>
      <c r="C21" s="119" t="e">
        <f>C9*15/0.022*0.001/C10</f>
        <v>#VALUE!</v>
      </c>
      <c r="D21" s="109" t="s">
        <v>91</v>
      </c>
      <c r="E21" s="121"/>
      <c r="F21" s="122"/>
    </row>
    <row r="22" spans="1:6" ht="19" thickTop="1" thickBot="1">
      <c r="A22" s="85" t="s">
        <v>146</v>
      </c>
      <c r="B22" s="107" t="s">
        <v>247</v>
      </c>
      <c r="C22" s="119" t="e">
        <f>C21</f>
        <v>#VALUE!</v>
      </c>
      <c r="D22" s="109" t="s">
        <v>91</v>
      </c>
      <c r="E22" s="121"/>
      <c r="F22" s="122"/>
    </row>
    <row r="23" spans="1:6" ht="19" thickTop="1" thickBot="1">
      <c r="A23" s="85" t="s">
        <v>248</v>
      </c>
      <c r="B23" s="107" t="s">
        <v>249</v>
      </c>
      <c r="C23" s="119" t="e">
        <f>C9*400/1.37*0.001/C10</f>
        <v>#VALUE!</v>
      </c>
      <c r="D23" s="109" t="s">
        <v>91</v>
      </c>
      <c r="E23" s="121"/>
      <c r="F23" s="122"/>
    </row>
    <row r="24" spans="1:6" ht="19" thickTop="1" thickBot="1"/>
    <row r="25" spans="1:6" ht="19" thickTop="1" thickBot="1">
      <c r="A25" s="85" t="s">
        <v>146</v>
      </c>
      <c r="B25" s="107" t="s">
        <v>250</v>
      </c>
      <c r="C25" s="259" t="str">
        <f>IFERROR(IF(水稲食シナリオ!C24&lt;&gt;"",水稲食シナリオ!C24,IF(水稲食シナリオ!C13&lt;&gt;"",水稲食シナリオ!C13,"0")),"0")</f>
        <v>0</v>
      </c>
      <c r="D25" s="127" t="s">
        <v>94</v>
      </c>
      <c r="E25" s="121"/>
      <c r="F25" s="122"/>
    </row>
    <row r="26" spans="1:6" ht="19" thickTop="1" thickBot="1">
      <c r="A26" s="85" t="s">
        <v>146</v>
      </c>
      <c r="B26" s="107" t="s">
        <v>251</v>
      </c>
      <c r="C26" s="259" t="str">
        <f>IFERROR(IF(果実食シナリオ!C24&lt;&gt;"",果実食シナリオ!C24,IF(果実食シナリオ!C13&lt;&gt;"",果実食シナリオ!C13,"0")),"0")</f>
        <v>0</v>
      </c>
      <c r="D26" s="127" t="s">
        <v>94</v>
      </c>
      <c r="E26" s="121"/>
      <c r="F26" s="122"/>
    </row>
    <row r="27" spans="1:6" ht="19" thickTop="1" thickBot="1">
      <c r="A27" s="85" t="s">
        <v>146</v>
      </c>
      <c r="B27" s="107" t="s">
        <v>252</v>
      </c>
      <c r="C27" s="259" t="str">
        <f>IFERROR(IF('種子食シナリオ (直播水稲)'!C23&lt;&gt;"",'種子食シナリオ (直播水稲)'!C23,IF('種子食シナリオ (直播水稲)'!C13&lt;&gt;"",'種子食シナリオ (直播水稲)'!C13,"0")),"0")</f>
        <v>0</v>
      </c>
      <c r="D27" s="127" t="s">
        <v>94</v>
      </c>
      <c r="E27" s="121"/>
      <c r="F27" s="122"/>
    </row>
    <row r="28" spans="1:6" ht="19" thickTop="1" thickBot="1">
      <c r="A28" s="85" t="s">
        <v>146</v>
      </c>
      <c r="B28" s="107" t="s">
        <v>253</v>
      </c>
      <c r="C28" s="259" t="str">
        <f>IFERROR(IF('種子食シナリオ（豆類等）'!C23&lt;&gt;"",'種子食シナリオ（豆類等）'!C23,IF('種子食シナリオ（豆類等）'!C13&lt;&gt;"",'種子食シナリオ（豆類等）'!C13,"0")),"0")</f>
        <v>0</v>
      </c>
      <c r="D28" s="127" t="s">
        <v>94</v>
      </c>
      <c r="E28" s="121"/>
      <c r="F28" s="122"/>
    </row>
    <row r="29" spans="1:6" ht="19" thickTop="1" thickBot="1">
      <c r="A29" s="85" t="s">
        <v>146</v>
      </c>
      <c r="B29" s="107" t="s">
        <v>254</v>
      </c>
      <c r="C29" s="259" t="str">
        <f>IFERROR(IF(昆虫食シナリオ!C37&lt;&gt;"",昆虫食シナリオ!C37,IF(昆虫食シナリオ!C26&lt;&gt;"",昆虫食シナリオ!C26,IF(昆虫食シナリオ!C14&lt;&gt;"",昆虫食シナリオ!C14,"0"))),"0")</f>
        <v>0</v>
      </c>
      <c r="D29" s="127" t="s">
        <v>94</v>
      </c>
      <c r="E29" s="121"/>
      <c r="F29" s="122"/>
    </row>
    <row r="30" spans="1:6" ht="19" thickTop="1" thickBot="1">
      <c r="A30" s="85" t="s">
        <v>146</v>
      </c>
      <c r="B30" s="107" t="s">
        <v>255</v>
      </c>
      <c r="C30" s="259" t="str">
        <f>IFERROR(IF(昆虫食シナリオ!C38&lt;&gt;"",昆虫食シナリオ!C38,IF(昆虫食シナリオ!C27&lt;&gt;"",昆虫食シナリオ!C27,IF(昆虫食シナリオ!C15&lt;&gt;"",昆虫食シナリオ!C15,"0"))),"0")</f>
        <v>0</v>
      </c>
      <c r="D30" s="127" t="s">
        <v>94</v>
      </c>
      <c r="E30" s="121"/>
      <c r="F30" s="122"/>
    </row>
    <row r="31" spans="1:6" ht="19" thickTop="1" thickBot="1">
      <c r="A31" s="85" t="s">
        <v>146</v>
      </c>
      <c r="B31" s="107" t="s">
        <v>256</v>
      </c>
      <c r="C31" s="260">
        <f>IFERROR(IF(土壌無脊椎動物食シナリオ!Q44&lt;&gt;"",土壌無脊椎動物食シナリオ!Q44,IF(土壌無脊椎動物食シナリオ!Q25&lt;&gt;"",土壌無脊椎動物食シナリオ!Q25,"0")),"0")</f>
        <v>0</v>
      </c>
      <c r="D31" s="127" t="s">
        <v>94</v>
      </c>
      <c r="E31" s="121"/>
      <c r="F31" s="122"/>
    </row>
    <row r="32" spans="1:6" ht="19" thickTop="1" thickBot="1">
      <c r="A32" s="85" t="s">
        <v>146</v>
      </c>
      <c r="B32" s="107" t="s">
        <v>257</v>
      </c>
      <c r="C32" s="260">
        <f>IFERROR(IF(土壌無脊椎動物食シナリオ!Q45&lt;&gt;"",土壌無脊椎動物食シナリオ!Q45,IF(土壌無脊椎動物食シナリオ!Q26&lt;&gt;"",土壌無脊椎動物食シナリオ!Q26,"0")),"0")</f>
        <v>0</v>
      </c>
      <c r="D32" s="127" t="s">
        <v>94</v>
      </c>
      <c r="E32" s="121"/>
      <c r="F32" s="122"/>
    </row>
    <row r="33" spans="1:10" ht="19" thickTop="1" thickBot="1">
      <c r="A33" s="85" t="s">
        <v>248</v>
      </c>
      <c r="B33" s="107" t="s">
        <v>258</v>
      </c>
      <c r="C33" s="260">
        <f>IFERROR(IF(魚食シナリオ!C18&lt;&gt;"",魚食シナリオ!C18,IF(魚食シナリオ!C9&lt;&gt;"",魚食シナリオ!C9,"0")),"0")</f>
        <v>0</v>
      </c>
      <c r="D33" s="127" t="s">
        <v>94</v>
      </c>
      <c r="E33" s="121"/>
      <c r="F33" s="122"/>
    </row>
    <row r="34" spans="1:10" ht="19" thickTop="1" thickBot="1">
      <c r="A34" s="85" t="s">
        <v>248</v>
      </c>
      <c r="B34" s="107" t="s">
        <v>259</v>
      </c>
      <c r="C34" s="259" t="str">
        <f>IFERROR(IF(魚食シナリオ!C19&lt;&gt;"",魚食シナリオ!C19,IF(魚食シナリオ!C10&lt;&gt;"",魚食シナリオ!C10,"0")),"0")</f>
        <v>0</v>
      </c>
      <c r="D34" s="127" t="s">
        <v>94</v>
      </c>
      <c r="E34" s="121"/>
      <c r="F34" s="122"/>
    </row>
    <row r="35" spans="1:10" ht="19" thickTop="1" thickBot="1"/>
    <row r="36" spans="1:10" ht="19" thickTop="1" thickBot="1">
      <c r="A36" s="85" t="s">
        <v>146</v>
      </c>
      <c r="B36" s="107" t="s">
        <v>147</v>
      </c>
      <c r="C36" s="146"/>
      <c r="D36" s="109" t="s">
        <v>148</v>
      </c>
      <c r="E36" s="121"/>
      <c r="F36" s="122"/>
      <c r="H36" s="107" t="s">
        <v>260</v>
      </c>
      <c r="I36" s="261">
        <v>0.1</v>
      </c>
      <c r="J36" s="122" t="s">
        <v>148</v>
      </c>
    </row>
    <row r="37" spans="1:10" ht="19" thickTop="1" thickBot="1">
      <c r="A37" s="85" t="s">
        <v>146</v>
      </c>
      <c r="B37" s="107" t="s">
        <v>149</v>
      </c>
      <c r="C37" s="146"/>
      <c r="D37" s="109" t="s">
        <v>148</v>
      </c>
      <c r="E37" s="121"/>
      <c r="F37" s="122"/>
      <c r="H37" s="107" t="s">
        <v>261</v>
      </c>
      <c r="I37" s="261">
        <v>0.05</v>
      </c>
      <c r="J37" s="122" t="s">
        <v>148</v>
      </c>
    </row>
    <row r="38" spans="1:10" ht="19" thickTop="1" thickBot="1">
      <c r="A38" s="85" t="s">
        <v>146</v>
      </c>
      <c r="B38" s="107" t="s">
        <v>150</v>
      </c>
      <c r="C38" s="146"/>
      <c r="D38" s="109" t="s">
        <v>148</v>
      </c>
      <c r="E38" s="121"/>
      <c r="F38" s="122"/>
      <c r="H38" s="107" t="s">
        <v>262</v>
      </c>
      <c r="I38" s="261">
        <v>0.1</v>
      </c>
      <c r="J38" s="122" t="s">
        <v>148</v>
      </c>
    </row>
    <row r="39" spans="1:10" ht="19" thickTop="1" thickBot="1">
      <c r="A39" s="85" t="s">
        <v>146</v>
      </c>
      <c r="B39" s="107" t="s">
        <v>151</v>
      </c>
      <c r="C39" s="146"/>
      <c r="D39" s="109" t="s">
        <v>148</v>
      </c>
      <c r="E39" s="121"/>
      <c r="F39" s="122"/>
      <c r="H39" s="107" t="s">
        <v>263</v>
      </c>
      <c r="I39" s="261">
        <v>0.05</v>
      </c>
      <c r="J39" s="122" t="s">
        <v>148</v>
      </c>
    </row>
    <row r="40" spans="1:10" ht="19" thickTop="1" thickBot="1">
      <c r="A40" s="85" t="s">
        <v>146</v>
      </c>
      <c r="B40" s="107" t="s">
        <v>152</v>
      </c>
      <c r="C40" s="146"/>
      <c r="D40" s="109" t="s">
        <v>148</v>
      </c>
      <c r="E40" s="121"/>
      <c r="F40" s="122"/>
      <c r="H40" s="107" t="s">
        <v>264</v>
      </c>
      <c r="I40" s="262">
        <v>1.4E-2</v>
      </c>
      <c r="J40" s="122" t="s">
        <v>148</v>
      </c>
    </row>
    <row r="41" spans="1:10" ht="19" thickTop="1" thickBot="1">
      <c r="A41" s="85" t="s">
        <v>146</v>
      </c>
      <c r="B41" s="107" t="s">
        <v>265</v>
      </c>
      <c r="C41" s="146"/>
      <c r="D41" s="109" t="s">
        <v>148</v>
      </c>
      <c r="E41" s="121"/>
      <c r="F41" s="122"/>
      <c r="H41" s="107" t="s">
        <v>266</v>
      </c>
      <c r="I41" s="262">
        <v>1.0999999999999999E-2</v>
      </c>
      <c r="J41" s="122" t="s">
        <v>148</v>
      </c>
    </row>
    <row r="42" spans="1:10" ht="19" thickTop="1" thickBot="1">
      <c r="B42" s="107" t="s">
        <v>153</v>
      </c>
      <c r="C42" s="27" t="str">
        <f>IF(SUM(C36:C41)=1,1,"NG")</f>
        <v>NG</v>
      </c>
      <c r="D42" s="109" t="s">
        <v>148</v>
      </c>
      <c r="E42" s="121"/>
      <c r="F42" s="122"/>
      <c r="H42" s="107" t="s">
        <v>267</v>
      </c>
      <c r="I42" s="262">
        <v>1.4E-2</v>
      </c>
      <c r="J42" s="122" t="s">
        <v>148</v>
      </c>
    </row>
    <row r="43" spans="1:10" ht="19" thickTop="1" thickBot="1">
      <c r="C43" s="263"/>
      <c r="H43" s="107" t="s">
        <v>268</v>
      </c>
      <c r="I43" s="262">
        <v>1.0999999999999999E-2</v>
      </c>
      <c r="J43" s="122" t="s">
        <v>148</v>
      </c>
    </row>
    <row r="44" spans="1:10" ht="19" thickTop="1" thickBot="1">
      <c r="C44" s="263"/>
    </row>
    <row r="45" spans="1:10" ht="19" thickTop="1" thickBot="1">
      <c r="A45" s="85" t="s">
        <v>248</v>
      </c>
      <c r="B45" s="107" t="s">
        <v>269</v>
      </c>
      <c r="C45" s="146"/>
      <c r="D45" s="109" t="s">
        <v>148</v>
      </c>
      <c r="E45" s="121"/>
      <c r="F45" s="122"/>
      <c r="H45" s="107" t="s">
        <v>270</v>
      </c>
      <c r="I45" s="261">
        <v>0.1</v>
      </c>
      <c r="J45" s="122" t="s">
        <v>148</v>
      </c>
    </row>
    <row r="46" spans="1:10" ht="19" thickTop="1" thickBot="1">
      <c r="A46" s="85" t="s">
        <v>248</v>
      </c>
      <c r="B46" s="107" t="s">
        <v>271</v>
      </c>
      <c r="C46" s="146"/>
      <c r="D46" s="109" t="s">
        <v>148</v>
      </c>
      <c r="E46" s="121"/>
      <c r="F46" s="122"/>
      <c r="H46" s="107" t="s">
        <v>272</v>
      </c>
      <c r="I46" s="261">
        <v>1</v>
      </c>
      <c r="J46" s="122" t="s">
        <v>148</v>
      </c>
    </row>
    <row r="47" spans="1:10" ht="19" thickTop="1" thickBot="1">
      <c r="B47" s="107" t="s">
        <v>153</v>
      </c>
      <c r="C47" s="27" t="str">
        <f>IF(AND(OR(C45=1,C46=1),SUM(C45+C46=1)),1,"NG")</f>
        <v>NG</v>
      </c>
      <c r="D47" s="109" t="s">
        <v>148</v>
      </c>
      <c r="E47" s="121"/>
      <c r="F47" s="122"/>
    </row>
    <row r="48" spans="1:10" ht="18.5" thickTop="1">
      <c r="C48" s="264" t="s">
        <v>273</v>
      </c>
    </row>
    <row r="50" spans="1:8" ht="18.5" thickBot="1"/>
    <row r="51" spans="1:8" ht="19" thickTop="1" thickBot="1">
      <c r="A51" s="85" t="s">
        <v>146</v>
      </c>
      <c r="B51" s="107" t="s">
        <v>274</v>
      </c>
      <c r="C51" s="134" t="e">
        <f>SUM(C15*C25*C36*I36,C16*C26*C37*I37,C17*C27*C38*I38,C18*C28*C39*I39,SUM(C19*C29*I40,C20*C30*I41)*C40,SUM(C21*C31*I42,C22*C32*I43)*C41)</f>
        <v>#VALUE!</v>
      </c>
      <c r="D51" s="127" t="s">
        <v>94</v>
      </c>
      <c r="E51" s="121"/>
      <c r="F51" s="122"/>
    </row>
    <row r="52" spans="1:8" ht="19" thickTop="1" thickBot="1">
      <c r="A52" s="85" t="s">
        <v>248</v>
      </c>
      <c r="B52" s="107" t="s">
        <v>275</v>
      </c>
      <c r="C52" s="124" t="e">
        <f>C23*C33*C45*I45+C23*C34*C46*I46</f>
        <v>#VALUE!</v>
      </c>
      <c r="D52" s="121" t="s">
        <v>94</v>
      </c>
      <c r="E52" s="121"/>
      <c r="F52" s="122"/>
    </row>
    <row r="53" spans="1:8" ht="19" thickTop="1" thickBot="1"/>
    <row r="54" spans="1:8" ht="19" thickTop="1" thickBot="1">
      <c r="B54" s="107" t="s">
        <v>276</v>
      </c>
      <c r="C54" s="130" t="e">
        <f>MAX(137.5/0.686*C51*0.001,137.5/0.686*C52*0.001)</f>
        <v>#VALUE!</v>
      </c>
      <c r="D54" s="121" t="s">
        <v>17</v>
      </c>
      <c r="E54" s="121"/>
      <c r="F54" s="122"/>
      <c r="H54" s="32" t="s">
        <v>277</v>
      </c>
    </row>
    <row r="55" spans="1:8" ht="18.5" thickTop="1"/>
  </sheetData>
  <sheetProtection algorithmName="SHA-512" hashValue="EnH5Y6bVS60uyUhgeiGe9ZxPAZjeUwXmJChDreU5mFukVp4Hz0cT9C0jKGoB+6Y8YfeDl8uHLg+7emRrsprbqA==" saltValue="EMrn3H/ejyZ1Ds1LXGLlsQ==" spinCount="100000" sheet="1" objects="1" scenarios="1"/>
  <mergeCells count="1">
    <mergeCell ref="E4:F4"/>
  </mergeCells>
  <phoneticPr fontId="3"/>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P41"/>
  <sheetViews>
    <sheetView zoomScale="145" zoomScaleNormal="145" workbookViewId="0">
      <selection activeCell="E10" sqref="E10"/>
    </sheetView>
  </sheetViews>
  <sheetFormatPr defaultColWidth="9" defaultRowHeight="18" outlineLevelRow="1"/>
  <cols>
    <col min="1" max="1" width="9" style="3"/>
    <col min="2" max="2" width="22.453125" style="3" customWidth="1"/>
    <col min="3" max="3" width="19.453125" style="3" customWidth="1"/>
    <col min="4" max="4" width="12.7265625" style="3" customWidth="1"/>
    <col min="5" max="5" width="21.453125" style="3" customWidth="1"/>
    <col min="6" max="6" width="19.453125" style="3" customWidth="1"/>
    <col min="7" max="7" width="12.7265625" style="3" customWidth="1"/>
    <col min="8" max="8" width="21.453125" style="3" customWidth="1"/>
    <col min="9" max="16384" width="9" style="3"/>
  </cols>
  <sheetData>
    <row r="1" spans="1:16" ht="22.5">
      <c r="A1" s="43" t="s">
        <v>0</v>
      </c>
      <c r="F1" s="62"/>
      <c r="M1"/>
      <c r="N1"/>
      <c r="O1"/>
      <c r="P1"/>
    </row>
    <row r="2" spans="1:16">
      <c r="M2"/>
    </row>
    <row r="3" spans="1:16">
      <c r="B3" s="29" t="s">
        <v>1</v>
      </c>
      <c r="C3" s="60"/>
      <c r="D3" s="30" t="s">
        <v>2</v>
      </c>
      <c r="F3" s="8"/>
      <c r="G3" s="7" t="s">
        <v>3</v>
      </c>
      <c r="M3"/>
    </row>
    <row r="4" spans="1:16">
      <c r="B4" s="29" t="s">
        <v>4</v>
      </c>
      <c r="C4" s="61"/>
      <c r="D4" s="30"/>
      <c r="F4" s="9"/>
      <c r="G4" s="7" t="s">
        <v>5</v>
      </c>
      <c r="M4"/>
    </row>
    <row r="5" spans="1:16" hidden="1" outlineLevel="1">
      <c r="B5" s="36" t="s">
        <v>6</v>
      </c>
      <c r="C5" s="37">
        <f>10^C4</f>
        <v>1</v>
      </c>
      <c r="D5" s="36"/>
      <c r="M5"/>
    </row>
    <row r="6" spans="1:16" collapsed="1">
      <c r="M6"/>
    </row>
    <row r="7" spans="1:16">
      <c r="B7" s="4" t="s">
        <v>7</v>
      </c>
      <c r="C7" s="44" t="str">
        <f>IF($C$3&gt;=1000,"要",IF(AND(C3="",LOG10($C$5)&gt;=3.5),"要","不要"))</f>
        <v>不要</v>
      </c>
      <c r="D7" s="32"/>
      <c r="M7"/>
    </row>
    <row r="8" spans="1:16" hidden="1" outlineLevel="1">
      <c r="C8" s="37">
        <f>IF(C7="要",1,IF(C7="不要",0))</f>
        <v>0</v>
      </c>
      <c r="M8"/>
    </row>
    <row r="9" spans="1:16" collapsed="1">
      <c r="M9"/>
    </row>
    <row r="10" spans="1:16" ht="30" customHeight="1">
      <c r="A10" s="43" t="s">
        <v>8</v>
      </c>
      <c r="M10"/>
      <c r="N10"/>
      <c r="O10"/>
      <c r="P10"/>
    </row>
    <row r="11" spans="1:16" ht="18.75" customHeight="1">
      <c r="A11" s="2"/>
      <c r="M11"/>
    </row>
    <row r="12" spans="1:16" ht="18.75" customHeight="1">
      <c r="B12" s="269" t="s">
        <v>9</v>
      </c>
      <c r="C12" s="269" t="s">
        <v>10</v>
      </c>
      <c r="D12" s="269"/>
      <c r="E12" s="269"/>
      <c r="F12" s="269" t="s">
        <v>11</v>
      </c>
      <c r="G12" s="269"/>
      <c r="H12" s="269"/>
      <c r="M12"/>
      <c r="N12"/>
      <c r="O12"/>
      <c r="P12"/>
    </row>
    <row r="13" spans="1:16" ht="18.75" customHeight="1" thickBot="1">
      <c r="B13" s="270"/>
      <c r="C13" s="42" t="s">
        <v>12</v>
      </c>
      <c r="D13" s="42" t="s">
        <v>13</v>
      </c>
      <c r="E13" s="42" t="s">
        <v>14</v>
      </c>
      <c r="F13" s="42" t="s">
        <v>12</v>
      </c>
      <c r="G13" s="42" t="s">
        <v>13</v>
      </c>
      <c r="H13" s="42" t="s">
        <v>14</v>
      </c>
    </row>
    <row r="14" spans="1:16" ht="18.75" customHeight="1" thickTop="1">
      <c r="B14" s="38" t="s">
        <v>15</v>
      </c>
      <c r="C14" s="51" t="s">
        <v>16</v>
      </c>
      <c r="D14" s="52" t="str">
        <f>IF(水稲食シナリオ!C15="","-",水稲食シナリオ!C15)</f>
        <v>-</v>
      </c>
      <c r="E14" s="53" t="s">
        <v>17</v>
      </c>
      <c r="F14" s="38" t="s">
        <v>16</v>
      </c>
      <c r="G14" s="41" t="str">
        <f>IF(E32="二次評価要",水稲食シナリオ!C26,"-")</f>
        <v>-</v>
      </c>
      <c r="H14" s="40" t="s">
        <v>17</v>
      </c>
    </row>
    <row r="15" spans="1:16" ht="18.75" customHeight="1">
      <c r="B15" s="4" t="s">
        <v>18</v>
      </c>
      <c r="C15" s="4" t="s">
        <v>16</v>
      </c>
      <c r="D15" s="31" t="str">
        <f>IF(果実食シナリオ!C15="","-",果実食シナリオ!C15)</f>
        <v>-</v>
      </c>
      <c r="E15" s="54" t="s">
        <v>17</v>
      </c>
      <c r="F15" s="4" t="s">
        <v>16</v>
      </c>
      <c r="G15" s="28" t="str">
        <f>IF(E33="二次評価要",果実食シナリオ!C26,"-")</f>
        <v>-</v>
      </c>
      <c r="H15" s="1" t="s">
        <v>17</v>
      </c>
    </row>
    <row r="16" spans="1:16" ht="18.75" customHeight="1">
      <c r="B16" s="4" t="s">
        <v>19</v>
      </c>
      <c r="C16" s="4" t="s">
        <v>16</v>
      </c>
      <c r="D16" s="31" t="str">
        <f>IF(AND('種子食シナリオ (直播水稲)'!C15="",'種子食シナリオ（豆類等）'!C15=""),"-",MAX('種子食シナリオ (直播水稲)'!C15,'種子食シナリオ（豆類等）'!C15))</f>
        <v>-</v>
      </c>
      <c r="E16" s="54" t="s">
        <v>17</v>
      </c>
      <c r="F16" s="4" t="s">
        <v>16</v>
      </c>
      <c r="G16" s="28" t="str">
        <f>IF(E34="二次評価要",MAX('種子食シナリオ (直播水稲)'!C25,'種子食シナリオ（豆類等）'!C25),"-")</f>
        <v>-</v>
      </c>
      <c r="H16" s="1" t="s">
        <v>17</v>
      </c>
    </row>
    <row r="17" spans="1:8" ht="18.75" customHeight="1">
      <c r="B17" s="4" t="s">
        <v>20</v>
      </c>
      <c r="C17" s="4" t="s">
        <v>16</v>
      </c>
      <c r="D17" s="31" t="str">
        <f>IF(昆虫食シナリオ!C17="","-",昆虫食シナリオ!C17)</f>
        <v>-</v>
      </c>
      <c r="E17" s="54" t="s">
        <v>17</v>
      </c>
      <c r="F17" s="4" t="s">
        <v>16</v>
      </c>
      <c r="G17" s="28" t="str">
        <f>IF(E35="二次評価要",MAX(昆虫食シナリオ!C29,昆虫食シナリオ!C40),"-")</f>
        <v>-</v>
      </c>
      <c r="H17" s="1" t="s">
        <v>17</v>
      </c>
    </row>
    <row r="18" spans="1:8" ht="18.75" customHeight="1">
      <c r="B18" s="4" t="s">
        <v>21</v>
      </c>
      <c r="C18" s="266"/>
      <c r="D18" s="267"/>
      <c r="E18" s="268"/>
      <c r="F18" s="4" t="s">
        <v>16</v>
      </c>
      <c r="G18" s="28" t="str">
        <f>IF(混合食シナリオ!C25=0,"-",混合食シナリオ!C25)</f>
        <v>-</v>
      </c>
      <c r="H18" s="1" t="s">
        <v>17</v>
      </c>
    </row>
    <row r="19" spans="1:8" ht="18.75" customHeight="1">
      <c r="B19" s="4" t="s">
        <v>22</v>
      </c>
      <c r="C19" s="4" t="s">
        <v>16</v>
      </c>
      <c r="D19" s="31" t="str">
        <f>IF('田面水シナリオ '!C10="","-",'田面水シナリオ '!C10)</f>
        <v>-</v>
      </c>
      <c r="E19" s="54" t="s">
        <v>17</v>
      </c>
      <c r="F19" s="4" t="s">
        <v>16</v>
      </c>
      <c r="G19" s="28" t="str">
        <f>IF(E37="二次評価要",'田面水シナリオ '!C16,"-")</f>
        <v>-</v>
      </c>
      <c r="H19" s="1" t="s">
        <v>17</v>
      </c>
    </row>
    <row r="20" spans="1:8" ht="18.75" customHeight="1">
      <c r="B20" s="4" t="s">
        <v>23</v>
      </c>
      <c r="C20" s="4" t="s">
        <v>16</v>
      </c>
      <c r="D20" s="31" t="str">
        <f>IF(C8=1,魚食シナリオ!C11,"-")</f>
        <v>-</v>
      </c>
      <c r="E20" s="54" t="s">
        <v>17</v>
      </c>
      <c r="F20" s="4" t="s">
        <v>16</v>
      </c>
      <c r="G20" s="28" t="str">
        <f>IF(C8=1,IF(E38="二次評価要",魚食シナリオ!C21,"-"),"-")</f>
        <v>-</v>
      </c>
      <c r="H20" s="1" t="s">
        <v>17</v>
      </c>
    </row>
    <row r="21" spans="1:8" ht="18.75" customHeight="1">
      <c r="B21" s="4" t="s">
        <v>24</v>
      </c>
      <c r="C21" s="4" t="s">
        <v>16</v>
      </c>
      <c r="D21" s="31" t="str">
        <f>IF(C8=1,魚食シナリオ!C12,"-")</f>
        <v>-</v>
      </c>
      <c r="E21" s="54" t="s">
        <v>17</v>
      </c>
      <c r="F21" s="4" t="s">
        <v>16</v>
      </c>
      <c r="G21" s="28" t="str">
        <f>IF(C8=1,IF(E39="二次評価要",魚食シナリオ!C22,"-"),"-")</f>
        <v>-</v>
      </c>
      <c r="H21" s="1" t="s">
        <v>17</v>
      </c>
    </row>
    <row r="22" spans="1:8" ht="18.75" customHeight="1">
      <c r="B22" s="4" t="s">
        <v>25</v>
      </c>
      <c r="C22" s="4" t="s">
        <v>16</v>
      </c>
      <c r="D22" s="31" t="str">
        <f>IF(C8=1,土壌無脊椎動物食シナリオ!C29,"-")</f>
        <v>-</v>
      </c>
      <c r="E22" s="54" t="s">
        <v>17</v>
      </c>
      <c r="F22" s="4" t="s">
        <v>16</v>
      </c>
      <c r="G22" s="28" t="str">
        <f>IF(C8=1,IF(E40="二次評価要",土壌無脊椎動物食シナリオ!C48,"-"),"-")</f>
        <v>-</v>
      </c>
      <c r="H22" s="1" t="s">
        <v>17</v>
      </c>
    </row>
    <row r="23" spans="1:8" ht="18.75" customHeight="1">
      <c r="B23" s="4" t="s">
        <v>26</v>
      </c>
      <c r="C23" s="38" t="s">
        <v>27</v>
      </c>
      <c r="D23" s="39" t="str">
        <f>IF(C8=1,鳥類食シナリオ!C12,"-")</f>
        <v>-</v>
      </c>
      <c r="E23" s="40" t="s">
        <v>28</v>
      </c>
      <c r="F23" s="4" t="s">
        <v>16</v>
      </c>
      <c r="G23" s="28" t="str">
        <f>IF(C8=1,IF(E41="二次評価要",鳥類食シナリオ!C54,"-"),"-")</f>
        <v>-</v>
      </c>
      <c r="H23" s="1" t="s">
        <v>17</v>
      </c>
    </row>
    <row r="24" spans="1:8" ht="18.75" customHeight="1"/>
    <row r="25" spans="1:8" ht="30" customHeight="1">
      <c r="A25" s="43" t="s">
        <v>29</v>
      </c>
    </row>
    <row r="26" spans="1:8" ht="18.75" customHeight="1"/>
    <row r="27" spans="1:8" ht="18.75" customHeight="1">
      <c r="B27" s="4" t="s">
        <v>30</v>
      </c>
      <c r="C27" s="4" t="e">
        <f>鳥類基準値算定!C30</f>
        <v>#VALUE!</v>
      </c>
      <c r="D27" s="5" t="s">
        <v>17</v>
      </c>
    </row>
    <row r="28" spans="1:8" ht="18.75" customHeight="1">
      <c r="F28" s="6"/>
    </row>
    <row r="29" spans="1:8" ht="30" customHeight="1">
      <c r="A29" s="43" t="s">
        <v>31</v>
      </c>
      <c r="H29" s="32" t="s">
        <v>32</v>
      </c>
    </row>
    <row r="30" spans="1:8" ht="18.75" customHeight="1">
      <c r="B30" s="269" t="s">
        <v>9</v>
      </c>
      <c r="C30" s="269" t="s">
        <v>10</v>
      </c>
      <c r="D30" s="269"/>
      <c r="E30" s="269"/>
      <c r="F30" s="269" t="s">
        <v>11</v>
      </c>
      <c r="G30" s="269"/>
      <c r="H30" s="269"/>
    </row>
    <row r="31" spans="1:8" ht="18.75" customHeight="1" thickBot="1">
      <c r="B31" s="270"/>
      <c r="C31" s="42" t="s">
        <v>12</v>
      </c>
      <c r="D31" s="42" t="s">
        <v>13</v>
      </c>
      <c r="E31" s="42" t="s">
        <v>33</v>
      </c>
      <c r="F31" s="42" t="s">
        <v>12</v>
      </c>
      <c r="G31" s="42" t="s">
        <v>13</v>
      </c>
      <c r="H31" s="42" t="s">
        <v>33</v>
      </c>
    </row>
    <row r="32" spans="1:8" ht="18.75" customHeight="1" thickTop="1">
      <c r="B32" s="38" t="s">
        <v>15</v>
      </c>
      <c r="C32" s="38" t="s">
        <v>34</v>
      </c>
      <c r="D32" s="41" t="str">
        <f>IFERROR(IF(D14="-","-",$C$27/D14),"-")</f>
        <v>-</v>
      </c>
      <c r="E32" s="40" t="str">
        <f>IF(水稲食シナリオ!E5="","評価対象外",IF(D32&lt;1,"二次評価要","リスク懸念なし"))</f>
        <v>評価対象外</v>
      </c>
      <c r="F32" s="38" t="s">
        <v>34</v>
      </c>
      <c r="G32" s="38" t="str">
        <f t="shared" ref="G32:G41" si="0">IF(E32="二次評価要",$C$27/G14,"-")</f>
        <v>-</v>
      </c>
      <c r="H32" s="40" t="str">
        <f>IF(E32="二次評価要",IF(G32&lt;1,"リスク懸念あり","リスク懸念なし"),"-")</f>
        <v>-</v>
      </c>
    </row>
    <row r="33" spans="2:8" ht="18.75" customHeight="1">
      <c r="B33" s="4" t="s">
        <v>18</v>
      </c>
      <c r="C33" s="4" t="s">
        <v>34</v>
      </c>
      <c r="D33" s="28" t="str">
        <f>IFERROR(IF(D15="-","-",$C$27/D15),"-")</f>
        <v>-</v>
      </c>
      <c r="E33" s="1" t="str">
        <f>IF(果実食シナリオ!E5="","評価対象外",IF(D33&lt;1,"二次評価要","リスク懸念なし"))</f>
        <v>評価対象外</v>
      </c>
      <c r="F33" s="4" t="s">
        <v>34</v>
      </c>
      <c r="G33" s="4" t="str">
        <f t="shared" si="0"/>
        <v>-</v>
      </c>
      <c r="H33" s="1" t="str">
        <f t="shared" ref="H33:H40" si="1">IF(E33="二次評価要",IF(G33&lt;1,"リスク懸念あり","リスク懸念なし"),"-")</f>
        <v>-</v>
      </c>
    </row>
    <row r="34" spans="2:8" ht="18.75" customHeight="1">
      <c r="B34" s="4" t="s">
        <v>19</v>
      </c>
      <c r="C34" s="4" t="s">
        <v>34</v>
      </c>
      <c r="D34" s="28" t="str">
        <f>IFERROR(IF(D16="-","-",$C$27/D16),"-")</f>
        <v>-</v>
      </c>
      <c r="E34" s="1" t="str">
        <f>IF(AND('種子食シナリオ (直播水稲)'!E5="",'種子食シナリオ（豆類等）'!E5=""),"評価対象外",IF(D34&lt;1,"二次評価要","リスク懸念なし"))</f>
        <v>評価対象外</v>
      </c>
      <c r="F34" s="4" t="s">
        <v>34</v>
      </c>
      <c r="G34" s="50" t="str">
        <f t="shared" si="0"/>
        <v>-</v>
      </c>
      <c r="H34" s="1" t="str">
        <f t="shared" si="1"/>
        <v>-</v>
      </c>
    </row>
    <row r="35" spans="2:8" ht="18.75" customHeight="1">
      <c r="B35" s="4" t="s">
        <v>20</v>
      </c>
      <c r="C35" s="4" t="s">
        <v>34</v>
      </c>
      <c r="D35" s="28" t="str">
        <f>IFERROR(IF(D17="-","-",$C$27/D17),"-")</f>
        <v>-</v>
      </c>
      <c r="E35" s="1" t="str">
        <f>IF(AND(昆虫食シナリオ!E5="",昆虫食シナリオ!E6=""),"評価対象外",IF(D35&lt;1,"二次評価要","リスク懸念なし"))</f>
        <v>評価対象外</v>
      </c>
      <c r="F35" s="4" t="s">
        <v>34</v>
      </c>
      <c r="G35" s="4" t="str">
        <f t="shared" si="0"/>
        <v>-</v>
      </c>
      <c r="H35" s="1" t="str">
        <f t="shared" si="1"/>
        <v>-</v>
      </c>
    </row>
    <row r="36" spans="2:8" ht="18.75" customHeight="1">
      <c r="B36" s="4" t="s">
        <v>35</v>
      </c>
      <c r="C36" s="266"/>
      <c r="D36" s="267"/>
      <c r="E36" s="268"/>
      <c r="F36" s="4" t="s">
        <v>34</v>
      </c>
      <c r="G36" s="50" t="str">
        <f>IF(G18="-","-",$C$27/G18)</f>
        <v>-</v>
      </c>
      <c r="H36" s="1" t="str">
        <f>IF(G18="-", "",IF(G36&lt;1,"リスク懸念あり","リスク懸念なし"))</f>
        <v/>
      </c>
    </row>
    <row r="37" spans="2:8" ht="18.75" customHeight="1">
      <c r="B37" s="4" t="s">
        <v>22</v>
      </c>
      <c r="C37" s="4" t="s">
        <v>34</v>
      </c>
      <c r="D37" s="28" t="str">
        <f>IFERROR(IF(D19="-","-",$C$27/D19),"-")</f>
        <v>-</v>
      </c>
      <c r="E37" s="1" t="str">
        <f>IF('田面水シナリオ '!E5="","評価対象外",IF(D37&lt;1,"二次評価要","リスク懸念なし"))</f>
        <v>評価対象外</v>
      </c>
      <c r="F37" s="4" t="s">
        <v>34</v>
      </c>
      <c r="G37" s="4" t="str">
        <f t="shared" si="0"/>
        <v>-</v>
      </c>
      <c r="H37" s="1" t="str">
        <f t="shared" si="1"/>
        <v>-</v>
      </c>
    </row>
    <row r="38" spans="2:8" ht="18.75" customHeight="1">
      <c r="B38" s="4" t="s">
        <v>23</v>
      </c>
      <c r="C38" s="4" t="s">
        <v>34</v>
      </c>
      <c r="D38" s="28" t="str">
        <f>IFERROR(IF(D20="-","-",$C$27/D20),"-")</f>
        <v>-</v>
      </c>
      <c r="E38" s="57" t="str">
        <f>IF(D38="-","評価対象外",IF(D38&lt;1,"二次評価要","リスク懸念なし"))</f>
        <v>評価対象外</v>
      </c>
      <c r="F38" s="4" t="s">
        <v>34</v>
      </c>
      <c r="G38" s="50" t="str">
        <f t="shared" si="0"/>
        <v>-</v>
      </c>
      <c r="H38" s="1" t="str">
        <f t="shared" si="1"/>
        <v>-</v>
      </c>
    </row>
    <row r="39" spans="2:8" ht="18.75" customHeight="1">
      <c r="B39" s="4" t="s">
        <v>24</v>
      </c>
      <c r="C39" s="4" t="s">
        <v>34</v>
      </c>
      <c r="D39" s="28" t="str">
        <f>IFERROR(IF(D21="-","-",$C$27/D21),"-")</f>
        <v>-</v>
      </c>
      <c r="E39" s="1" t="str">
        <f>IF(D39="-","評価対象外",IF(D39&lt;1,"二次評価要","リスク懸念なし"))</f>
        <v>評価対象外</v>
      </c>
      <c r="F39" s="4" t="s">
        <v>34</v>
      </c>
      <c r="G39" s="50" t="str">
        <f t="shared" si="0"/>
        <v>-</v>
      </c>
      <c r="H39" s="1" t="str">
        <f t="shared" si="1"/>
        <v>-</v>
      </c>
    </row>
    <row r="40" spans="2:8">
      <c r="B40" s="4" t="s">
        <v>25</v>
      </c>
      <c r="C40" s="4" t="s">
        <v>34</v>
      </c>
      <c r="D40" s="28" t="str">
        <f>IFERROR(IF(D22="-","-",$C$27/D22),"-")</f>
        <v>-</v>
      </c>
      <c r="E40" s="1" t="str">
        <f>IF(D40="-","評価対象外",IF(D40&lt;1,"二次評価要","リスク懸念なし"))</f>
        <v>評価対象外</v>
      </c>
      <c r="F40" s="4" t="s">
        <v>34</v>
      </c>
      <c r="G40" s="4" t="str">
        <f t="shared" si="0"/>
        <v>-</v>
      </c>
      <c r="H40" s="1" t="str">
        <f t="shared" si="1"/>
        <v>-</v>
      </c>
    </row>
    <row r="41" spans="2:8">
      <c r="B41" s="4" t="s">
        <v>26</v>
      </c>
      <c r="C41" s="4" t="s">
        <v>27</v>
      </c>
      <c r="D41" s="28" t="str">
        <f>IF(D23="-","-",D23)</f>
        <v>-</v>
      </c>
      <c r="E41" s="1" t="str">
        <f>IF(D41="-","評価対象外",IF(D41&gt;1,"二次評価要","リスク懸念なし"))</f>
        <v>評価対象外</v>
      </c>
      <c r="F41" s="4" t="s">
        <v>34</v>
      </c>
      <c r="G41" s="4" t="str">
        <f t="shared" si="0"/>
        <v>-</v>
      </c>
      <c r="H41" s="1" t="str">
        <f>IF(E41="二次評価要",IF(G41&lt;1,"リスク懸念あり","リスク懸念なし"),"-")</f>
        <v>-</v>
      </c>
    </row>
  </sheetData>
  <sheetProtection algorithmName="SHA-512" hashValue="gzFPo8XogpzVrAe9XpYf/CQ06/HgNQ5zQIBHrCwvtVxCQqZPaDC9BWrultG39H3GcbHY62lD5r4mQ/8vv706bw==" saltValue="wEtwDPdWdI3VKrMEIgYtoQ==" spinCount="100000" sheet="1" objects="1" scenarios="1"/>
  <mergeCells count="8">
    <mergeCell ref="C36:E36"/>
    <mergeCell ref="C12:E12"/>
    <mergeCell ref="F12:H12"/>
    <mergeCell ref="B12:B13"/>
    <mergeCell ref="B30:B31"/>
    <mergeCell ref="C30:E30"/>
    <mergeCell ref="F30:H30"/>
    <mergeCell ref="C18:E18"/>
  </mergeCells>
  <phoneticPr fontId="3"/>
  <conditionalFormatting sqref="B20:H23">
    <cfRule type="expression" dxfId="12" priority="2">
      <formula>$C$8=0</formula>
    </cfRule>
  </conditionalFormatting>
  <conditionalFormatting sqref="B38:H41">
    <cfRule type="expression" dxfId="11" priority="1">
      <formula>$C$8=0</formula>
    </cfRule>
  </conditionalFormatting>
  <conditionalFormatting sqref="C7">
    <cfRule type="cellIs" dxfId="10" priority="3" operator="equal">
      <formula>"不要"</formula>
    </cfRule>
    <cfRule type="cellIs" dxfId="9" priority="4" operator="equal">
      <formula>"要"</formula>
    </cfRule>
  </conditionalFormatting>
  <conditionalFormatting sqref="H32:H41">
    <cfRule type="containsText" dxfId="8" priority="5" operator="containsText" text="リスク懸念あり">
      <formula>NOT(ISERROR(SEARCH("リスク懸念あり",H32)))</formula>
    </cfRule>
  </conditionalFormatting>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N31"/>
  <sheetViews>
    <sheetView zoomScale="115" zoomScaleNormal="115" workbookViewId="0">
      <selection activeCell="B1" sqref="B1"/>
    </sheetView>
  </sheetViews>
  <sheetFormatPr defaultColWidth="9" defaultRowHeight="18"/>
  <cols>
    <col min="1" max="1" width="3.54296875" style="65" customWidth="1"/>
    <col min="2" max="2" width="22.54296875" style="65" customWidth="1"/>
    <col min="3" max="3" width="13.1796875" style="65" customWidth="1"/>
    <col min="4" max="4" width="9" style="65"/>
    <col min="5" max="5" width="13.1796875" style="65" customWidth="1"/>
    <col min="6" max="6" width="8.453125" style="65" customWidth="1"/>
    <col min="7" max="7" width="15.453125" style="65" customWidth="1"/>
    <col min="8" max="9" width="11.1796875" style="65" customWidth="1"/>
    <col min="10" max="10" width="8.81640625" style="65" customWidth="1"/>
    <col min="11" max="11" width="9" style="65"/>
    <col min="12" max="12" width="12.54296875" style="65" customWidth="1"/>
    <col min="13" max="16" width="9" style="65"/>
    <col min="17" max="17" width="10.54296875" style="65" customWidth="1"/>
    <col min="18" max="16384" width="9" style="65"/>
  </cols>
  <sheetData>
    <row r="1" spans="1:14" ht="22.5">
      <c r="A1" s="63"/>
      <c r="B1" s="64" t="s">
        <v>36</v>
      </c>
      <c r="C1" s="63"/>
      <c r="D1" s="63"/>
      <c r="E1" s="63"/>
      <c r="F1" s="63"/>
      <c r="G1" s="63"/>
      <c r="H1" s="63"/>
      <c r="I1" s="63"/>
      <c r="J1" s="63"/>
      <c r="K1" s="63"/>
      <c r="L1" s="63"/>
      <c r="M1" s="63"/>
    </row>
    <row r="2" spans="1:14">
      <c r="A2" s="63"/>
      <c r="B2" s="63"/>
      <c r="C2" s="63"/>
      <c r="D2" s="63"/>
      <c r="E2" s="63"/>
      <c r="F2" s="63"/>
      <c r="G2" s="63"/>
      <c r="H2" s="63"/>
      <c r="I2" s="63"/>
      <c r="J2" s="63"/>
      <c r="K2" s="63"/>
      <c r="L2" s="63"/>
      <c r="M2" s="63"/>
    </row>
    <row r="3" spans="1:14">
      <c r="A3" s="66" t="s">
        <v>37</v>
      </c>
      <c r="B3" s="63"/>
      <c r="G3" s="67"/>
      <c r="H3" s="63"/>
      <c r="I3" s="63"/>
      <c r="J3" s="68"/>
      <c r="K3" s="63" t="s">
        <v>3</v>
      </c>
      <c r="M3" s="63"/>
    </row>
    <row r="4" spans="1:14">
      <c r="A4" s="63"/>
      <c r="B4" s="63"/>
      <c r="C4" s="271"/>
      <c r="D4" s="272"/>
      <c r="E4" s="272"/>
      <c r="F4" s="273"/>
      <c r="G4" s="67"/>
      <c r="H4" s="67"/>
      <c r="I4" s="67"/>
      <c r="J4" s="69"/>
      <c r="K4" s="63" t="s">
        <v>5</v>
      </c>
      <c r="M4" s="63"/>
    </row>
    <row r="5" spans="1:14">
      <c r="A5" s="63"/>
      <c r="B5" s="63"/>
      <c r="C5" s="63"/>
      <c r="D5" s="63"/>
      <c r="E5" s="63"/>
      <c r="F5" s="63"/>
      <c r="G5" s="63"/>
      <c r="H5" s="63"/>
      <c r="I5" s="63"/>
      <c r="J5" s="70"/>
      <c r="K5" s="63" t="s">
        <v>38</v>
      </c>
      <c r="M5" s="63"/>
    </row>
    <row r="6" spans="1:14">
      <c r="A6" s="66" t="s">
        <v>39</v>
      </c>
      <c r="B6" s="66"/>
      <c r="C6" s="63"/>
      <c r="D6" s="63"/>
      <c r="E6" s="63"/>
      <c r="F6" s="63"/>
      <c r="G6" s="63"/>
      <c r="J6" s="63"/>
      <c r="K6" s="63"/>
      <c r="L6" s="63"/>
      <c r="M6" s="63"/>
    </row>
    <row r="7" spans="1:14">
      <c r="A7" s="63"/>
      <c r="B7" s="71" t="s">
        <v>40</v>
      </c>
      <c r="C7" s="72" t="s">
        <v>41</v>
      </c>
      <c r="D7" s="73"/>
      <c r="E7" s="72" t="s">
        <v>42</v>
      </c>
      <c r="F7" s="73"/>
      <c r="G7" s="72" t="s">
        <v>43</v>
      </c>
      <c r="H7" s="74" t="s">
        <v>44</v>
      </c>
      <c r="I7" s="73"/>
      <c r="J7" s="63"/>
      <c r="K7" s="63"/>
      <c r="L7" s="63"/>
      <c r="M7" s="63"/>
    </row>
    <row r="8" spans="1:14">
      <c r="A8" s="63"/>
      <c r="B8" s="75" t="s">
        <v>45</v>
      </c>
      <c r="C8" s="10"/>
      <c r="D8" s="76" t="s">
        <v>46</v>
      </c>
      <c r="E8" s="11"/>
      <c r="F8" s="76" t="s">
        <v>47</v>
      </c>
      <c r="G8" s="12"/>
      <c r="H8" s="77" t="str">
        <f>IF(C8=0," ",IF(G8="",C8*(22/E8)^0.151,(C8*(22/E8)^0.151)/1.2))</f>
        <v xml:space="preserve"> </v>
      </c>
      <c r="I8" s="76" t="s">
        <v>46</v>
      </c>
      <c r="J8" s="78" t="s">
        <v>48</v>
      </c>
      <c r="K8" s="79"/>
      <c r="L8" s="79"/>
      <c r="M8" s="79"/>
    </row>
    <row r="9" spans="1:14">
      <c r="A9" s="63"/>
      <c r="B9" s="75" t="s">
        <v>49</v>
      </c>
      <c r="C9" s="10"/>
      <c r="D9" s="76" t="s">
        <v>46</v>
      </c>
      <c r="E9" s="11"/>
      <c r="F9" s="76" t="s">
        <v>47</v>
      </c>
      <c r="G9" s="12"/>
      <c r="H9" s="80" t="str">
        <f>IF(C9=0," ",IF(G9="",C9*(22/E9)^0.151,(C9*(22/E9)^0.151)/1.2))</f>
        <v xml:space="preserve"> </v>
      </c>
      <c r="I9" s="76" t="s">
        <v>46</v>
      </c>
      <c r="J9" s="81" t="s">
        <v>50</v>
      </c>
      <c r="K9" s="79"/>
      <c r="L9" s="79"/>
      <c r="M9" s="79"/>
      <c r="N9" s="79"/>
    </row>
    <row r="10" spans="1:14">
      <c r="A10" s="63"/>
      <c r="B10" s="75" t="s">
        <v>51</v>
      </c>
      <c r="C10" s="10"/>
      <c r="D10" s="76" t="s">
        <v>46</v>
      </c>
      <c r="E10" s="11"/>
      <c r="F10" s="76" t="s">
        <v>47</v>
      </c>
      <c r="G10" s="12"/>
      <c r="H10" s="80" t="str">
        <f>IF(C10=0," ",IF(G10="",C10*(22/E10)^0.151,(C10*(22/E10)^0.151)/1.2))</f>
        <v xml:space="preserve"> </v>
      </c>
      <c r="I10" s="76" t="s">
        <v>46</v>
      </c>
      <c r="J10" s="82" t="s">
        <v>52</v>
      </c>
      <c r="K10" s="63"/>
      <c r="L10" s="63"/>
      <c r="M10" s="63"/>
    </row>
    <row r="11" spans="1:14">
      <c r="A11" s="63"/>
      <c r="B11" s="75" t="s">
        <v>53</v>
      </c>
      <c r="C11" s="13"/>
      <c r="D11" s="76" t="s">
        <v>46</v>
      </c>
      <c r="E11" s="9" t="s">
        <v>54</v>
      </c>
      <c r="F11" s="76" t="s">
        <v>47</v>
      </c>
      <c r="G11" s="83"/>
      <c r="H11" s="80" t="str">
        <f>IF(C11=0," ",C11*(22/E11)^0.151)</f>
        <v xml:space="preserve"> </v>
      </c>
      <c r="I11" s="76" t="s">
        <v>46</v>
      </c>
      <c r="J11" s="84" t="s">
        <v>55</v>
      </c>
    </row>
    <row r="12" spans="1:14">
      <c r="A12" s="63"/>
      <c r="B12" s="75" t="s">
        <v>56</v>
      </c>
      <c r="C12" s="13"/>
      <c r="D12" s="76" t="s">
        <v>46</v>
      </c>
      <c r="E12" s="9"/>
      <c r="F12" s="76" t="s">
        <v>47</v>
      </c>
      <c r="G12" s="83"/>
      <c r="H12" s="80" t="str">
        <f>IF(C12=0," ",C12*(22/E12)^0.151)</f>
        <v xml:space="preserve"> </v>
      </c>
      <c r="I12" s="76" t="s">
        <v>46</v>
      </c>
      <c r="J12" s="84" t="s">
        <v>57</v>
      </c>
      <c r="K12" s="63"/>
      <c r="L12" s="63"/>
      <c r="M12" s="63"/>
      <c r="N12" s="85"/>
    </row>
    <row r="13" spans="1:14">
      <c r="A13" s="63"/>
      <c r="B13" s="86" t="s">
        <v>58</v>
      </c>
      <c r="C13" s="14"/>
      <c r="D13" s="87" t="s">
        <v>46</v>
      </c>
      <c r="E13" s="15"/>
      <c r="F13" s="87" t="s">
        <v>47</v>
      </c>
      <c r="G13" s="88"/>
      <c r="H13" s="89" t="str">
        <f>IF(C13=0," ",C13*(22/E13)^0.151)</f>
        <v xml:space="preserve"> </v>
      </c>
      <c r="I13" s="87" t="s">
        <v>46</v>
      </c>
      <c r="J13" s="82" t="s">
        <v>59</v>
      </c>
      <c r="K13" s="90"/>
      <c r="L13" s="90"/>
      <c r="M13" s="90"/>
    </row>
    <row r="14" spans="1:14" ht="17.25" customHeight="1" thickBot="1">
      <c r="A14" s="63"/>
      <c r="B14" s="63"/>
      <c r="C14" s="91"/>
      <c r="D14" s="91"/>
      <c r="E14" s="63"/>
      <c r="F14" s="63"/>
      <c r="G14" s="63"/>
      <c r="H14" s="92"/>
      <c r="J14" s="82" t="s">
        <v>60</v>
      </c>
      <c r="K14" s="63"/>
      <c r="L14" s="63"/>
      <c r="M14" s="63"/>
    </row>
    <row r="15" spans="1:14" ht="19" thickTop="1" thickBot="1">
      <c r="A15" s="63"/>
      <c r="B15" s="93" t="s">
        <v>44</v>
      </c>
      <c r="C15" s="94" t="str">
        <f>IF(ISERR(GEOMEAN(H8:H13))," ",GEOMEAN(H8:H13))</f>
        <v xml:space="preserve"> </v>
      </c>
      <c r="D15" s="95" t="s">
        <v>46</v>
      </c>
      <c r="J15" s="63"/>
      <c r="K15" s="63"/>
      <c r="L15" s="63"/>
      <c r="M15" s="63"/>
    </row>
    <row r="16" spans="1:14" ht="19" thickTop="1" thickBot="1">
      <c r="A16" s="63"/>
      <c r="B16" s="93" t="s">
        <v>61</v>
      </c>
      <c r="C16" s="96" t="str">
        <f>IF(ISERR(GEOMEAN(H8:H13))," ",ROUNDDOWN(C15,2-INT(LOG(C15))))</f>
        <v xml:space="preserve"> </v>
      </c>
      <c r="D16" s="95"/>
      <c r="G16" s="66"/>
      <c r="J16" s="63"/>
      <c r="K16" s="63"/>
      <c r="L16" s="63"/>
      <c r="M16" s="63"/>
    </row>
    <row r="17" spans="1:13" ht="18.5" thickTop="1">
      <c r="C17" s="97"/>
      <c r="L17" s="63"/>
    </row>
    <row r="18" spans="1:13">
      <c r="A18" s="66" t="s">
        <v>62</v>
      </c>
      <c r="B18" s="66"/>
      <c r="C18" s="63"/>
      <c r="D18" s="63"/>
      <c r="E18" s="63"/>
      <c r="F18" s="63"/>
      <c r="I18" s="63"/>
      <c r="J18" s="63"/>
      <c r="K18" s="63"/>
      <c r="L18" s="63"/>
    </row>
    <row r="19" spans="1:13">
      <c r="A19" s="63"/>
      <c r="B19" s="71" t="s">
        <v>63</v>
      </c>
      <c r="C19" s="72" t="s">
        <v>64</v>
      </c>
      <c r="D19" s="73"/>
      <c r="E19" s="72" t="s">
        <v>65</v>
      </c>
      <c r="F19" s="73"/>
      <c r="G19" s="74" t="s">
        <v>64</v>
      </c>
      <c r="H19" s="73"/>
      <c r="I19" s="63"/>
      <c r="J19" s="63"/>
      <c r="K19" s="63"/>
      <c r="L19" s="63"/>
    </row>
    <row r="20" spans="1:13">
      <c r="A20" s="63"/>
      <c r="B20" s="16" t="s">
        <v>66</v>
      </c>
      <c r="C20" s="10"/>
      <c r="D20" s="76" t="s">
        <v>46</v>
      </c>
      <c r="E20" s="11"/>
      <c r="F20" s="76" t="s">
        <v>67</v>
      </c>
      <c r="G20" s="77">
        <f>IF(B20="","",IF(C20&lt;&gt;"", C20, E20*0.1))</f>
        <v>0</v>
      </c>
      <c r="H20" s="76" t="s">
        <v>46</v>
      </c>
      <c r="I20" s="63"/>
      <c r="J20" s="79"/>
      <c r="K20" s="79"/>
      <c r="L20" s="79"/>
    </row>
    <row r="21" spans="1:13">
      <c r="A21" s="63"/>
      <c r="B21" s="16" t="s">
        <v>68</v>
      </c>
      <c r="C21" s="18"/>
      <c r="D21" s="76" t="s">
        <v>46</v>
      </c>
      <c r="E21" s="17"/>
      <c r="F21" s="76" t="s">
        <v>67</v>
      </c>
      <c r="G21" s="80">
        <f>IF(B21="","",IF(C21&lt;&gt;"", C21, E21*0.1))</f>
        <v>0</v>
      </c>
      <c r="H21" s="76" t="s">
        <v>46</v>
      </c>
      <c r="I21" s="63"/>
      <c r="J21" s="79"/>
      <c r="K21" s="79"/>
      <c r="L21" s="79"/>
      <c r="M21" s="79"/>
    </row>
    <row r="22" spans="1:13">
      <c r="A22" s="63"/>
      <c r="B22" s="19"/>
      <c r="C22" s="20"/>
      <c r="D22" s="87" t="s">
        <v>46</v>
      </c>
      <c r="E22" s="21"/>
      <c r="F22" s="87" t="s">
        <v>67</v>
      </c>
      <c r="G22" s="89" t="str">
        <f>IF(B22="","",IF(C22&lt;&gt;"", C22, E22*0.1))</f>
        <v/>
      </c>
      <c r="H22" s="87" t="s">
        <v>46</v>
      </c>
      <c r="I22" s="63"/>
      <c r="J22" s="63"/>
      <c r="K22" s="63"/>
      <c r="L22" s="63"/>
    </row>
    <row r="23" spans="1:13" ht="18.5" thickBot="1">
      <c r="A23" s="63"/>
      <c r="B23" s="63"/>
      <c r="C23" s="91"/>
      <c r="D23" s="91"/>
      <c r="E23" s="63"/>
      <c r="F23" s="63"/>
      <c r="G23" s="92"/>
      <c r="I23" s="63"/>
      <c r="J23" s="63"/>
      <c r="K23" s="63"/>
      <c r="L23" s="63"/>
    </row>
    <row r="24" spans="1:13" ht="19" thickTop="1" thickBot="1">
      <c r="A24" s="63"/>
      <c r="B24" s="93" t="s">
        <v>69</v>
      </c>
      <c r="C24" s="98" t="e">
        <f>ROUNDDOWN(MIN(G20:G22),2-INT(LOG(MIN(G20:G22))))</f>
        <v>#NUM!</v>
      </c>
      <c r="D24" s="95"/>
      <c r="I24" s="63"/>
      <c r="J24" s="63"/>
      <c r="K24" s="63"/>
      <c r="L24" s="63"/>
    </row>
    <row r="25" spans="1:13" ht="18.5" thickTop="1"/>
    <row r="26" spans="1:13" ht="18.5" thickBot="1">
      <c r="A26" s="66" t="s">
        <v>70</v>
      </c>
    </row>
    <row r="27" spans="1:13" ht="19" thickTop="1" thickBot="1">
      <c r="B27" s="93" t="s">
        <v>71</v>
      </c>
      <c r="C27" s="99">
        <v>10</v>
      </c>
    </row>
    <row r="28" spans="1:13" ht="19" thickTop="1" thickBot="1">
      <c r="B28" s="93" t="s">
        <v>72</v>
      </c>
      <c r="C28" s="99">
        <v>5</v>
      </c>
    </row>
    <row r="29" spans="1:13" ht="19" thickTop="1" thickBot="1"/>
    <row r="30" spans="1:13" ht="19" thickTop="1" thickBot="1">
      <c r="B30" s="93" t="s">
        <v>73</v>
      </c>
      <c r="C30" s="100" t="e">
        <f>MIN(C16/C27,C24)/C28</f>
        <v>#VALUE!</v>
      </c>
      <c r="D30" s="95" t="s">
        <v>46</v>
      </c>
    </row>
    <row r="31" spans="1:13" ht="18.5" thickTop="1"/>
  </sheetData>
  <sheetProtection algorithmName="SHA-512" hashValue="rpqvZT1xX/suM7d/WjCUxqgd/iA/bGjVQc3ffGOnd5D+E9ui0Vv8RzAavn2bkqA/Z/KE5U4sToVy8QfARVdAuA==" saltValue="y+wK3/9+RgLC7n/a/TqU4A==" spinCount="100000" sheet="1" objects="1" scenarios="1"/>
  <mergeCells count="1">
    <mergeCell ref="C4:F4"/>
  </mergeCells>
  <phoneticPr fontId="3"/>
  <dataValidations count="1">
    <dataValidation type="list" allowBlank="1" showInputMessage="1" sqref="G8:G10" xr:uid="{00000000-0002-0000-0200-000000000000}">
      <formula1>"有"</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U27"/>
  <sheetViews>
    <sheetView zoomScaleNormal="100" workbookViewId="0">
      <selection activeCell="L8" sqref="L8"/>
    </sheetView>
  </sheetViews>
  <sheetFormatPr defaultColWidth="9" defaultRowHeight="18"/>
  <cols>
    <col min="1" max="1" width="9" style="65"/>
    <col min="2" max="2" width="16.1796875" style="65" customWidth="1"/>
    <col min="3" max="3" width="12" style="65" customWidth="1"/>
    <col min="4" max="4" width="2.81640625" style="65" customWidth="1"/>
    <col min="5" max="5" width="15" style="65" customWidth="1"/>
    <col min="6" max="6" width="9.453125" style="65" customWidth="1"/>
    <col min="7" max="7" width="12.1796875" style="65" customWidth="1"/>
    <col min="8" max="8" width="2.453125" style="65" customWidth="1"/>
    <col min="9" max="9" width="13" style="65" customWidth="1"/>
    <col min="10" max="10" width="3.7265625" style="65" customWidth="1"/>
    <col min="11" max="11" width="6.453125" style="65" customWidth="1"/>
    <col min="12" max="16384" width="9" style="65"/>
  </cols>
  <sheetData>
    <row r="1" spans="1:21" ht="19.5" customHeight="1">
      <c r="A1" s="64" t="s">
        <v>74</v>
      </c>
    </row>
    <row r="2" spans="1:21">
      <c r="L2" s="101"/>
      <c r="M2" s="63" t="s">
        <v>3</v>
      </c>
    </row>
    <row r="3" spans="1:21">
      <c r="A3" s="65" t="s">
        <v>75</v>
      </c>
      <c r="L3" s="69"/>
      <c r="M3" s="63" t="s">
        <v>76</v>
      </c>
    </row>
    <row r="4" spans="1:21" ht="19.5" customHeight="1" thickBot="1">
      <c r="B4" s="102" t="s">
        <v>77</v>
      </c>
      <c r="C4" s="103" t="s">
        <v>78</v>
      </c>
      <c r="D4" s="104"/>
      <c r="E4" s="274" t="s">
        <v>79</v>
      </c>
      <c r="F4" s="274"/>
      <c r="G4" s="103" t="s">
        <v>80</v>
      </c>
      <c r="H4" s="105"/>
      <c r="I4" s="104" t="s">
        <v>81</v>
      </c>
      <c r="J4" s="105"/>
      <c r="L4" s="70"/>
      <c r="M4" s="63" t="s">
        <v>38</v>
      </c>
    </row>
    <row r="5" spans="1:21" ht="19" thickTop="1" thickBot="1">
      <c r="B5" s="22"/>
      <c r="C5" s="23"/>
      <c r="D5" s="106" t="s">
        <v>82</v>
      </c>
      <c r="E5" s="24"/>
      <c r="F5" s="106" t="s">
        <v>83</v>
      </c>
      <c r="G5" s="24"/>
      <c r="H5" s="106" t="s">
        <v>84</v>
      </c>
      <c r="I5" s="24"/>
      <c r="J5" s="106" t="s">
        <v>85</v>
      </c>
    </row>
    <row r="6" spans="1:21" ht="18.5" thickTop="1"/>
    <row r="7" spans="1:21" ht="18.5" thickBot="1">
      <c r="A7" s="65" t="s">
        <v>86</v>
      </c>
    </row>
    <row r="8" spans="1:21" ht="19" thickTop="1" thickBot="1">
      <c r="B8" s="107" t="s">
        <v>87</v>
      </c>
      <c r="C8" s="108" t="str">
        <f>IF(ISBLANK(E5)," ",E5)</f>
        <v xml:space="preserve"> </v>
      </c>
      <c r="D8" s="109" t="s">
        <v>83</v>
      </c>
      <c r="E8" s="110"/>
      <c r="F8" s="111"/>
    </row>
    <row r="9" spans="1:21" ht="19" thickTop="1" thickBot="1">
      <c r="B9" s="107" t="s">
        <v>88</v>
      </c>
      <c r="C9" s="108">
        <v>4.83</v>
      </c>
      <c r="D9" s="109" t="s">
        <v>89</v>
      </c>
      <c r="E9" s="110"/>
      <c r="F9" s="111"/>
    </row>
    <row r="10" spans="1:21" ht="19" thickTop="1" thickBot="1">
      <c r="B10" s="107" t="s">
        <v>90</v>
      </c>
      <c r="C10" s="112" t="str">
        <f>IF(ISBLANK(G5),"",IF(G5=1,1,(1-EXP(-G5*LN(2)/10*I5))/(1-EXP(-LN(2)/10*I5))))</f>
        <v/>
      </c>
      <c r="D10" s="275" t="s">
        <v>91</v>
      </c>
      <c r="E10" s="276"/>
      <c r="F10" s="277"/>
      <c r="M10" s="115"/>
      <c r="N10" s="115"/>
      <c r="O10" s="115"/>
      <c r="P10" s="115"/>
      <c r="Q10" s="115"/>
      <c r="R10" s="115"/>
      <c r="S10" s="115"/>
      <c r="T10" s="115"/>
      <c r="U10" s="116"/>
    </row>
    <row r="11" spans="1:21" ht="19" thickTop="1" thickBot="1">
      <c r="M11" s="115"/>
      <c r="N11" s="115"/>
      <c r="O11" s="115"/>
      <c r="P11" s="115"/>
      <c r="Q11" s="115"/>
      <c r="R11" s="115"/>
      <c r="S11" s="115"/>
      <c r="T11" s="115"/>
      <c r="U11" s="116"/>
    </row>
    <row r="12" spans="1:21" ht="19" thickTop="1" thickBot="1">
      <c r="B12" s="107" t="s">
        <v>92</v>
      </c>
      <c r="C12" s="117">
        <v>0.53</v>
      </c>
      <c r="D12" s="275" t="s">
        <v>91</v>
      </c>
      <c r="E12" s="276"/>
      <c r="F12" s="277"/>
      <c r="M12" s="115"/>
      <c r="N12" s="115"/>
      <c r="O12" s="115"/>
      <c r="P12" s="115"/>
      <c r="Q12" s="115"/>
      <c r="R12" s="115"/>
      <c r="S12" s="115"/>
      <c r="T12" s="115"/>
      <c r="U12" s="116"/>
    </row>
    <row r="13" spans="1:21" ht="19" thickTop="1" thickBot="1">
      <c r="B13" s="107" t="s">
        <v>93</v>
      </c>
      <c r="C13" s="118" t="str">
        <f>IFERROR(IF(OR(ISBLANK(E5),ISBLANK(G5)),"",C8*C9*C10*C12),"")</f>
        <v/>
      </c>
      <c r="D13" s="278" t="s">
        <v>94</v>
      </c>
      <c r="E13" s="279"/>
      <c r="F13" s="280"/>
      <c r="M13" s="116"/>
      <c r="N13" s="116"/>
      <c r="O13" s="116"/>
      <c r="P13" s="116"/>
      <c r="Q13" s="116"/>
      <c r="R13" s="116"/>
      <c r="S13" s="116"/>
      <c r="T13" s="116"/>
      <c r="U13" s="116"/>
    </row>
    <row r="14" spans="1:21" ht="19" thickTop="1" thickBot="1">
      <c r="M14" s="116"/>
      <c r="N14" s="116"/>
      <c r="O14" s="116"/>
      <c r="P14" s="116"/>
      <c r="Q14" s="116"/>
      <c r="R14" s="116"/>
      <c r="S14" s="116"/>
      <c r="T14" s="116"/>
      <c r="U14" s="116"/>
    </row>
    <row r="15" spans="1:21" ht="19" thickTop="1" thickBot="1">
      <c r="B15" s="107" t="s">
        <v>95</v>
      </c>
      <c r="C15" s="119" t="str">
        <f>IFERROR(IF(OR(ISBLANK(E5),ISBLANK(G5)),"",4.4*0.1*C13*0.001/0.022),"")</f>
        <v/>
      </c>
      <c r="D15" s="120" t="s">
        <v>17</v>
      </c>
      <c r="E15" s="121"/>
      <c r="F15" s="122"/>
    </row>
    <row r="16" spans="1:21" ht="18.5" thickTop="1"/>
    <row r="17" spans="1:6" ht="18.5" thickBot="1">
      <c r="A17" s="65" t="s">
        <v>96</v>
      </c>
    </row>
    <row r="18" spans="1:6" ht="51" thickTop="1" thickBot="1">
      <c r="B18" s="123" t="s">
        <v>97</v>
      </c>
      <c r="C18" s="33"/>
      <c r="D18" s="110" t="s">
        <v>94</v>
      </c>
      <c r="E18" s="110"/>
      <c r="F18" s="111"/>
    </row>
    <row r="19" spans="1:6" ht="51" thickTop="1" thickBot="1">
      <c r="B19" s="123" t="s">
        <v>98</v>
      </c>
      <c r="C19" s="33"/>
      <c r="D19" s="110" t="s">
        <v>85</v>
      </c>
      <c r="E19" s="110"/>
      <c r="F19" s="111"/>
    </row>
    <row r="20" spans="1:6" ht="34.5" thickTop="1" thickBot="1">
      <c r="B20" s="123" t="s">
        <v>99</v>
      </c>
      <c r="C20" s="33"/>
      <c r="D20" s="110" t="s">
        <v>85</v>
      </c>
      <c r="E20" s="110"/>
      <c r="F20" s="111"/>
    </row>
    <row r="21" spans="1:6" ht="19" thickTop="1" thickBot="1"/>
    <row r="22" spans="1:6" ht="19" thickTop="1" thickBot="1">
      <c r="B22" s="107" t="s">
        <v>92</v>
      </c>
      <c r="C22" s="119" t="e">
        <f>(1-EXP(-LN(2)/C20*21))/(LN(2)/C20*21)</f>
        <v>#DIV/0!</v>
      </c>
      <c r="D22" s="275" t="s">
        <v>91</v>
      </c>
      <c r="E22" s="276"/>
      <c r="F22" s="277"/>
    </row>
    <row r="23" spans="1:6" ht="19" thickTop="1" thickBot="1">
      <c r="B23" s="107" t="s">
        <v>100</v>
      </c>
      <c r="C23" s="124" t="str">
        <f>IF(ISBLANK(G5),"",IF(G5=1,1,(1-EXP(-G5*LN(2)/C20*I5))/(1-EXP(-LN(2)/C20*I5))))</f>
        <v/>
      </c>
      <c r="D23" s="113" t="s">
        <v>101</v>
      </c>
      <c r="E23" s="113"/>
      <c r="F23" s="114"/>
    </row>
    <row r="24" spans="1:6" ht="19" thickTop="1" thickBot="1">
      <c r="B24" s="107" t="s">
        <v>93</v>
      </c>
      <c r="C24" s="124" t="str">
        <f>IF(OR(ISBLANK(C18),ISBLANK(C19)),"",IF(ISBLANK(C20),C18/((1/2)^(C19/10))*C22*C23,C18/((1/2)^(C19/C20))*C22*C23))</f>
        <v/>
      </c>
      <c r="D24" s="121" t="s">
        <v>94</v>
      </c>
      <c r="E24" s="121"/>
      <c r="F24" s="122"/>
    </row>
    <row r="25" spans="1:6" ht="19" thickTop="1" thickBot="1"/>
    <row r="26" spans="1:6" ht="19" thickTop="1" thickBot="1">
      <c r="B26" s="107" t="s">
        <v>95</v>
      </c>
      <c r="C26" s="119" t="str">
        <f>IF(OR(ISBLANK(C18),ISBLANK(C19)),"",4.4*0.1*C24*0.001/0.022)</f>
        <v/>
      </c>
      <c r="D26" s="120" t="s">
        <v>17</v>
      </c>
      <c r="E26" s="121"/>
      <c r="F26" s="122"/>
    </row>
    <row r="27" spans="1:6" ht="18.5" thickTop="1"/>
  </sheetData>
  <sheetProtection algorithmName="SHA-512" hashValue="EDP9tSQw2xmDHYLaoiT6Sj4vPquGqLXbu7CJUgRPP5jHMl99fg43K+nmZVy9Tw0rFaaeIBwveYCYNMw7H+MORg==" saltValue="B96MQpfhNad7N4Ic+T7M2A==" spinCount="100000" sheet="1" objects="1" scenarios="1"/>
  <mergeCells count="5">
    <mergeCell ref="E4:F4"/>
    <mergeCell ref="D12:F12"/>
    <mergeCell ref="D13:F13"/>
    <mergeCell ref="D10:F10"/>
    <mergeCell ref="D22:F22"/>
  </mergeCells>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27"/>
  <sheetViews>
    <sheetView zoomScale="85" zoomScaleNormal="85" workbookViewId="0">
      <selection activeCell="G18" sqref="G18"/>
    </sheetView>
  </sheetViews>
  <sheetFormatPr defaultColWidth="9" defaultRowHeight="18"/>
  <cols>
    <col min="1" max="1" width="9" style="65"/>
    <col min="2" max="2" width="16.1796875" style="65" customWidth="1"/>
    <col min="3" max="3" width="12" style="65" customWidth="1"/>
    <col min="4" max="4" width="2.81640625" style="65" customWidth="1"/>
    <col min="5" max="5" width="15" style="65" customWidth="1"/>
    <col min="6" max="6" width="9.453125" style="65" customWidth="1"/>
    <col min="7" max="7" width="12.1796875" style="65" customWidth="1"/>
    <col min="8" max="8" width="2.453125" style="65" customWidth="1"/>
    <col min="9" max="9" width="13" style="65" customWidth="1"/>
    <col min="10" max="10" width="3.7265625" style="65" customWidth="1"/>
    <col min="11" max="11" width="6.453125" style="65" customWidth="1"/>
    <col min="12" max="16384" width="9" style="65"/>
  </cols>
  <sheetData>
    <row r="1" spans="1:13" ht="19.5" customHeight="1">
      <c r="A1" s="64" t="s">
        <v>102</v>
      </c>
      <c r="G1" s="85"/>
    </row>
    <row r="2" spans="1:13">
      <c r="L2" s="101"/>
      <c r="M2" s="63" t="s">
        <v>3</v>
      </c>
    </row>
    <row r="3" spans="1:13">
      <c r="A3" s="65" t="s">
        <v>75</v>
      </c>
      <c r="L3" s="69"/>
      <c r="M3" s="63" t="s">
        <v>76</v>
      </c>
    </row>
    <row r="4" spans="1:13" ht="19.5" customHeight="1" thickBot="1">
      <c r="B4" s="102" t="s">
        <v>77</v>
      </c>
      <c r="C4" s="103" t="s">
        <v>78</v>
      </c>
      <c r="D4" s="104"/>
      <c r="E4" s="274" t="s">
        <v>79</v>
      </c>
      <c r="F4" s="274"/>
      <c r="G4" s="103" t="s">
        <v>80</v>
      </c>
      <c r="H4" s="105"/>
      <c r="I4" s="104" t="s">
        <v>81</v>
      </c>
      <c r="J4" s="105"/>
      <c r="L4" s="70"/>
      <c r="M4" s="63" t="s">
        <v>38</v>
      </c>
    </row>
    <row r="5" spans="1:13" ht="19" thickTop="1" thickBot="1">
      <c r="B5" s="22"/>
      <c r="C5" s="23"/>
      <c r="D5" s="106" t="s">
        <v>82</v>
      </c>
      <c r="E5" s="24"/>
      <c r="F5" s="106" t="s">
        <v>83</v>
      </c>
      <c r="G5" s="24"/>
      <c r="H5" s="106" t="s">
        <v>84</v>
      </c>
      <c r="I5" s="24"/>
      <c r="J5" s="106" t="s">
        <v>85</v>
      </c>
    </row>
    <row r="6" spans="1:13" ht="18.5" thickTop="1"/>
    <row r="7" spans="1:13" ht="18.5" thickBot="1">
      <c r="A7" s="65" t="s">
        <v>86</v>
      </c>
    </row>
    <row r="8" spans="1:13" ht="19" thickTop="1" thickBot="1">
      <c r="B8" s="107" t="s">
        <v>87</v>
      </c>
      <c r="C8" s="108" t="str">
        <f>IF(ISBLANK(E5)," ",E5)</f>
        <v xml:space="preserve"> </v>
      </c>
      <c r="D8" s="109" t="s">
        <v>83</v>
      </c>
      <c r="E8" s="110"/>
      <c r="F8" s="111"/>
    </row>
    <row r="9" spans="1:13" ht="19" thickTop="1" thickBot="1">
      <c r="B9" s="107" t="s">
        <v>88</v>
      </c>
      <c r="C9" s="108">
        <v>0.76400000000000001</v>
      </c>
      <c r="D9" s="109" t="s">
        <v>89</v>
      </c>
      <c r="E9" s="110"/>
      <c r="F9" s="111"/>
    </row>
    <row r="10" spans="1:13" ht="19" thickTop="1" thickBot="1">
      <c r="B10" s="107" t="s">
        <v>90</v>
      </c>
      <c r="C10" s="112" t="str">
        <f>IF(ISBLANK(G5),"",IF(G5=1,1,(1-EXP(-G5*LN(2)/10*I5))/(1-EXP(-LN(2)/10*I5))))</f>
        <v/>
      </c>
      <c r="D10" s="109" t="s">
        <v>91</v>
      </c>
      <c r="E10" s="110"/>
      <c r="F10" s="111"/>
    </row>
    <row r="11" spans="1:13" ht="19" thickTop="1" thickBot="1"/>
    <row r="12" spans="1:13" ht="19" thickTop="1" thickBot="1">
      <c r="B12" s="107" t="s">
        <v>92</v>
      </c>
      <c r="C12" s="117">
        <v>0.53</v>
      </c>
      <c r="D12" s="275" t="s">
        <v>91</v>
      </c>
      <c r="E12" s="276"/>
      <c r="F12" s="277"/>
    </row>
    <row r="13" spans="1:13" ht="19" thickTop="1" thickBot="1">
      <c r="B13" s="107" t="s">
        <v>93</v>
      </c>
      <c r="C13" s="124" t="str">
        <f>IFERROR(IF(OR(ISBLANK(E5),ISBLANK(G5)),"",C8*C9*C10*C12),"")</f>
        <v/>
      </c>
      <c r="D13" s="121" t="s">
        <v>94</v>
      </c>
      <c r="E13" s="121"/>
      <c r="F13" s="122"/>
    </row>
    <row r="14" spans="1:13" ht="19" thickTop="1" thickBot="1"/>
    <row r="15" spans="1:13" ht="19" thickTop="1" thickBot="1">
      <c r="B15" s="107" t="s">
        <v>95</v>
      </c>
      <c r="C15" s="119" t="str">
        <f>IFERROR(IF(OR(ISBLANK(E5),ISBLANK(G5)),"",15*0.05*C13*0.001/0.022),"")</f>
        <v/>
      </c>
      <c r="D15" s="120" t="s">
        <v>17</v>
      </c>
      <c r="E15" s="121"/>
      <c r="F15" s="122"/>
    </row>
    <row r="16" spans="1:13" ht="18.5" thickTop="1"/>
    <row r="17" spans="1:12" ht="18.5" thickBot="1">
      <c r="A17" s="65" t="s">
        <v>96</v>
      </c>
    </row>
    <row r="18" spans="1:12" ht="51" thickTop="1" thickBot="1">
      <c r="B18" s="123" t="s">
        <v>103</v>
      </c>
      <c r="C18" s="34"/>
      <c r="D18" s="110" t="s">
        <v>94</v>
      </c>
      <c r="E18" s="110"/>
      <c r="F18" s="111"/>
    </row>
    <row r="19" spans="1:12" ht="51" thickTop="1" thickBot="1">
      <c r="B19" s="123" t="s">
        <v>98</v>
      </c>
      <c r="C19" s="33"/>
      <c r="D19" s="110" t="s">
        <v>85</v>
      </c>
      <c r="E19" s="110"/>
      <c r="F19" s="111"/>
    </row>
    <row r="20" spans="1:12" ht="34.5" thickTop="1" thickBot="1">
      <c r="B20" s="123" t="s">
        <v>99</v>
      </c>
      <c r="C20" s="33"/>
      <c r="D20" s="110" t="s">
        <v>85</v>
      </c>
      <c r="E20" s="110"/>
      <c r="F20" s="111"/>
      <c r="L20" s="78"/>
    </row>
    <row r="21" spans="1:12" ht="19" thickTop="1" thickBot="1"/>
    <row r="22" spans="1:12" ht="19" thickTop="1" thickBot="1">
      <c r="B22" s="107" t="s">
        <v>92</v>
      </c>
      <c r="C22" s="119" t="e">
        <f>(1-EXP(-LN(2)/C20*21))/(LN(2)/C20*21)</f>
        <v>#DIV/0!</v>
      </c>
      <c r="D22" s="275" t="s">
        <v>91</v>
      </c>
      <c r="E22" s="276"/>
      <c r="F22" s="277"/>
    </row>
    <row r="23" spans="1:12" ht="19" thickTop="1" thickBot="1">
      <c r="B23" s="107" t="s">
        <v>100</v>
      </c>
      <c r="C23" s="124" t="str">
        <f>IF(ISBLANK(G5),"",IF(G5=1,1,(1-EXP(-G5*LN(2)/C20*I5))/(1-EXP(-LN(2)/C20*I5))))</f>
        <v/>
      </c>
      <c r="D23" s="113" t="s">
        <v>101</v>
      </c>
      <c r="E23" s="113"/>
      <c r="F23" s="114"/>
    </row>
    <row r="24" spans="1:12" ht="19" thickTop="1" thickBot="1">
      <c r="B24" s="107" t="s">
        <v>93</v>
      </c>
      <c r="C24" s="119" t="str">
        <f>IF(OR(ISBLANK(C18),ISBLANK(C19)),"",IF(ISBLANK(C20),C18/((1/2)^(C19/10))*C22*C23,C18/((1/2)^(C19/C20))*C22*C23))</f>
        <v/>
      </c>
      <c r="D24" s="121" t="s">
        <v>94</v>
      </c>
      <c r="E24" s="121"/>
      <c r="F24" s="122"/>
    </row>
    <row r="25" spans="1:12" ht="19" thickTop="1" thickBot="1"/>
    <row r="26" spans="1:12" ht="19" thickTop="1" thickBot="1">
      <c r="B26" s="107" t="s">
        <v>95</v>
      </c>
      <c r="C26" s="119" t="str">
        <f>IF(OR(ISBLANK(C18),ISBLANK(C19)),"",15*0.05*C24*0.001/0.022)</f>
        <v/>
      </c>
      <c r="D26" s="120" t="s">
        <v>17</v>
      </c>
      <c r="E26" s="121"/>
      <c r="F26" s="122"/>
    </row>
    <row r="27" spans="1:12" ht="18.5" thickTop="1"/>
  </sheetData>
  <sheetProtection algorithmName="SHA-512" hashValue="GpNc0QL2F6l4HnLFJFBNeiKChGkWv3FJH73cA4wk6AVZ/+y4Dr6UEvetIJ2QbazsOjWOmwqZz/IOf654CwJDBw==" saltValue="lieFLHLBJnLWVJpwyxf13A==" spinCount="100000" sheet="1" objects="1" scenarios="1"/>
  <mergeCells count="3">
    <mergeCell ref="E4:F4"/>
    <mergeCell ref="D12:F12"/>
    <mergeCell ref="D22:F22"/>
  </mergeCells>
  <phoneticPr fontId="3"/>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CB401-B753-4F49-97BF-F132C7F1F617}">
  <dimension ref="A1:J26"/>
  <sheetViews>
    <sheetView zoomScaleNormal="100" workbookViewId="0">
      <selection activeCell="G11" sqref="G11"/>
    </sheetView>
  </sheetViews>
  <sheetFormatPr defaultColWidth="9" defaultRowHeight="18"/>
  <cols>
    <col min="1" max="1" width="9" style="65"/>
    <col min="2" max="2" width="16.1796875" style="65" customWidth="1"/>
    <col min="3" max="3" width="14.6328125" style="65" customWidth="1"/>
    <col min="4" max="4" width="2.81640625" style="65" customWidth="1"/>
    <col min="5" max="5" width="15" style="65" customWidth="1"/>
    <col min="6" max="6" width="13.1796875" style="65" customWidth="1"/>
    <col min="7" max="7" width="27.7265625" style="65" customWidth="1"/>
    <col min="8" max="8" width="6.453125" style="65" customWidth="1"/>
    <col min="9" max="16384" width="9" style="65"/>
  </cols>
  <sheetData>
    <row r="1" spans="1:10" ht="19.5" customHeight="1">
      <c r="A1" s="64" t="s">
        <v>104</v>
      </c>
    </row>
    <row r="2" spans="1:10">
      <c r="I2" s="101"/>
      <c r="J2" s="63" t="s">
        <v>3</v>
      </c>
    </row>
    <row r="3" spans="1:10">
      <c r="A3" s="65" t="s">
        <v>75</v>
      </c>
      <c r="I3" s="69"/>
      <c r="J3" s="63" t="s">
        <v>76</v>
      </c>
    </row>
    <row r="4" spans="1:10" ht="19.5" customHeight="1" thickBot="1">
      <c r="B4" s="102" t="s">
        <v>77</v>
      </c>
      <c r="C4" s="129" t="s">
        <v>78</v>
      </c>
      <c r="D4" s="104"/>
      <c r="E4" s="274" t="s">
        <v>105</v>
      </c>
      <c r="F4" s="274"/>
      <c r="G4" s="105" t="s">
        <v>106</v>
      </c>
      <c r="I4" s="70"/>
      <c r="J4" s="63" t="s">
        <v>38</v>
      </c>
    </row>
    <row r="5" spans="1:10" ht="19" thickTop="1" thickBot="1">
      <c r="B5" s="22"/>
      <c r="C5" s="23"/>
      <c r="D5" s="106" t="s">
        <v>82</v>
      </c>
      <c r="E5" s="24"/>
      <c r="F5" s="106" t="s">
        <v>107</v>
      </c>
      <c r="G5" s="125" t="s">
        <v>108</v>
      </c>
    </row>
    <row r="6" spans="1:10" ht="18.5" thickTop="1"/>
    <row r="7" spans="1:10" ht="18.5" thickBot="1">
      <c r="A7" s="65" t="s">
        <v>86</v>
      </c>
    </row>
    <row r="8" spans="1:10" ht="19" thickTop="1" thickBot="1">
      <c r="B8" s="107" t="s">
        <v>87</v>
      </c>
      <c r="C8" s="108" t="str">
        <f>IF(ISBLANK(E5)," ",E5)</f>
        <v xml:space="preserve"> </v>
      </c>
      <c r="D8" s="109" t="s">
        <v>107</v>
      </c>
      <c r="E8" s="110"/>
      <c r="F8" s="111"/>
    </row>
    <row r="9" spans="1:10" ht="19" thickTop="1" thickBot="1">
      <c r="B9" s="107" t="s">
        <v>88</v>
      </c>
      <c r="C9" s="108">
        <f>IF(ISBLANK(G5),"",IF(G5="豆類、とうもろこし及び野菜類",0.02,0.0016))</f>
        <v>1.6000000000000001E-3</v>
      </c>
      <c r="D9" s="109" t="s">
        <v>109</v>
      </c>
      <c r="E9" s="110"/>
      <c r="F9" s="111"/>
    </row>
    <row r="10" spans="1:10" ht="19" thickTop="1" thickBot="1">
      <c r="B10" s="107" t="s">
        <v>110</v>
      </c>
      <c r="C10" s="108">
        <f>IF(ISBLANK(G5),"",IF(G5="豆類、とうもろこし及び野菜類",0.05,0.1))</f>
        <v>0.1</v>
      </c>
      <c r="D10" s="109" t="s">
        <v>91</v>
      </c>
      <c r="E10" s="110"/>
      <c r="F10" s="111"/>
    </row>
    <row r="11" spans="1:10" ht="19" thickTop="1" thickBot="1"/>
    <row r="12" spans="1:10" ht="19" thickTop="1" thickBot="1">
      <c r="B12" s="107" t="s">
        <v>92</v>
      </c>
      <c r="C12" s="117">
        <v>0.53</v>
      </c>
      <c r="D12" s="275" t="s">
        <v>91</v>
      </c>
      <c r="E12" s="276"/>
      <c r="F12" s="277"/>
    </row>
    <row r="13" spans="1:10" ht="19" thickTop="1" thickBot="1">
      <c r="B13" s="107" t="s">
        <v>93</v>
      </c>
      <c r="C13" s="126" t="str">
        <f>IFERROR(IF(OR(ISBLANK(E5),ISBLANK(G5)),"",C8*C9*1000000*C12),"")</f>
        <v/>
      </c>
      <c r="D13" s="127" t="s">
        <v>94</v>
      </c>
      <c r="E13" s="121"/>
      <c r="F13" s="122"/>
    </row>
    <row r="14" spans="1:10" ht="19" thickTop="1" thickBot="1"/>
    <row r="15" spans="1:10" ht="19" thickTop="1" thickBot="1">
      <c r="B15" s="107" t="s">
        <v>95</v>
      </c>
      <c r="C15" s="126" t="str">
        <f>IFERROR(IF(OR(ISBLANK(E5),ISBLANK(G5)),"",4.4/0.022*C10*C13*0.001),"")</f>
        <v/>
      </c>
      <c r="D15" s="120" t="s">
        <v>17</v>
      </c>
      <c r="E15" s="121"/>
      <c r="F15" s="122"/>
    </row>
    <row r="16" spans="1:10" ht="18.5" thickTop="1"/>
    <row r="17" spans="1:6" ht="18.5" thickBot="1">
      <c r="A17" s="65" t="s">
        <v>96</v>
      </c>
    </row>
    <row r="18" spans="1:6" ht="34.5" thickTop="1" thickBot="1">
      <c r="B18" s="123" t="s">
        <v>111</v>
      </c>
      <c r="C18" s="33"/>
      <c r="D18" s="110" t="s">
        <v>112</v>
      </c>
      <c r="E18" s="110"/>
      <c r="F18" s="111"/>
    </row>
    <row r="19" spans="1:6" ht="19" thickTop="1" thickBot="1">
      <c r="B19" s="123" t="s">
        <v>113</v>
      </c>
      <c r="C19" s="33"/>
      <c r="D19" s="110" t="s">
        <v>114</v>
      </c>
      <c r="E19" s="110"/>
      <c r="F19" s="111"/>
    </row>
    <row r="20" spans="1:6" ht="19" thickTop="1" thickBot="1">
      <c r="B20" s="123" t="s">
        <v>115</v>
      </c>
      <c r="C20" s="33"/>
      <c r="D20" s="110" t="s">
        <v>114</v>
      </c>
      <c r="E20" s="110"/>
      <c r="F20" s="111"/>
    </row>
    <row r="21" spans="1:6" ht="19" thickTop="1" thickBot="1">
      <c r="B21" s="107" t="s">
        <v>92</v>
      </c>
      <c r="C21" s="128">
        <v>0.53</v>
      </c>
      <c r="D21" s="275" t="s">
        <v>91</v>
      </c>
      <c r="E21" s="276"/>
      <c r="F21" s="277"/>
    </row>
    <row r="22" spans="1:6" ht="19" thickTop="1" thickBot="1"/>
    <row r="23" spans="1:6" ht="19" thickTop="1" thickBot="1">
      <c r="B23" s="107" t="s">
        <v>93</v>
      </c>
      <c r="C23" s="117" t="str">
        <f>IF(OR(ISBLANK(C18),ISBLANK(C19),ISBLANK(C20)),"",C18*C19/C20*C21)</f>
        <v/>
      </c>
      <c r="D23" s="121" t="s">
        <v>94</v>
      </c>
      <c r="E23" s="121"/>
      <c r="F23" s="122"/>
    </row>
    <row r="24" spans="1:6" ht="19" thickTop="1" thickBot="1"/>
    <row r="25" spans="1:6" ht="19" thickTop="1" thickBot="1">
      <c r="B25" s="107" t="s">
        <v>95</v>
      </c>
      <c r="C25" s="117" t="str">
        <f>IF(OR(ISBLANK(C18),ISBLANK(C19),ISBLANK(C20)),"",4.4*C10*C23*0.001/0.022)</f>
        <v/>
      </c>
      <c r="D25" s="120" t="s">
        <v>17</v>
      </c>
      <c r="E25" s="121"/>
      <c r="F25" s="122"/>
    </row>
    <row r="26" spans="1:6" ht="18.5" thickTop="1"/>
  </sheetData>
  <sheetProtection algorithmName="SHA-512" hashValue="q/+r9NuScItcltYgvEwQTcldsqRJOKJFknWSTeiK3/XMxwCZs+CPc62DnLqGVmKDQqGeviLPAM0TV1uk1jclUA==" saltValue="J2RAYDkaVsadRiqXpxxlNA==" spinCount="100000" sheet="1" objects="1" scenarios="1"/>
  <mergeCells count="3">
    <mergeCell ref="E4:F4"/>
    <mergeCell ref="D12:F12"/>
    <mergeCell ref="D21:F21"/>
  </mergeCells>
  <phoneticPr fontId="4"/>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J26"/>
  <sheetViews>
    <sheetView zoomScaleNormal="100" workbookViewId="0">
      <selection activeCell="G15" sqref="G15"/>
    </sheetView>
  </sheetViews>
  <sheetFormatPr defaultColWidth="9" defaultRowHeight="18"/>
  <cols>
    <col min="1" max="1" width="9" style="65"/>
    <col min="2" max="2" width="16.1796875" style="65" customWidth="1"/>
    <col min="3" max="3" width="12" style="65" customWidth="1"/>
    <col min="4" max="4" width="2.81640625" style="65" customWidth="1"/>
    <col min="5" max="5" width="15" style="65" customWidth="1"/>
    <col min="6" max="6" width="13.1796875" style="65" customWidth="1"/>
    <col min="7" max="7" width="27.7265625" style="65" customWidth="1"/>
    <col min="8" max="8" width="6.453125" style="65" customWidth="1"/>
    <col min="9" max="16384" width="9" style="65"/>
  </cols>
  <sheetData>
    <row r="1" spans="1:10" ht="19.5" customHeight="1">
      <c r="A1" s="64" t="s">
        <v>104</v>
      </c>
    </row>
    <row r="2" spans="1:10">
      <c r="I2" s="101"/>
      <c r="J2" s="63" t="s">
        <v>3</v>
      </c>
    </row>
    <row r="3" spans="1:10">
      <c r="A3" s="65" t="s">
        <v>75</v>
      </c>
      <c r="I3" s="69"/>
      <c r="J3" s="63" t="s">
        <v>76</v>
      </c>
    </row>
    <row r="4" spans="1:10" ht="19.5" customHeight="1" thickBot="1">
      <c r="B4" s="102" t="s">
        <v>77</v>
      </c>
      <c r="C4" s="104" t="s">
        <v>78</v>
      </c>
      <c r="D4" s="104"/>
      <c r="E4" s="274" t="s">
        <v>105</v>
      </c>
      <c r="F4" s="274"/>
      <c r="G4" s="105" t="s">
        <v>106</v>
      </c>
      <c r="I4" s="70"/>
      <c r="J4" s="63" t="s">
        <v>38</v>
      </c>
    </row>
    <row r="5" spans="1:10" ht="19" thickTop="1" thickBot="1">
      <c r="B5" s="22"/>
      <c r="C5" s="23"/>
      <c r="D5" s="106" t="s">
        <v>82</v>
      </c>
      <c r="E5" s="24"/>
      <c r="F5" s="106" t="s">
        <v>107</v>
      </c>
      <c r="G5" s="125" t="s">
        <v>116</v>
      </c>
    </row>
    <row r="6" spans="1:10" ht="18.5" thickTop="1"/>
    <row r="7" spans="1:10" ht="18.5" thickBot="1">
      <c r="A7" s="65" t="s">
        <v>86</v>
      </c>
    </row>
    <row r="8" spans="1:10" ht="19" thickTop="1" thickBot="1">
      <c r="B8" s="107" t="s">
        <v>87</v>
      </c>
      <c r="C8" s="108" t="str">
        <f>IF(ISBLANK(E5)," ",E5)</f>
        <v xml:space="preserve"> </v>
      </c>
      <c r="D8" s="109" t="s">
        <v>107</v>
      </c>
      <c r="E8" s="110"/>
      <c r="F8" s="111"/>
    </row>
    <row r="9" spans="1:10" ht="19" thickTop="1" thickBot="1">
      <c r="B9" s="107" t="s">
        <v>88</v>
      </c>
      <c r="C9" s="108">
        <f>IF(ISBLANK(G5),"",IF(G5="豆類、とうもろこし及び野菜類",0.02,0.0016))</f>
        <v>0.02</v>
      </c>
      <c r="D9" s="109" t="s">
        <v>109</v>
      </c>
      <c r="E9" s="110"/>
      <c r="F9" s="111"/>
    </row>
    <row r="10" spans="1:10" ht="19" thickTop="1" thickBot="1">
      <c r="B10" s="107" t="s">
        <v>110</v>
      </c>
      <c r="C10" s="108">
        <f>IF(ISBLANK(G5),"",IF(G5="豆類、とうもろこし及び野菜類",0.05,0.1))</f>
        <v>0.05</v>
      </c>
      <c r="D10" s="109" t="s">
        <v>91</v>
      </c>
      <c r="E10" s="110"/>
      <c r="F10" s="111"/>
    </row>
    <row r="11" spans="1:10" ht="19" thickTop="1" thickBot="1"/>
    <row r="12" spans="1:10" ht="19" thickTop="1" thickBot="1">
      <c r="B12" s="107" t="s">
        <v>92</v>
      </c>
      <c r="C12" s="117">
        <v>0.53</v>
      </c>
      <c r="D12" s="275" t="s">
        <v>91</v>
      </c>
      <c r="E12" s="276"/>
      <c r="F12" s="277"/>
    </row>
    <row r="13" spans="1:10" ht="19" thickTop="1" thickBot="1">
      <c r="B13" s="107" t="s">
        <v>93</v>
      </c>
      <c r="C13" s="126" t="str">
        <f>IFERROR(IF(OR(ISBLANK(E5),ISBLANK(G5)),"",C8*C9*1000000*C12),"")</f>
        <v/>
      </c>
      <c r="D13" s="127" t="s">
        <v>94</v>
      </c>
      <c r="E13" s="121"/>
      <c r="F13" s="122"/>
    </row>
    <row r="14" spans="1:10" ht="19" thickTop="1" thickBot="1"/>
    <row r="15" spans="1:10" ht="19" thickTop="1" thickBot="1">
      <c r="B15" s="107" t="s">
        <v>95</v>
      </c>
      <c r="C15" s="126" t="str">
        <f>IFERROR(IF(OR(ISBLANK(E5),ISBLANK(G5)),"",4.4/0.022*C10*C13*0.001),"")</f>
        <v/>
      </c>
      <c r="D15" s="120" t="s">
        <v>17</v>
      </c>
      <c r="E15" s="121"/>
      <c r="F15" s="122"/>
    </row>
    <row r="16" spans="1:10" ht="18.5" thickTop="1"/>
    <row r="17" spans="1:6" ht="18.5" thickBot="1">
      <c r="A17" s="65" t="s">
        <v>96</v>
      </c>
    </row>
    <row r="18" spans="1:6" ht="34.5" thickTop="1" thickBot="1">
      <c r="B18" s="123" t="s">
        <v>111</v>
      </c>
      <c r="C18" s="33"/>
      <c r="D18" s="110" t="s">
        <v>112</v>
      </c>
      <c r="E18" s="110"/>
      <c r="F18" s="111"/>
    </row>
    <row r="19" spans="1:6" ht="19" thickTop="1" thickBot="1">
      <c r="B19" s="123" t="s">
        <v>113</v>
      </c>
      <c r="C19" s="33"/>
      <c r="D19" s="110" t="s">
        <v>114</v>
      </c>
      <c r="E19" s="110"/>
      <c r="F19" s="111"/>
    </row>
    <row r="20" spans="1:6" ht="19" thickTop="1" thickBot="1">
      <c r="B20" s="123" t="s">
        <v>115</v>
      </c>
      <c r="C20" s="33"/>
      <c r="D20" s="110" t="s">
        <v>114</v>
      </c>
      <c r="E20" s="110"/>
      <c r="F20" s="111"/>
    </row>
    <row r="21" spans="1:6" ht="19" thickTop="1" thickBot="1">
      <c r="B21" s="107" t="s">
        <v>92</v>
      </c>
      <c r="C21" s="128">
        <v>0.53</v>
      </c>
      <c r="D21" s="275" t="s">
        <v>91</v>
      </c>
      <c r="E21" s="276"/>
      <c r="F21" s="277"/>
    </row>
    <row r="22" spans="1:6" ht="19" thickTop="1" thickBot="1"/>
    <row r="23" spans="1:6" ht="19" thickTop="1" thickBot="1">
      <c r="B23" s="107" t="s">
        <v>93</v>
      </c>
      <c r="C23" s="117" t="str">
        <f>IF(OR(ISBLANK(C18),ISBLANK(C19),ISBLANK(C20)),"",C18*C19/C20*C21)</f>
        <v/>
      </c>
      <c r="D23" s="121" t="s">
        <v>94</v>
      </c>
      <c r="E23" s="121"/>
      <c r="F23" s="122"/>
    </row>
    <row r="24" spans="1:6" ht="19" thickTop="1" thickBot="1"/>
    <row r="25" spans="1:6" ht="19" thickTop="1" thickBot="1">
      <c r="B25" s="107" t="s">
        <v>95</v>
      </c>
      <c r="C25" s="117" t="str">
        <f>IF(OR(ISBLANK(C18),ISBLANK(C19),ISBLANK(C20)),"",4.4*C10*C23*0.001/0.022)</f>
        <v/>
      </c>
      <c r="D25" s="120" t="s">
        <v>17</v>
      </c>
      <c r="E25" s="121"/>
      <c r="F25" s="122"/>
    </row>
    <row r="26" spans="1:6" ht="18.5" thickTop="1"/>
  </sheetData>
  <sheetProtection algorithmName="SHA-512" hashValue="1WMhDBScwwQwLmWdjrhaZRVhEO5BdTG6V1caLP8d0L1zt4+73NVsyFcJwnE6RLRNFeUaLIhVIk4x2diCJlZ2aw==" saltValue="Yhq1PCPRITLzD5RM/HtErg==" spinCount="100000" sheet="1" objects="1" scenarios="1"/>
  <mergeCells count="3">
    <mergeCell ref="E4:F4"/>
    <mergeCell ref="D12:F12"/>
    <mergeCell ref="D21:F21"/>
  </mergeCells>
  <phoneticPr fontId="3"/>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T52"/>
  <sheetViews>
    <sheetView topLeftCell="A22" zoomScale="130" zoomScaleNormal="130" workbookViewId="0">
      <selection activeCell="J33" sqref="J33"/>
    </sheetView>
  </sheetViews>
  <sheetFormatPr defaultColWidth="9" defaultRowHeight="18"/>
  <cols>
    <col min="1" max="1" width="9.54296875" style="65" customWidth="1"/>
    <col min="2" max="2" width="15.1796875" style="65" customWidth="1"/>
    <col min="3" max="3" width="13.1796875" style="65" customWidth="1"/>
    <col min="4" max="4" width="2.81640625" style="65" customWidth="1"/>
    <col min="5" max="5" width="15.26953125" style="65" customWidth="1"/>
    <col min="6" max="6" width="12" style="65" customWidth="1"/>
    <col min="7" max="7" width="3.1796875" style="65" customWidth="1"/>
    <col min="8" max="8" width="12.1796875" style="65" customWidth="1"/>
    <col min="9" max="9" width="3" style="65" customWidth="1"/>
    <col min="10" max="10" width="18.453125" style="65" customWidth="1"/>
    <col min="11" max="11" width="3.453125" style="65" customWidth="1"/>
    <col min="12" max="12" width="3.1796875" style="65" customWidth="1"/>
    <col min="13" max="13" width="6.453125" style="65" customWidth="1"/>
    <col min="14" max="16384" width="9" style="65"/>
  </cols>
  <sheetData>
    <row r="1" spans="1:15" ht="19.5" customHeight="1">
      <c r="A1" s="64" t="s">
        <v>117</v>
      </c>
      <c r="G1" s="85"/>
      <c r="H1" s="85"/>
      <c r="I1" s="85"/>
      <c r="J1" s="85"/>
      <c r="K1" s="85"/>
    </row>
    <row r="2" spans="1:15">
      <c r="N2" s="101"/>
      <c r="O2" s="63" t="s">
        <v>3</v>
      </c>
    </row>
    <row r="3" spans="1:15">
      <c r="A3" s="65" t="s">
        <v>75</v>
      </c>
      <c r="N3" s="69"/>
      <c r="O3" s="63" t="s">
        <v>76</v>
      </c>
    </row>
    <row r="4" spans="1:15" ht="19.5" customHeight="1" thickBot="1">
      <c r="B4" s="102" t="s">
        <v>77</v>
      </c>
      <c r="C4" s="103" t="s">
        <v>78</v>
      </c>
      <c r="D4" s="104"/>
      <c r="E4" s="274" t="s">
        <v>79</v>
      </c>
      <c r="F4" s="274"/>
      <c r="N4" s="70"/>
      <c r="O4" s="63" t="s">
        <v>38</v>
      </c>
    </row>
    <row r="5" spans="1:15" ht="19" thickTop="1" thickBot="1">
      <c r="A5" s="85" t="s">
        <v>118</v>
      </c>
      <c r="B5" s="22"/>
      <c r="C5" s="23"/>
      <c r="D5" s="106" t="s">
        <v>82</v>
      </c>
      <c r="E5" s="24"/>
      <c r="F5" s="106" t="s">
        <v>83</v>
      </c>
    </row>
    <row r="6" spans="1:15" ht="19" thickTop="1" thickBot="1">
      <c r="A6" s="85" t="s">
        <v>119</v>
      </c>
      <c r="B6" s="22"/>
      <c r="C6" s="23"/>
      <c r="D6" s="106" t="s">
        <v>82</v>
      </c>
      <c r="E6" s="24"/>
      <c r="F6" s="106" t="s">
        <v>83</v>
      </c>
    </row>
    <row r="7" spans="1:15" ht="18.5" thickTop="1"/>
    <row r="8" spans="1:15" ht="18.5" thickBot="1">
      <c r="A8" s="65" t="s">
        <v>86</v>
      </c>
    </row>
    <row r="9" spans="1:15" ht="19" thickTop="1" thickBot="1">
      <c r="A9" s="85" t="s">
        <v>118</v>
      </c>
      <c r="B9" s="107" t="s">
        <v>87</v>
      </c>
      <c r="C9" s="108" t="str">
        <f>IF(ISBLANK(E5),"",E5)</f>
        <v/>
      </c>
      <c r="D9" s="109" t="s">
        <v>83</v>
      </c>
      <c r="E9" s="110"/>
      <c r="F9" s="111"/>
    </row>
    <row r="10" spans="1:15" ht="19" thickTop="1" thickBot="1">
      <c r="A10" s="85" t="s">
        <v>119</v>
      </c>
      <c r="B10" s="107" t="s">
        <v>87</v>
      </c>
      <c r="C10" s="108" t="str">
        <f>IF(ISBLANK(E6),"",E6)</f>
        <v/>
      </c>
      <c r="D10" s="109" t="s">
        <v>83</v>
      </c>
      <c r="E10" s="110"/>
      <c r="F10" s="111"/>
    </row>
    <row r="11" spans="1:15" ht="19" thickTop="1" thickBot="1">
      <c r="B11" s="107" t="s">
        <v>88</v>
      </c>
      <c r="C11" s="108">
        <v>1.26</v>
      </c>
      <c r="D11" s="109" t="s">
        <v>89</v>
      </c>
      <c r="E11" s="110"/>
      <c r="F11" s="111"/>
    </row>
    <row r="12" spans="1:15" ht="19" thickTop="1" thickBot="1"/>
    <row r="13" spans="1:15" ht="19" thickTop="1" thickBot="1">
      <c r="B13" s="107" t="s">
        <v>92</v>
      </c>
      <c r="C13" s="117">
        <v>0.53</v>
      </c>
      <c r="D13" s="275" t="s">
        <v>91</v>
      </c>
      <c r="E13" s="276"/>
      <c r="F13" s="277"/>
    </row>
    <row r="14" spans="1:15" ht="19" thickTop="1" thickBot="1">
      <c r="A14" s="85" t="s">
        <v>118</v>
      </c>
      <c r="B14" s="107" t="s">
        <v>93</v>
      </c>
      <c r="C14" s="124" t="str">
        <f>IF(ISNUMBER(E5),C9*C11*C13,"")</f>
        <v/>
      </c>
      <c r="D14" s="127" t="s">
        <v>94</v>
      </c>
      <c r="E14" s="121"/>
      <c r="F14" s="122"/>
    </row>
    <row r="15" spans="1:15" ht="19" thickTop="1" thickBot="1">
      <c r="A15" s="85" t="s">
        <v>119</v>
      </c>
      <c r="B15" s="107" t="s">
        <v>93</v>
      </c>
      <c r="C15" s="124" t="str">
        <f>IF(ISNUMBER(E6),C10*C11*C13,"")</f>
        <v/>
      </c>
      <c r="D15" s="121" t="s">
        <v>94</v>
      </c>
      <c r="E15" s="121"/>
      <c r="F15" s="122"/>
    </row>
    <row r="16" spans="1:15" ht="19" thickTop="1" thickBot="1"/>
    <row r="17" spans="1:14" ht="19" thickTop="1" thickBot="1">
      <c r="B17" s="107" t="s">
        <v>95</v>
      </c>
      <c r="C17" s="130" t="str">
        <f>IF(OR(ISNUMBER(E5),ISNUMBER(E6)),SUM(IF(ISNUMBER(E5),6.8*0.014*C14*0.001/0.022,0),IF(ISNUMBER(E6),6.8*0.011*C15*0.001/0.022,0)),"")</f>
        <v/>
      </c>
      <c r="D17" s="120" t="s">
        <v>17</v>
      </c>
      <c r="E17" s="121"/>
      <c r="F17" s="122"/>
    </row>
    <row r="18" spans="1:14" ht="18.5" thickTop="1"/>
    <row r="19" spans="1:14" ht="18.5" thickBot="1">
      <c r="A19" s="65" t="s">
        <v>96</v>
      </c>
    </row>
    <row r="20" spans="1:14" ht="18.5" thickBot="1">
      <c r="A20" s="65" t="s">
        <v>120</v>
      </c>
      <c r="N20" s="79"/>
    </row>
    <row r="21" spans="1:14" ht="35.25" customHeight="1" thickTop="1" thickBot="1">
      <c r="B21" s="131" t="s">
        <v>121</v>
      </c>
      <c r="C21" s="285" t="s">
        <v>122</v>
      </c>
      <c r="D21" s="288"/>
      <c r="E21" s="289"/>
      <c r="N21" s="79"/>
    </row>
    <row r="22" spans="1:14" ht="19" thickTop="1" thickBot="1">
      <c r="A22" s="85" t="s">
        <v>118</v>
      </c>
      <c r="B22" s="26"/>
      <c r="C22" s="283"/>
      <c r="D22" s="290"/>
      <c r="E22" s="132" t="s">
        <v>123</v>
      </c>
      <c r="N22" s="79"/>
    </row>
    <row r="23" spans="1:14" ht="19" thickTop="1" thickBot="1">
      <c r="A23" s="85" t="s">
        <v>119</v>
      </c>
      <c r="B23" s="26"/>
      <c r="C23" s="283"/>
      <c r="D23" s="290"/>
      <c r="E23" s="132" t="s">
        <v>123</v>
      </c>
      <c r="N23" s="79"/>
    </row>
    <row r="24" spans="1:14" ht="19" thickTop="1" thickBot="1"/>
    <row r="25" spans="1:14" ht="19" thickTop="1" thickBot="1">
      <c r="B25" s="107" t="s">
        <v>92</v>
      </c>
      <c r="C25" s="117">
        <v>0.53</v>
      </c>
      <c r="D25" s="275" t="s">
        <v>91</v>
      </c>
      <c r="E25" s="276"/>
      <c r="F25" s="277"/>
    </row>
    <row r="26" spans="1:14" ht="19" thickTop="1" thickBot="1">
      <c r="A26" s="85" t="s">
        <v>118</v>
      </c>
      <c r="B26" s="107" t="s">
        <v>93</v>
      </c>
      <c r="C26" s="119" t="str">
        <f>IF(ISNUMBER(C22),C22*IF(B22="有",1,0.6)*C25,"")</f>
        <v/>
      </c>
      <c r="D26" s="121" t="s">
        <v>94</v>
      </c>
      <c r="E26" s="121"/>
      <c r="F26" s="122"/>
    </row>
    <row r="27" spans="1:14" ht="19" thickTop="1" thickBot="1">
      <c r="A27" s="85" t="s">
        <v>119</v>
      </c>
      <c r="B27" s="107" t="s">
        <v>93</v>
      </c>
      <c r="C27" s="124" t="str">
        <f>IF(ISNUMBER(C23),C23*IF(B23="有",1,0.6)*C25,"")</f>
        <v/>
      </c>
      <c r="D27" s="121" t="s">
        <v>94</v>
      </c>
      <c r="E27" s="121"/>
      <c r="F27" s="122"/>
    </row>
    <row r="28" spans="1:14" ht="19" thickTop="1" thickBot="1"/>
    <row r="29" spans="1:14" ht="19" thickTop="1" thickBot="1">
      <c r="B29" s="107" t="s">
        <v>95</v>
      </c>
      <c r="C29" s="133" t="str">
        <f>IF(OR(ISNUMBER(C22),ISNUMBER(C23)),SUM(IF(ISNUMBER(C22),6.8*0.014*C26*0.001/0.022,0),IF(ISNUMBER(C23),6.8*0.011*C27*0.001/0.022,0)),"")</f>
        <v/>
      </c>
      <c r="D29" s="120" t="s">
        <v>17</v>
      </c>
      <c r="E29" s="121"/>
      <c r="F29" s="122"/>
    </row>
    <row r="30" spans="1:14" ht="18.5" thickTop="1"/>
    <row r="31" spans="1:14" ht="18.5" thickBot="1">
      <c r="A31" s="65" t="s">
        <v>124</v>
      </c>
    </row>
    <row r="32" spans="1:14" ht="35.25" customHeight="1" thickTop="1" thickBot="1">
      <c r="B32" s="131" t="s">
        <v>121</v>
      </c>
      <c r="C32" s="285" t="s">
        <v>122</v>
      </c>
      <c r="D32" s="287"/>
      <c r="E32" s="286"/>
      <c r="F32" s="285" t="s">
        <v>125</v>
      </c>
      <c r="G32" s="286"/>
      <c r="H32" s="281" t="s">
        <v>126</v>
      </c>
      <c r="I32" s="282"/>
      <c r="J32" s="281" t="s">
        <v>127</v>
      </c>
      <c r="K32" s="282"/>
      <c r="N32" s="78" t="s">
        <v>128</v>
      </c>
    </row>
    <row r="33" spans="1:20" ht="19" thickTop="1" thickBot="1">
      <c r="A33" s="85" t="s">
        <v>118</v>
      </c>
      <c r="B33" s="26"/>
      <c r="C33" s="283"/>
      <c r="D33" s="284"/>
      <c r="E33" s="132" t="s">
        <v>123</v>
      </c>
      <c r="F33" s="33"/>
      <c r="G33" s="122" t="s">
        <v>84</v>
      </c>
      <c r="H33" s="35"/>
      <c r="I33" s="122" t="s">
        <v>85</v>
      </c>
      <c r="J33" s="33"/>
      <c r="K33" s="122" t="s">
        <v>85</v>
      </c>
      <c r="N33" s="78" t="s">
        <v>129</v>
      </c>
    </row>
    <row r="34" spans="1:20" ht="19" thickTop="1" thickBot="1">
      <c r="A34" s="85" t="s">
        <v>119</v>
      </c>
      <c r="B34" s="26"/>
      <c r="C34" s="283"/>
      <c r="D34" s="284"/>
      <c r="E34" s="132" t="s">
        <v>123</v>
      </c>
      <c r="F34" s="25"/>
      <c r="G34" s="132" t="s">
        <v>84</v>
      </c>
      <c r="H34" s="35"/>
      <c r="I34" s="122" t="s">
        <v>85</v>
      </c>
      <c r="J34" s="33"/>
      <c r="K34" s="122" t="s">
        <v>85</v>
      </c>
      <c r="N34" s="78" t="s">
        <v>130</v>
      </c>
    </row>
    <row r="35" spans="1:20" ht="19" thickTop="1" thickBot="1"/>
    <row r="36" spans="1:20" ht="19" thickTop="1" thickBot="1">
      <c r="B36" s="107" t="s">
        <v>92</v>
      </c>
      <c r="C36" s="117">
        <v>0.53</v>
      </c>
      <c r="D36" s="275" t="s">
        <v>91</v>
      </c>
      <c r="E36" s="276"/>
      <c r="F36" s="277"/>
    </row>
    <row r="37" spans="1:20" ht="19" thickTop="1" thickBot="1">
      <c r="A37" s="85" t="s">
        <v>118</v>
      </c>
      <c r="B37" s="107" t="s">
        <v>93</v>
      </c>
      <c r="C37" s="134" t="str">
        <f>IF(ISNUMBER(C33),C33/2*IF(J33="",F33,VLOOKUP(F33,N43:O52,2,))*IF(B33="有",1,0.6)*C36,"")</f>
        <v/>
      </c>
      <c r="D37" s="121" t="s">
        <v>94</v>
      </c>
      <c r="E37" s="121"/>
      <c r="F37" s="122"/>
    </row>
    <row r="38" spans="1:20" ht="19" thickTop="1" thickBot="1">
      <c r="A38" s="85" t="s">
        <v>119</v>
      </c>
      <c r="B38" s="107" t="s">
        <v>93</v>
      </c>
      <c r="C38" s="134" t="str">
        <f>IF(ISNUMBER(C34),C34/2*IF(J34="",F34,VLOOKUP(F34,R43:S52,2,))*IF(B34="有",1,0.6)*C36,"")</f>
        <v/>
      </c>
      <c r="D38" s="121" t="s">
        <v>94</v>
      </c>
      <c r="E38" s="121"/>
      <c r="F38" s="122"/>
    </row>
    <row r="39" spans="1:20" ht="19" thickTop="1" thickBot="1"/>
    <row r="40" spans="1:20" ht="19" thickTop="1" thickBot="1">
      <c r="B40" s="107" t="s">
        <v>95</v>
      </c>
      <c r="C40" s="130" t="str">
        <f>IF(OR(ISNUMBER(C33),ISNUMBER(C34)),SUM(IF(ISNUMBER(C33),6.8*0.014*C37*0.001/0.022,0),IF(ISNUMBER(C34),6.8*0.011*C38*0.001/0.022,0)),"")</f>
        <v/>
      </c>
      <c r="D40" s="120" t="s">
        <v>17</v>
      </c>
      <c r="E40" s="121"/>
      <c r="F40" s="122"/>
    </row>
    <row r="41" spans="1:20" ht="18.5" thickTop="1"/>
    <row r="42" spans="1:20">
      <c r="N42" s="135" t="s">
        <v>131</v>
      </c>
      <c r="O42" s="136" t="s">
        <v>132</v>
      </c>
      <c r="P42" s="4"/>
      <c r="R42" s="135" t="s">
        <v>131</v>
      </c>
      <c r="S42" s="136" t="s">
        <v>132</v>
      </c>
      <c r="T42" s="4"/>
    </row>
    <row r="43" spans="1:20">
      <c r="N43" s="137">
        <v>1</v>
      </c>
      <c r="O43" s="138" t="e">
        <f>P43</f>
        <v>#DIV/0!</v>
      </c>
      <c r="P43" s="138" t="e">
        <f>IF(ISNUMBER(H$33),0.5^((N43-1)*H$33/J$33),0.5^((N43-1)*7/J$33))</f>
        <v>#DIV/0!</v>
      </c>
      <c r="R43" s="137">
        <v>1</v>
      </c>
      <c r="S43" s="138" t="e">
        <f>T43</f>
        <v>#DIV/0!</v>
      </c>
      <c r="T43" s="138" t="e">
        <f>IF(ISNUMBER(H$34),0.5^((R43-1)*H$34/J$34),0.5^((R43-1)*7/J$34))</f>
        <v>#DIV/0!</v>
      </c>
    </row>
    <row r="44" spans="1:20">
      <c r="N44" s="137">
        <v>2</v>
      </c>
      <c r="O44" s="139" t="e">
        <f>SUM(P43:P44)</f>
        <v>#DIV/0!</v>
      </c>
      <c r="P44" s="138" t="e">
        <f>IF(ISNUMBER(H$33),0.5^((N44-1)*H$33/J$33),0.5^((N44-1)*7/J$33))</f>
        <v>#DIV/0!</v>
      </c>
      <c r="R44" s="137">
        <v>2</v>
      </c>
      <c r="S44" s="139" t="e">
        <f>SUM(T43:T44)</f>
        <v>#DIV/0!</v>
      </c>
      <c r="T44" s="138" t="e">
        <f t="shared" ref="T44:T52" si="0">IF(ISNUMBER(H$34),0.5^((R44-1)*H$34/J$34),0.5^((R44-1)*7/J$34))</f>
        <v>#DIV/0!</v>
      </c>
    </row>
    <row r="45" spans="1:20">
      <c r="N45" s="137">
        <v>3</v>
      </c>
      <c r="O45" s="139" t="e">
        <f>SUM(P43:P45)</f>
        <v>#DIV/0!</v>
      </c>
      <c r="P45" s="138" t="e">
        <f t="shared" ref="P45:P52" si="1">IF(ISNUMBER(H$33),0.5^((N45-1)*H$33/J$33),0.5^((N45-1)*7/J$33))</f>
        <v>#DIV/0!</v>
      </c>
      <c r="R45" s="137">
        <v>3</v>
      </c>
      <c r="S45" s="139" t="e">
        <f>SUM(T43:T45)</f>
        <v>#DIV/0!</v>
      </c>
      <c r="T45" s="138" t="e">
        <f t="shared" si="0"/>
        <v>#DIV/0!</v>
      </c>
    </row>
    <row r="46" spans="1:20">
      <c r="N46" s="137">
        <v>4</v>
      </c>
      <c r="O46" s="139" t="e">
        <f>SUM(P43:P46)</f>
        <v>#DIV/0!</v>
      </c>
      <c r="P46" s="138" t="e">
        <f t="shared" si="1"/>
        <v>#DIV/0!</v>
      </c>
      <c r="R46" s="137">
        <v>4</v>
      </c>
      <c r="S46" s="139" t="e">
        <f>SUM(T43:T46)</f>
        <v>#DIV/0!</v>
      </c>
      <c r="T46" s="138" t="e">
        <f t="shared" si="0"/>
        <v>#DIV/0!</v>
      </c>
    </row>
    <row r="47" spans="1:20">
      <c r="N47" s="137">
        <v>5</v>
      </c>
      <c r="O47" s="139" t="e">
        <f>SUM(P43:P47)</f>
        <v>#DIV/0!</v>
      </c>
      <c r="P47" s="138" t="e">
        <f t="shared" si="1"/>
        <v>#DIV/0!</v>
      </c>
      <c r="R47" s="137">
        <v>5</v>
      </c>
      <c r="S47" s="139" t="e">
        <f>SUM(T43:T47)</f>
        <v>#DIV/0!</v>
      </c>
      <c r="T47" s="138" t="e">
        <f t="shared" si="0"/>
        <v>#DIV/0!</v>
      </c>
    </row>
    <row r="48" spans="1:20">
      <c r="N48" s="137">
        <v>6</v>
      </c>
      <c r="O48" s="139" t="e">
        <f>SUM(P43:P48)</f>
        <v>#DIV/0!</v>
      </c>
      <c r="P48" s="138" t="e">
        <f t="shared" si="1"/>
        <v>#DIV/0!</v>
      </c>
      <c r="R48" s="137">
        <v>6</v>
      </c>
      <c r="S48" s="139" t="e">
        <f>SUM(T43:T48)</f>
        <v>#DIV/0!</v>
      </c>
      <c r="T48" s="138" t="e">
        <f t="shared" si="0"/>
        <v>#DIV/0!</v>
      </c>
    </row>
    <row r="49" spans="14:20">
      <c r="N49" s="137">
        <v>7</v>
      </c>
      <c r="O49" s="139" t="e">
        <f>SUM(P43:P49)</f>
        <v>#DIV/0!</v>
      </c>
      <c r="P49" s="138" t="e">
        <f t="shared" si="1"/>
        <v>#DIV/0!</v>
      </c>
      <c r="R49" s="137">
        <v>7</v>
      </c>
      <c r="S49" s="139" t="e">
        <f>SUM(T43:T49)</f>
        <v>#DIV/0!</v>
      </c>
      <c r="T49" s="138" t="e">
        <f t="shared" si="0"/>
        <v>#DIV/0!</v>
      </c>
    </row>
    <row r="50" spans="14:20">
      <c r="N50" s="137">
        <v>8</v>
      </c>
      <c r="O50" s="139" t="e">
        <f>SUM(P43:P50)</f>
        <v>#DIV/0!</v>
      </c>
      <c r="P50" s="138" t="e">
        <f t="shared" si="1"/>
        <v>#DIV/0!</v>
      </c>
      <c r="R50" s="137">
        <v>8</v>
      </c>
      <c r="S50" s="139" t="e">
        <f>SUM(T43:T50)</f>
        <v>#DIV/0!</v>
      </c>
      <c r="T50" s="138" t="e">
        <f t="shared" si="0"/>
        <v>#DIV/0!</v>
      </c>
    </row>
    <row r="51" spans="14:20">
      <c r="N51" s="137">
        <v>9</v>
      </c>
      <c r="O51" s="139" t="e">
        <f>SUM(P43:P51)</f>
        <v>#DIV/0!</v>
      </c>
      <c r="P51" s="138" t="e">
        <f t="shared" si="1"/>
        <v>#DIV/0!</v>
      </c>
      <c r="R51" s="137">
        <v>9</v>
      </c>
      <c r="S51" s="139" t="e">
        <f>SUM(T43:T51)</f>
        <v>#DIV/0!</v>
      </c>
      <c r="T51" s="138" t="e">
        <f t="shared" si="0"/>
        <v>#DIV/0!</v>
      </c>
    </row>
    <row r="52" spans="14:20">
      <c r="N52" s="38">
        <v>10</v>
      </c>
      <c r="O52" s="140" t="e">
        <f>SUM(P43:P52)</f>
        <v>#DIV/0!</v>
      </c>
      <c r="P52" s="38" t="e">
        <f t="shared" si="1"/>
        <v>#DIV/0!</v>
      </c>
      <c r="R52" s="38">
        <v>10</v>
      </c>
      <c r="S52" s="140" t="e">
        <f>SUM(T43:T52)</f>
        <v>#DIV/0!</v>
      </c>
      <c r="T52" s="38" t="e">
        <f t="shared" si="0"/>
        <v>#DIV/0!</v>
      </c>
    </row>
  </sheetData>
  <sheetProtection algorithmName="SHA-512" hashValue="c4A5tcILzhA0iubuMEPQ+7978oze9gPWsqyYEIjIUxhLQqnXsJGeZsBCkl7tJPxu6juFfBv6AqXBiTT9RAupqw==" saltValue="jZ6lltiNKsA5i47W1Cpbag==" spinCount="100000" sheet="1" objects="1" scenarios="1"/>
  <mergeCells count="13">
    <mergeCell ref="D13:F13"/>
    <mergeCell ref="D25:F25"/>
    <mergeCell ref="F32:G32"/>
    <mergeCell ref="C32:E32"/>
    <mergeCell ref="E4:F4"/>
    <mergeCell ref="C21:E21"/>
    <mergeCell ref="C22:D22"/>
    <mergeCell ref="C23:D23"/>
    <mergeCell ref="D36:F36"/>
    <mergeCell ref="H32:I32"/>
    <mergeCell ref="J32:K32"/>
    <mergeCell ref="C33:D33"/>
    <mergeCell ref="C34:D34"/>
  </mergeCells>
  <phoneticPr fontId="3"/>
  <dataValidations count="1">
    <dataValidation type="list" allowBlank="1" showInputMessage="1" sqref="B22:B23 B33:B34" xr:uid="{00000000-0002-0000-0600-000000000000}">
      <formula1>"有"</formula1>
    </dataValidation>
  </dataValidation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47769-9E70-432C-BCDA-EE2D8F228AEC}">
  <dimension ref="A1:M26"/>
  <sheetViews>
    <sheetView zoomScale="145" zoomScaleNormal="145" workbookViewId="0">
      <selection activeCell="D5" sqref="D5"/>
    </sheetView>
  </sheetViews>
  <sheetFormatPr defaultRowHeight="13"/>
  <cols>
    <col min="2" max="2" width="34.453125" customWidth="1"/>
    <col min="3" max="3" width="10" bestFit="1" customWidth="1"/>
    <col min="4" max="4" width="13.7265625" customWidth="1"/>
    <col min="7" max="7" width="10.1796875" customWidth="1"/>
    <col min="14" max="14" width="12.54296875" customWidth="1"/>
    <col min="15" max="15" width="19.453125" customWidth="1"/>
  </cols>
  <sheetData>
    <row r="1" spans="1:13" ht="22.5">
      <c r="A1" s="64" t="s">
        <v>133</v>
      </c>
      <c r="B1" s="65"/>
      <c r="C1" s="65"/>
      <c r="D1" s="65"/>
      <c r="E1" s="65"/>
    </row>
    <row r="3" spans="1:13" ht="18">
      <c r="A3" s="116" t="s">
        <v>134</v>
      </c>
      <c r="J3" s="68"/>
      <c r="K3" s="63" t="s">
        <v>3</v>
      </c>
      <c r="L3" s="3"/>
    </row>
    <row r="4" spans="1:13" ht="18">
      <c r="J4" s="70"/>
      <c r="K4" s="63" t="s">
        <v>38</v>
      </c>
      <c r="L4" s="65"/>
      <c r="M4" s="65"/>
    </row>
    <row r="5" spans="1:13" ht="18">
      <c r="J5" s="141"/>
      <c r="K5" s="142" t="s">
        <v>135</v>
      </c>
      <c r="L5" s="65"/>
    </row>
    <row r="6" spans="1:13" ht="18.5" thickBot="1">
      <c r="A6" s="65" t="s">
        <v>136</v>
      </c>
      <c r="B6" s="65"/>
      <c r="C6" s="65"/>
      <c r="D6" s="65"/>
      <c r="E6" s="65"/>
      <c r="F6" s="65"/>
      <c r="G6" s="141" t="s">
        <v>137</v>
      </c>
    </row>
    <row r="7" spans="1:13" ht="19" thickTop="1" thickBot="1">
      <c r="A7" s="65"/>
      <c r="B7" s="107" t="s">
        <v>138</v>
      </c>
      <c r="C7" s="143">
        <f>IF(G7="初期",水稲食シナリオ!C15,IF(G7="二次",水稲食シナリオ!C26,0))</f>
        <v>0</v>
      </c>
      <c r="D7" s="121" t="s">
        <v>17</v>
      </c>
      <c r="E7" s="121"/>
      <c r="F7" s="122"/>
      <c r="G7" s="141" t="str">
        <f>IF(水稲食シナリオ!E5="","",IF(水稲食シナリオ!C18&lt;&gt;"","二次","初期"))</f>
        <v/>
      </c>
    </row>
    <row r="8" spans="1:13" ht="19" thickTop="1" thickBot="1">
      <c r="B8" s="107" t="s">
        <v>139</v>
      </c>
      <c r="C8" s="143">
        <f>IF(G8="初期",果実食シナリオ!C15,IF(G8="二次",果実食シナリオ!C26,0))</f>
        <v>0</v>
      </c>
      <c r="D8" s="121" t="s">
        <v>17</v>
      </c>
      <c r="E8" s="121"/>
      <c r="F8" s="122"/>
      <c r="G8" s="144" t="str">
        <f>IF(果実食シナリオ!E5="","",IF(果実食シナリオ!C18&lt;&gt;"","二次","初期"))</f>
        <v/>
      </c>
    </row>
    <row r="9" spans="1:13" ht="19" thickTop="1" thickBot="1">
      <c r="B9" s="107" t="s">
        <v>140</v>
      </c>
      <c r="C9" s="143">
        <f>IF(G9="初期",'種子食シナリオ (直播水稲)'!C15,IF(G9="二次",'種子食シナリオ (直播水稲)'!C25,0))</f>
        <v>0</v>
      </c>
      <c r="D9" s="121" t="s">
        <v>17</v>
      </c>
      <c r="E9" s="121"/>
      <c r="F9" s="122"/>
      <c r="G9" s="144" t="str">
        <f>IF('種子食シナリオ (直播水稲)'!E5="","",IF('種子食シナリオ (直播水稲)'!C18&lt;&gt;"","二次","初期"))</f>
        <v/>
      </c>
    </row>
    <row r="10" spans="1:13" ht="19" thickTop="1" thickBot="1">
      <c r="B10" s="107" t="s">
        <v>141</v>
      </c>
      <c r="C10" s="143">
        <f>IF(G10="初期",'種子食シナリオ（豆類等）'!C15,IF(G10="二次",'種子食シナリオ（豆類等）'!C25,0))</f>
        <v>0</v>
      </c>
      <c r="D10" s="121" t="s">
        <v>17</v>
      </c>
      <c r="E10" s="121"/>
      <c r="F10" s="122"/>
      <c r="G10" s="144" t="str">
        <f>IF('種子食シナリオ（豆類等）'!E5="","",IF('種子食シナリオ（豆類等）'!C18&lt;&gt;"","二次","初期"))</f>
        <v/>
      </c>
    </row>
    <row r="11" spans="1:13" ht="19" thickTop="1" thickBot="1">
      <c r="B11" s="107" t="s">
        <v>142</v>
      </c>
      <c r="C11" s="145">
        <f>IF(G11="初期",6.8*0.014*昆虫食シナリオ!C14*0.001/0.022,IF(G11="二次",IF(AND(ISNUMBER(昆虫食シナリオ!C22),ISNUMBER(昆虫食シナリオ!C33)),MIN(6.8*0.014*昆虫食シナリオ!C26*0.001/0.022,6.8*0.014*昆虫食シナリオ!C37*0.001/0.022),IF(昆虫食シナリオ!C22="",6.8*0.014*昆虫食シナリオ!C37*0.001/0.022,6.8*0.014*昆虫食シナリオ!C26*0.001/0.022)),0))</f>
        <v>0</v>
      </c>
      <c r="D11" s="121" t="s">
        <v>17</v>
      </c>
      <c r="E11" s="121"/>
      <c r="F11" s="122"/>
      <c r="G11" s="144" t="str">
        <f>IF(昆虫食シナリオ!E5="","",IF(OR(昆虫食シナリオ!C22&lt;&gt;"",昆虫食シナリオ!C33&lt;&gt;""),"二次","初期"))</f>
        <v/>
      </c>
    </row>
    <row r="12" spans="1:13" ht="19" thickTop="1" thickBot="1">
      <c r="B12" s="107" t="s">
        <v>143</v>
      </c>
      <c r="C12" s="145">
        <f>IF(G12="初期",6.8*0.011*昆虫食シナリオ!C15*0.001/0.022,IF(G12="二次",IF(AND(ISNUMBER(昆虫食シナリオ!C23),ISNUMBER(昆虫食シナリオ!C34)),MIN(6.8*0.011*昆虫食シナリオ!C27*0.001/0.022,6.8*0.011*昆虫食シナリオ!C38*0.001/0.022),IF(昆虫食シナリオ!C23="",6.8*0.011*昆虫食シナリオ!C38*0.001/0.022,6.8*0.011*昆虫食シナリオ!C27*0.001/0.022)),0))</f>
        <v>0</v>
      </c>
      <c r="D12" s="121" t="s">
        <v>17</v>
      </c>
      <c r="E12" s="121"/>
      <c r="F12" s="122"/>
      <c r="G12" s="144" t="str">
        <f>IF(昆虫食シナリオ!E6="","",IF(OR(昆虫食シナリオ!C23&lt;&gt;"",昆虫食シナリオ!C34&lt;&gt;""),"二次","初期"))</f>
        <v/>
      </c>
    </row>
    <row r="13" spans="1:13" ht="13.5" thickTop="1"/>
    <row r="15" spans="1:13" ht="20.5" thickBot="1">
      <c r="A15" s="65" t="s">
        <v>144</v>
      </c>
      <c r="C15" s="32" t="s">
        <v>145</v>
      </c>
    </row>
    <row r="16" spans="1:13" ht="19" thickTop="1" thickBot="1">
      <c r="A16" s="85" t="s">
        <v>146</v>
      </c>
      <c r="B16" s="107" t="s">
        <v>147</v>
      </c>
      <c r="C16" s="146"/>
      <c r="D16" s="109" t="s">
        <v>148</v>
      </c>
      <c r="E16" s="121"/>
      <c r="F16" s="122"/>
    </row>
    <row r="17" spans="1:6" ht="19" thickTop="1" thickBot="1">
      <c r="A17" s="85" t="s">
        <v>146</v>
      </c>
      <c r="B17" s="107" t="s">
        <v>149</v>
      </c>
      <c r="C17" s="146"/>
      <c r="D17" s="109" t="s">
        <v>148</v>
      </c>
      <c r="E17" s="121"/>
      <c r="F17" s="122"/>
    </row>
    <row r="18" spans="1:6" ht="19" thickTop="1" thickBot="1">
      <c r="A18" s="85" t="s">
        <v>146</v>
      </c>
      <c r="B18" s="107" t="s">
        <v>150</v>
      </c>
      <c r="C18" s="146"/>
      <c r="D18" s="109" t="s">
        <v>148</v>
      </c>
      <c r="E18" s="121"/>
      <c r="F18" s="122"/>
    </row>
    <row r="19" spans="1:6" ht="19" thickTop="1" thickBot="1">
      <c r="A19" s="85" t="s">
        <v>146</v>
      </c>
      <c r="B19" s="107" t="s">
        <v>151</v>
      </c>
      <c r="C19" s="146"/>
      <c r="D19" s="109" t="s">
        <v>148</v>
      </c>
      <c r="E19" s="121"/>
      <c r="F19" s="122"/>
    </row>
    <row r="20" spans="1:6" ht="19" thickTop="1" thickBot="1">
      <c r="A20" s="85" t="s">
        <v>146</v>
      </c>
      <c r="B20" s="107" t="s">
        <v>152</v>
      </c>
      <c r="C20" s="146"/>
      <c r="D20" s="109" t="s">
        <v>148</v>
      </c>
      <c r="E20" s="121"/>
      <c r="F20" s="122"/>
    </row>
    <row r="21" spans="1:6" ht="20.25" customHeight="1" thickTop="1" thickBot="1">
      <c r="B21" s="107" t="s">
        <v>153</v>
      </c>
      <c r="C21" s="27" t="str">
        <f>IF(SUM(C16:C20)=1,1,"NG")</f>
        <v>NG</v>
      </c>
      <c r="D21" s="109" t="s">
        <v>148</v>
      </c>
      <c r="E21" s="121"/>
      <c r="F21" s="122"/>
    </row>
    <row r="22" spans="1:6" ht="13.5" thickTop="1"/>
    <row r="24" spans="1:6" ht="18.5" thickBot="1">
      <c r="A24" s="65" t="s">
        <v>154</v>
      </c>
    </row>
    <row r="25" spans="1:6" ht="19" thickTop="1" thickBot="1">
      <c r="B25" s="107" t="s">
        <v>95</v>
      </c>
      <c r="C25" s="130">
        <f>IF(OR(ISNUMBER(C7),ISNUMBER(C8),ISNUMBER(C9),ISNUMBER(C10),ISNUMBER(C11),ISNUMBER(C12)),SUM(C7*C16,C8*C17,C9*C18,C10*C19,SUM(C11:C12)*C20),"")</f>
        <v>0</v>
      </c>
      <c r="D25" s="121" t="s">
        <v>17</v>
      </c>
      <c r="E25" s="121"/>
      <c r="F25" s="122"/>
    </row>
    <row r="26" spans="1:6" ht="13.5" thickTop="1"/>
  </sheetData>
  <sheetProtection algorithmName="SHA-512" hashValue="4kf7sH0XG5Tv8c9yigCxA1m865i59oHFkZZs64KQuipJGi5UjguL/OJqD+UbypfGb0PHxd3ETZPxM/BXPZxtww==" saltValue="F+gAcZmpX0LX6qQhuODydQ==" spinCount="100000" sheet="1" objects="1" scenarios="1"/>
  <phoneticPr fontId="5"/>
  <pageMargins left="0.7" right="0.7" top="0.75" bottom="0.75" header="0.3" footer="0.3"/>
  <ignoredErrors>
    <ignoredError sqref="G7" unlockedFormula="1"/>
  </ignoredError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a6b8a3b-e3e7-496a-9a1a-c2a450941df0">
      <Terms xmlns="http://schemas.microsoft.com/office/infopath/2007/PartnerControls"/>
    </lcf76f155ced4ddcb4097134ff3c332f>
    <TaxCatchAll xmlns="e9d33e58-4a70-4799-89b5-fbd48a9ef91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05DEDAD90CD9941B60730283A35B5E7" ma:contentTypeVersion="13" ma:contentTypeDescription="新しいドキュメントを作成します。" ma:contentTypeScope="" ma:versionID="dc106b262bbc01f6bd23469693bbdad5">
  <xsd:schema xmlns:xsd="http://www.w3.org/2001/XMLSchema" xmlns:xs="http://www.w3.org/2001/XMLSchema" xmlns:p="http://schemas.microsoft.com/office/2006/metadata/properties" xmlns:ns2="3a6b8a3b-e3e7-496a-9a1a-c2a450941df0" xmlns:ns3="e9d33e58-4a70-4799-89b5-fbd48a9ef91c" targetNamespace="http://schemas.microsoft.com/office/2006/metadata/properties" ma:root="true" ma:fieldsID="8d6dec7ee8466d2b2e94fe955c62c288" ns2:_="" ns3:_="">
    <xsd:import namespace="3a6b8a3b-e3e7-496a-9a1a-c2a450941df0"/>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6b8a3b-e3e7-496a-9a1a-c2a450941d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df6ffd31-2b5b-4662-a55c-438a22103a27}"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D74840-BFE9-46CE-9DCC-935099116833}">
  <ds:schemaRefs>
    <ds:schemaRef ds:uri="http://schemas.microsoft.com/office/2006/metadata/properties"/>
    <ds:schemaRef ds:uri="http://schemas.microsoft.com/office/infopath/2007/PartnerControls"/>
    <ds:schemaRef ds:uri="3a6b8a3b-e3e7-496a-9a1a-c2a450941df0"/>
    <ds:schemaRef ds:uri="e9d33e58-4a70-4799-89b5-fbd48a9ef91c"/>
  </ds:schemaRefs>
</ds:datastoreItem>
</file>

<file path=customXml/itemProps2.xml><?xml version="1.0" encoding="utf-8"?>
<ds:datastoreItem xmlns:ds="http://schemas.openxmlformats.org/officeDocument/2006/customXml" ds:itemID="{C1B7DF1E-15B7-486E-B035-8D18553D3BA1}">
  <ds:schemaRefs>
    <ds:schemaRef ds:uri="http://schemas.microsoft.com/sharepoint/v3/contenttype/forms"/>
  </ds:schemaRefs>
</ds:datastoreItem>
</file>

<file path=customXml/itemProps3.xml><?xml version="1.0" encoding="utf-8"?>
<ds:datastoreItem xmlns:ds="http://schemas.openxmlformats.org/officeDocument/2006/customXml" ds:itemID="{F92D0FF8-7849-4B3C-87DA-3D464AD83F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6b8a3b-e3e7-496a-9a1a-c2a450941df0"/>
    <ds:schemaRef ds:uri="e9d33e58-4a70-4799-89b5-fbd48a9ef9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15</vt:i4>
      </vt:variant>
    </vt:vector>
  </HeadingPairs>
  <TitlesOfParts>
    <vt:vector size="15" baseType="lpstr">
      <vt:lpstr>改訂履歴</vt:lpstr>
      <vt:lpstr>評価結果</vt:lpstr>
      <vt:lpstr>鳥類基準値算定</vt:lpstr>
      <vt:lpstr>水稲食シナリオ</vt:lpstr>
      <vt:lpstr>果実食シナリオ</vt:lpstr>
      <vt:lpstr>種子食シナリオ (直播水稲)</vt:lpstr>
      <vt:lpstr>種子食シナリオ（豆類等）</vt:lpstr>
      <vt:lpstr>昆虫食シナリオ</vt:lpstr>
      <vt:lpstr>混合食シナリオ</vt:lpstr>
      <vt:lpstr>田面水シナリオ </vt:lpstr>
      <vt:lpstr>水質汚濁性試験結果入力①</vt:lpstr>
      <vt:lpstr>水質汚濁性試験結果入力②</vt:lpstr>
      <vt:lpstr>魚食シナリオ</vt:lpstr>
      <vt:lpstr>土壌無脊椎動物食シナリオ</vt:lpstr>
      <vt:lpstr>鳥類食シナリオ</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0x010100605DEDAD90CD9941B60730283A35B5E7</vt:lpwstr>
  </property>
  <property fmtid="{D5CDD505-2E9C-101B-9397-08002B2CF9AE}" pid="3" name="MediaServiceImageTags">
    <vt:lpwstr/>
  </property>
</Properties>
</file>