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ms-office.chartcolorstyle+xml" PartName="/xl/charts/colors1.xml"/>
  <Override ContentType="application/vnd.ms-office.chartcolorstyle+xml" PartName="/xl/charts/colors2.xml"/>
  <Override ContentType="application/vnd.ms-office.chartcolorstyle+xml" PartName="/xl/charts/colors3.xml"/>
  <Override ContentType="application/vnd.ms-office.chartcolorstyle+xml" PartName="/xl/charts/colors4.xml"/>
  <Override ContentType="application/vnd.ms-office.chartstyle+xml" PartName="/xl/charts/style1.xml"/>
  <Override ContentType="application/vnd.ms-office.chartstyle+xml" PartName="/xl/charts/style2.xml"/>
  <Override ContentType="application/vnd.ms-office.chartstyle+xml" PartName="/xl/charts/style3.xml"/>
  <Override ContentType="application/vnd.ms-office.chartstyle+xml" PartName="/xl/charts/style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docMetadata/LabelInfo.xml" Type="http://schemas.microsoft.com/office/2020/02/relationships/classificationlabel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9"/>
  <workbookPr/>
  <mc:AlternateContent xmlns:mc="http://schemas.openxmlformats.org/markup-compatibility/2006">
    <mc:Choice Requires="x15">
      <x15ac:absPath xmlns:x15ac="http://schemas.microsoft.com/office/spreadsheetml/2010/11/ac" url="\\JPTYO2611\Client_TYO\118843-66\R6\プラ循環\03_計算ツール\"/>
    </mc:Choice>
  </mc:AlternateContent>
  <xr:revisionPtr revIDLastSave="0" documentId="13_ncr:1_{4FA9DC63-2BA5-43A8-A371-15306642EDE1}" xr6:coauthVersionLast="47" xr6:coauthVersionMax="47" xr10:uidLastSave="{00000000-0000-0000-0000-000000000000}"/>
  <bookViews>
    <workbookView xWindow="28680" yWindow="-120" windowWidth="29040" windowHeight="15720" xr2:uid="{55F49C01-0116-47C4-B9FF-D8B6C9B9C048}"/>
  </bookViews>
  <sheets>
    <sheet name="はじめに" sheetId="235" r:id="rId1"/>
    <sheet name="使い方" sheetId="236" r:id="rId2"/>
    <sheet name="算定結果" sheetId="212" r:id="rId3"/>
    <sheet name="ルート1⇒" sheetId="227" r:id="rId4"/>
    <sheet name="パラメータ（ルート1）" sheetId="216" r:id="rId5"/>
    <sheet name="数量（ルート1）" sheetId="214" r:id="rId6"/>
    <sheet name="CO2（ルート1）" sheetId="209" r:id="rId7"/>
    <sheet name="コスト（ルート1）" sheetId="210" r:id="rId8"/>
    <sheet name="仮定値算定シート（ルート1）" sheetId="220" r:id="rId9"/>
    <sheet name="ルート2⇒ " sheetId="228" r:id="rId10"/>
    <sheet name="パラメータ（ルート2）" sheetId="222" r:id="rId11"/>
    <sheet name="数量（ルート2）" sheetId="223" r:id="rId12"/>
    <sheet name="CO2（ルート2）" sheetId="224" r:id="rId13"/>
    <sheet name="コスト（ルート2）" sheetId="225" r:id="rId14"/>
    <sheet name="仮定値算定シート（ルート2）" sheetId="226" r:id="rId15"/>
    <sheet name="ルート3⇒ " sheetId="229" r:id="rId16"/>
    <sheet name="パラメータ（ルート3）" sheetId="230" r:id="rId17"/>
    <sheet name="数量（ルート3）" sheetId="231" r:id="rId18"/>
    <sheet name="CO2（ルート3）" sheetId="232" r:id="rId19"/>
    <sheet name="コスト（ルート3）" sheetId="233" r:id="rId20"/>
    <sheet name="仮定値算定シート（ルート3)" sheetId="234" r:id="rId21"/>
    <sheet name="プルダウン用" sheetId="217" state="hidden" r:id="rId22"/>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8" i="234" l="1"/>
  <c r="G86" i="234"/>
  <c r="G83" i="234"/>
  <c r="G81" i="234"/>
  <c r="G78" i="234"/>
  <c r="G76" i="234"/>
  <c r="G73" i="234"/>
  <c r="G71" i="234"/>
  <c r="G68" i="234"/>
  <c r="G66" i="234"/>
  <c r="G66" i="226"/>
  <c r="G83" i="226"/>
  <c r="G81" i="226"/>
  <c r="G78" i="226"/>
  <c r="G76" i="226"/>
  <c r="G73" i="226"/>
  <c r="G71" i="226"/>
  <c r="G68" i="226"/>
  <c r="G88" i="226"/>
  <c r="G86" i="226"/>
  <c r="G88" i="220"/>
  <c r="G86" i="220"/>
  <c r="G81" i="220"/>
  <c r="G76" i="220"/>
  <c r="G71" i="220"/>
  <c r="G66" i="220" l="1"/>
  <c r="K41" i="209" l="1"/>
  <c r="R63" i="212" l="1"/>
  <c r="U8" i="212"/>
  <c r="U22" i="212"/>
  <c r="R22" i="212"/>
  <c r="R9" i="212"/>
  <c r="R8" i="212"/>
  <c r="G91" i="234"/>
  <c r="G94" i="234"/>
  <c r="G93" i="234"/>
  <c r="G92" i="234"/>
  <c r="G174" i="234"/>
  <c r="G173" i="234"/>
  <c r="G172" i="234"/>
  <c r="G161" i="234"/>
  <c r="G160" i="234"/>
  <c r="G159" i="234"/>
  <c r="G158" i="234"/>
  <c r="G148" i="234"/>
  <c r="G147" i="234"/>
  <c r="G146" i="234"/>
  <c r="G145" i="234"/>
  <c r="G135" i="234"/>
  <c r="G134" i="234"/>
  <c r="G133" i="234"/>
  <c r="G132" i="234"/>
  <c r="G107" i="234"/>
  <c r="G106" i="234"/>
  <c r="G105" i="234"/>
  <c r="G174" i="226"/>
  <c r="G173" i="226"/>
  <c r="G172" i="226"/>
  <c r="G161" i="226"/>
  <c r="G160" i="226"/>
  <c r="G159" i="226"/>
  <c r="G158" i="226"/>
  <c r="G148" i="226"/>
  <c r="G147" i="226"/>
  <c r="G146" i="226"/>
  <c r="G145" i="226"/>
  <c r="G135" i="226"/>
  <c r="G134" i="226"/>
  <c r="G133" i="226"/>
  <c r="G132" i="226"/>
  <c r="G107" i="226"/>
  <c r="G106" i="226"/>
  <c r="G105" i="226"/>
  <c r="G94" i="226"/>
  <c r="G93" i="226"/>
  <c r="G92" i="226"/>
  <c r="G91" i="226"/>
  <c r="P31" i="212"/>
  <c r="M18" i="210"/>
  <c r="M18" i="225"/>
  <c r="M18" i="233"/>
  <c r="B39" i="230"/>
  <c r="B40" i="230"/>
  <c r="B41" i="230"/>
  <c r="B42" i="230" s="1"/>
  <c r="B43" i="230" s="1"/>
  <c r="B44" i="230" s="1"/>
  <c r="B45" i="230" s="1"/>
  <c r="B46" i="230" s="1"/>
  <c r="B47" i="230" s="1"/>
  <c r="B48" i="230" s="1"/>
  <c r="B49" i="230" s="1"/>
  <c r="B50" i="230" s="1"/>
  <c r="B51" i="230" s="1"/>
  <c r="B52" i="230" s="1"/>
  <c r="B53" i="230" s="1"/>
  <c r="B54" i="230" s="1"/>
  <c r="B55" i="230" s="1"/>
  <c r="B56" i="230" s="1"/>
  <c r="B57" i="230" s="1"/>
  <c r="B58" i="230" s="1"/>
  <c r="B59" i="230" s="1"/>
  <c r="B60" i="230" s="1"/>
  <c r="B61" i="230" s="1"/>
  <c r="B62" i="230" s="1"/>
  <c r="B63" i="230" s="1"/>
  <c r="B64" i="230" s="1"/>
  <c r="B65" i="230" s="1"/>
  <c r="B66" i="230" s="1"/>
  <c r="B67" i="230" s="1"/>
  <c r="B68" i="230" s="1"/>
  <c r="B69" i="230" s="1"/>
  <c r="B70" i="230" s="1"/>
  <c r="B71" i="230" s="1"/>
  <c r="B72" i="230" s="1"/>
  <c r="B73" i="230" s="1"/>
  <c r="B74" i="230" s="1"/>
  <c r="B75" i="230" s="1"/>
  <c r="B76" i="230" s="1"/>
  <c r="B77" i="230" s="1"/>
  <c r="B78" i="230" s="1"/>
  <c r="B79" i="230" s="1"/>
  <c r="H40" i="230"/>
  <c r="N40" i="232" s="1"/>
  <c r="H39" i="230"/>
  <c r="N39" i="232" s="1"/>
  <c r="H38" i="230"/>
  <c r="N36" i="232" s="1"/>
  <c r="B36" i="222"/>
  <c r="B37" i="222"/>
  <c r="B38" i="222" s="1"/>
  <c r="B39" i="222" s="1"/>
  <c r="B40" i="222" s="1"/>
  <c r="B41" i="222" s="1"/>
  <c r="B42" i="222" s="1"/>
  <c r="B43" i="222" s="1"/>
  <c r="B44" i="222" s="1"/>
  <c r="B45" i="222" s="1"/>
  <c r="B46" i="222" s="1"/>
  <c r="B47" i="222" s="1"/>
  <c r="B48" i="222" s="1"/>
  <c r="B49" i="222" s="1"/>
  <c r="B50" i="222" s="1"/>
  <c r="B51" i="222" s="1"/>
  <c r="B52" i="222" s="1"/>
  <c r="B53" i="222" s="1"/>
  <c r="B54" i="222" s="1"/>
  <c r="B55" i="222" s="1"/>
  <c r="B56" i="222" s="1"/>
  <c r="B57" i="222" s="1"/>
  <c r="B58" i="222" s="1"/>
  <c r="B59" i="222" s="1"/>
  <c r="B60" i="222" s="1"/>
  <c r="B61" i="222" s="1"/>
  <c r="B62" i="222" s="1"/>
  <c r="B63" i="222" s="1"/>
  <c r="B64" i="222" s="1"/>
  <c r="B65" i="222" s="1"/>
  <c r="B66" i="222" s="1"/>
  <c r="B67" i="222" s="1"/>
  <c r="B68" i="222" s="1"/>
  <c r="B69" i="222" s="1"/>
  <c r="B70" i="222" s="1"/>
  <c r="B71" i="222" s="1"/>
  <c r="B72" i="222" s="1"/>
  <c r="B73" i="222" s="1"/>
  <c r="B74" i="222" s="1"/>
  <c r="B75" i="222" s="1"/>
  <c r="B76" i="222" s="1"/>
  <c r="B77" i="222" s="1"/>
  <c r="B78" i="222" s="1"/>
  <c r="B79" i="222" s="1"/>
  <c r="H40" i="222"/>
  <c r="N40" i="224" s="1"/>
  <c r="H39" i="222"/>
  <c r="N39" i="224" s="1"/>
  <c r="H38" i="222"/>
  <c r="N36" i="224" s="1"/>
  <c r="N36" i="209"/>
  <c r="B36" i="216"/>
  <c r="B37" i="216"/>
  <c r="B38" i="216" s="1"/>
  <c r="B39" i="216" s="1"/>
  <c r="B40" i="216" s="1"/>
  <c r="B41" i="216" s="1"/>
  <c r="B42" i="216" s="1"/>
  <c r="B43" i="216" s="1"/>
  <c r="B44" i="216" s="1"/>
  <c r="B45" i="216" s="1"/>
  <c r="B46" i="216" s="1"/>
  <c r="B47" i="216" s="1"/>
  <c r="B48" i="216" s="1"/>
  <c r="B49" i="216" s="1"/>
  <c r="B50" i="216" s="1"/>
  <c r="B51" i="216" s="1"/>
  <c r="B52" i="216" s="1"/>
  <c r="B53" i="216" s="1"/>
  <c r="B54" i="216" s="1"/>
  <c r="B55" i="216" s="1"/>
  <c r="B56" i="216" s="1"/>
  <c r="B57" i="216" s="1"/>
  <c r="B58" i="216" s="1"/>
  <c r="B59" i="216" s="1"/>
  <c r="B60" i="216" s="1"/>
  <c r="B61" i="216" s="1"/>
  <c r="B62" i="216" s="1"/>
  <c r="B63" i="216" s="1"/>
  <c r="B64" i="216" s="1"/>
  <c r="B65" i="216" s="1"/>
  <c r="B66" i="216" s="1"/>
  <c r="B67" i="216" s="1"/>
  <c r="B68" i="216" s="1"/>
  <c r="B69" i="216" s="1"/>
  <c r="B70" i="216" s="1"/>
  <c r="B71" i="216" s="1"/>
  <c r="B72" i="216" s="1"/>
  <c r="B73" i="216" s="1"/>
  <c r="B74" i="216" s="1"/>
  <c r="B75" i="216" s="1"/>
  <c r="B76" i="216" s="1"/>
  <c r="B77" i="216" s="1"/>
  <c r="B78" i="216" s="1"/>
  <c r="B79" i="216" s="1"/>
  <c r="H40" i="216"/>
  <c r="N40" i="209" s="1"/>
  <c r="H39" i="216"/>
  <c r="N39" i="209" s="1"/>
  <c r="H38" i="216"/>
  <c r="U67" i="212"/>
  <c r="R67" i="212"/>
  <c r="T67" i="212"/>
  <c r="S67" i="212"/>
  <c r="S66" i="212"/>
  <c r="S65" i="212"/>
  <c r="S64" i="212"/>
  <c r="Q67" i="212"/>
  <c r="P67" i="212"/>
  <c r="P66" i="212"/>
  <c r="P65" i="212"/>
  <c r="P64" i="212"/>
  <c r="L67" i="212"/>
  <c r="K67" i="212"/>
  <c r="J67" i="212"/>
  <c r="J66" i="212"/>
  <c r="J65" i="212"/>
  <c r="J64" i="212"/>
  <c r="I67" i="212"/>
  <c r="H67" i="212"/>
  <c r="G67" i="212"/>
  <c r="G66" i="212"/>
  <c r="G65" i="212"/>
  <c r="G64" i="212"/>
  <c r="J27" i="212"/>
  <c r="J26" i="212"/>
  <c r="J25" i="212"/>
  <c r="J24" i="212"/>
  <c r="J23" i="212"/>
  <c r="S27" i="212"/>
  <c r="S26" i="212"/>
  <c r="S25" i="212"/>
  <c r="S24" i="212"/>
  <c r="S23" i="212"/>
  <c r="P27" i="212"/>
  <c r="P26" i="212"/>
  <c r="P25" i="212"/>
  <c r="P24" i="212"/>
  <c r="P23" i="212"/>
  <c r="G27" i="212"/>
  <c r="G26" i="212"/>
  <c r="G25" i="212"/>
  <c r="G24" i="212"/>
  <c r="G23" i="212"/>
  <c r="S12" i="212"/>
  <c r="S11" i="212"/>
  <c r="S10" i="212"/>
  <c r="S9" i="212"/>
  <c r="P12" i="212"/>
  <c r="P11" i="212"/>
  <c r="P10" i="212"/>
  <c r="P9" i="212"/>
  <c r="J12" i="212"/>
  <c r="J11" i="212"/>
  <c r="J10" i="212"/>
  <c r="J9" i="212"/>
  <c r="G12" i="212"/>
  <c r="G11" i="212"/>
  <c r="G10" i="212"/>
  <c r="G9" i="212"/>
  <c r="R7" i="234"/>
  <c r="R8" i="234" s="1"/>
  <c r="B29" i="233"/>
  <c r="B30" i="233" s="1"/>
  <c r="B31" i="233" s="1"/>
  <c r="B32" i="233" s="1"/>
  <c r="B33" i="233" s="1"/>
  <c r="B34" i="233" s="1"/>
  <c r="B35" i="233" s="1"/>
  <c r="B36" i="233" s="1"/>
  <c r="B37" i="233" s="1"/>
  <c r="B38" i="233" s="1"/>
  <c r="B39" i="233" s="1"/>
  <c r="B40" i="233" s="1"/>
  <c r="B41" i="233" s="1"/>
  <c r="B42" i="233" s="1"/>
  <c r="B43" i="233" s="1"/>
  <c r="B44" i="233" s="1"/>
  <c r="B45" i="233" s="1"/>
  <c r="K28" i="233"/>
  <c r="B19" i="233"/>
  <c r="B20" i="233" s="1"/>
  <c r="B21" i="233" s="1"/>
  <c r="B22" i="233" s="1"/>
  <c r="B23" i="233" s="1"/>
  <c r="B24" i="233" s="1"/>
  <c r="B25" i="233" s="1"/>
  <c r="B26" i="233" s="1"/>
  <c r="B27" i="233" s="1"/>
  <c r="B28" i="233" s="1"/>
  <c r="B18" i="233"/>
  <c r="M22" i="232"/>
  <c r="B19" i="232"/>
  <c r="B20" i="232" s="1"/>
  <c r="B21" i="232" s="1"/>
  <c r="B22" i="232" s="1"/>
  <c r="B23" i="232" s="1"/>
  <c r="B24" i="232" s="1"/>
  <c r="B25" i="232" s="1"/>
  <c r="B26" i="232" s="1"/>
  <c r="B27" i="232" s="1"/>
  <c r="B28" i="232" s="1"/>
  <c r="B29" i="232" s="1"/>
  <c r="B30" i="232" s="1"/>
  <c r="B31" i="232" s="1"/>
  <c r="B32" i="232" s="1"/>
  <c r="B33" i="232" s="1"/>
  <c r="B34" i="232" s="1"/>
  <c r="B35" i="232" s="1"/>
  <c r="B36" i="232" s="1"/>
  <c r="B37" i="232" s="1"/>
  <c r="B38" i="232" s="1"/>
  <c r="B39" i="232" s="1"/>
  <c r="B40" i="232" s="1"/>
  <c r="B41" i="232" s="1"/>
  <c r="B42" i="232" s="1"/>
  <c r="B43" i="232" s="1"/>
  <c r="B44" i="232" s="1"/>
  <c r="B45" i="232" s="1"/>
  <c r="B46" i="232" s="1"/>
  <c r="B47" i="232" s="1"/>
  <c r="B48" i="232" s="1"/>
  <c r="B49" i="232" s="1"/>
  <c r="B50" i="232" s="1"/>
  <c r="B51" i="232" s="1"/>
  <c r="B52" i="232" s="1"/>
  <c r="B53" i="232" s="1"/>
  <c r="B54" i="232" s="1"/>
  <c r="B55" i="232" s="1"/>
  <c r="B56" i="232" s="1"/>
  <c r="B57" i="232" s="1"/>
  <c r="B58" i="232" s="1"/>
  <c r="B59" i="232" s="1"/>
  <c r="B60" i="232" s="1"/>
  <c r="B61" i="232" s="1"/>
  <c r="B62" i="232" s="1"/>
  <c r="B63" i="232" s="1"/>
  <c r="B64" i="232" s="1"/>
  <c r="B65" i="232" s="1"/>
  <c r="B66" i="232" s="1"/>
  <c r="B67" i="232" s="1"/>
  <c r="B68" i="232" s="1"/>
  <c r="B69" i="232" s="1"/>
  <c r="B19" i="231"/>
  <c r="B20" i="231" s="1"/>
  <c r="B21" i="231" s="1"/>
  <c r="B22" i="231" s="1"/>
  <c r="B23" i="231" s="1"/>
  <c r="B24" i="231" s="1"/>
  <c r="B25" i="231" s="1"/>
  <c r="B26" i="231" s="1"/>
  <c r="B27" i="231" s="1"/>
  <c r="B28" i="231" s="1"/>
  <c r="B29" i="231" s="1"/>
  <c r="B30" i="231" s="1"/>
  <c r="B31" i="231" s="1"/>
  <c r="B32" i="231" s="1"/>
  <c r="B33" i="231" s="1"/>
  <c r="B34" i="231" s="1"/>
  <c r="B35" i="231" s="1"/>
  <c r="B36" i="231" s="1"/>
  <c r="B37" i="231" s="1"/>
  <c r="B38" i="231" s="1"/>
  <c r="B39" i="231" s="1"/>
  <c r="B40" i="231" s="1"/>
  <c r="B41" i="231" s="1"/>
  <c r="B42" i="231" s="1"/>
  <c r="B43" i="231" s="1"/>
  <c r="B18" i="231"/>
  <c r="H79" i="230"/>
  <c r="M43" i="233" s="1"/>
  <c r="H78" i="230"/>
  <c r="K43" i="233" s="1"/>
  <c r="H73" i="230"/>
  <c r="H72" i="230"/>
  <c r="N33" i="233" s="1"/>
  <c r="H71" i="230"/>
  <c r="N32" i="233" s="1"/>
  <c r="H70" i="230"/>
  <c r="N28" i="233" s="1"/>
  <c r="H69" i="230"/>
  <c r="N29" i="233" s="1"/>
  <c r="H68" i="230"/>
  <c r="H65" i="230"/>
  <c r="N23" i="233" s="1"/>
  <c r="H64" i="230"/>
  <c r="N22" i="233" s="1"/>
  <c r="H63" i="230"/>
  <c r="K23" i="233" s="1"/>
  <c r="H62" i="230"/>
  <c r="K22" i="233" s="1"/>
  <c r="H61" i="230"/>
  <c r="N19" i="233" s="1"/>
  <c r="N20" i="233" s="1"/>
  <c r="N6" i="233" s="1"/>
  <c r="T63" i="212" s="1"/>
  <c r="H60" i="230"/>
  <c r="K19" i="233" s="1"/>
  <c r="K20" i="233" s="1"/>
  <c r="H59" i="230"/>
  <c r="M17" i="233" s="1"/>
  <c r="H58" i="230"/>
  <c r="M58" i="232" s="1"/>
  <c r="H57" i="230"/>
  <c r="K65" i="232" s="1"/>
  <c r="H56" i="230"/>
  <c r="H55" i="230"/>
  <c r="H54" i="230"/>
  <c r="H53" i="230"/>
  <c r="H52" i="230"/>
  <c r="H51" i="230"/>
  <c r="H50" i="230"/>
  <c r="H49" i="230"/>
  <c r="H48" i="230"/>
  <c r="K50" i="232" s="1"/>
  <c r="H47" i="230"/>
  <c r="H46" i="230"/>
  <c r="N44" i="232" s="1"/>
  <c r="H45" i="230"/>
  <c r="N43" i="232" s="1"/>
  <c r="H44" i="230"/>
  <c r="H43" i="230"/>
  <c r="H42" i="230"/>
  <c r="H41" i="230"/>
  <c r="H37" i="230"/>
  <c r="H36" i="230"/>
  <c r="H35" i="230"/>
  <c r="H34" i="230"/>
  <c r="H33" i="230"/>
  <c r="K32" i="232" s="1"/>
  <c r="H32" i="230"/>
  <c r="H31" i="230"/>
  <c r="H30" i="230"/>
  <c r="N29" i="232" s="1"/>
  <c r="H29" i="230"/>
  <c r="N28" i="232" s="1"/>
  <c r="H28" i="230"/>
  <c r="H27" i="230"/>
  <c r="H26" i="230"/>
  <c r="H25" i="230"/>
  <c r="H22" i="230"/>
  <c r="N22" i="232" s="1"/>
  <c r="H21" i="230"/>
  <c r="H20" i="230"/>
  <c r="N18" i="232" s="1"/>
  <c r="H19" i="230"/>
  <c r="M18" i="232" s="1"/>
  <c r="H18" i="230"/>
  <c r="K18" i="232" s="1"/>
  <c r="H17" i="230"/>
  <c r="J18" i="232" s="1"/>
  <c r="J20" i="232" s="1"/>
  <c r="H16" i="230"/>
  <c r="N37" i="231" s="1"/>
  <c r="H13" i="230"/>
  <c r="N24" i="231" s="1"/>
  <c r="H12" i="230"/>
  <c r="N23" i="231" s="1"/>
  <c r="H11" i="230"/>
  <c r="N22" i="231" s="1"/>
  <c r="H10" i="230"/>
  <c r="N41" i="231" s="1"/>
  <c r="H9" i="230"/>
  <c r="K37" i="231" s="1"/>
  <c r="H8" i="230"/>
  <c r="K29" i="231" s="1"/>
  <c r="H7" i="230"/>
  <c r="K20" i="231" s="1"/>
  <c r="K27" i="231" s="1"/>
  <c r="H6" i="230"/>
  <c r="J19" i="232" s="1"/>
  <c r="B6" i="230"/>
  <c r="B7" i="230" s="1"/>
  <c r="B8" i="230" s="1"/>
  <c r="B9" i="230" s="1"/>
  <c r="B10" i="230" s="1"/>
  <c r="B11" i="230" s="1"/>
  <c r="B12" i="230" s="1"/>
  <c r="B13" i="230" s="1"/>
  <c r="B14" i="230" s="1"/>
  <c r="B15" i="230" s="1"/>
  <c r="B16" i="230" s="1"/>
  <c r="B17" i="230" s="1"/>
  <c r="B18" i="230" s="1"/>
  <c r="B19" i="230" s="1"/>
  <c r="B20" i="230" s="1"/>
  <c r="B21" i="230" s="1"/>
  <c r="B22" i="230" s="1"/>
  <c r="B23" i="230" s="1"/>
  <c r="B24" i="230" s="1"/>
  <c r="B25" i="230" s="1"/>
  <c r="B26" i="230" s="1"/>
  <c r="B27" i="230" s="1"/>
  <c r="B28" i="230" s="1"/>
  <c r="B29" i="230" s="1"/>
  <c r="B30" i="230" s="1"/>
  <c r="B31" i="230" s="1"/>
  <c r="B32" i="230" s="1"/>
  <c r="B33" i="230" s="1"/>
  <c r="B34" i="230" s="1"/>
  <c r="B35" i="230" s="1"/>
  <c r="B36" i="230" s="1"/>
  <c r="B37" i="230" s="1"/>
  <c r="H5" i="230"/>
  <c r="J17" i="231" s="1"/>
  <c r="G5" i="226"/>
  <c r="G4" i="226"/>
  <c r="K28" i="225"/>
  <c r="N23" i="225"/>
  <c r="K23" i="225"/>
  <c r="N22" i="225"/>
  <c r="B20" i="225"/>
  <c r="B21" i="225"/>
  <c r="B22" i="225" s="1"/>
  <c r="B23" i="225" s="1"/>
  <c r="B24" i="225" s="1"/>
  <c r="B25" i="225" s="1"/>
  <c r="B26" i="225" s="1"/>
  <c r="B27" i="225" s="1"/>
  <c r="B28" i="225" s="1"/>
  <c r="B29" i="225" s="1"/>
  <c r="B30" i="225" s="1"/>
  <c r="B31" i="225" s="1"/>
  <c r="B32" i="225" s="1"/>
  <c r="B33" i="225" s="1"/>
  <c r="B34" i="225" s="1"/>
  <c r="B35" i="225" s="1"/>
  <c r="B36" i="225" s="1"/>
  <c r="B37" i="225" s="1"/>
  <c r="B38" i="225" s="1"/>
  <c r="B39" i="225" s="1"/>
  <c r="B40" i="225" s="1"/>
  <c r="B41" i="225" s="1"/>
  <c r="B42" i="225" s="1"/>
  <c r="B43" i="225" s="1"/>
  <c r="B44" i="225" s="1"/>
  <c r="B45" i="225" s="1"/>
  <c r="K40" i="224"/>
  <c r="K39" i="224"/>
  <c r="M22" i="224"/>
  <c r="K22" i="224"/>
  <c r="K21" i="224"/>
  <c r="J19" i="224"/>
  <c r="N18" i="224"/>
  <c r="M18" i="224"/>
  <c r="K18" i="224"/>
  <c r="K23" i="224" s="1"/>
  <c r="K6" i="224" s="1"/>
  <c r="H22" i="212" s="1"/>
  <c r="J18" i="224"/>
  <c r="J20" i="224" s="1"/>
  <c r="K29" i="223"/>
  <c r="K20" i="223"/>
  <c r="K27" i="223" s="1"/>
  <c r="B20" i="210"/>
  <c r="B21" i="210"/>
  <c r="B22" i="210" s="1"/>
  <c r="B23" i="210" s="1"/>
  <c r="B24" i="210" s="1"/>
  <c r="B25" i="210" s="1"/>
  <c r="B26" i="210" s="1"/>
  <c r="B27" i="210" s="1"/>
  <c r="B28" i="210" s="1"/>
  <c r="B29" i="210" s="1"/>
  <c r="B30" i="210" s="1"/>
  <c r="B31" i="210" s="1"/>
  <c r="B32" i="210" s="1"/>
  <c r="B33" i="210" s="1"/>
  <c r="B34" i="210" s="1"/>
  <c r="B35" i="210" s="1"/>
  <c r="B36" i="210" s="1"/>
  <c r="B37" i="210" s="1"/>
  <c r="B38" i="210" s="1"/>
  <c r="B39" i="210" s="1"/>
  <c r="B40" i="210" s="1"/>
  <c r="B41" i="210" s="1"/>
  <c r="B42" i="210" s="1"/>
  <c r="B43" i="210" s="1"/>
  <c r="B44" i="210" s="1"/>
  <c r="B45" i="210" s="1"/>
  <c r="R7" i="226"/>
  <c r="R8" i="226" s="1"/>
  <c r="B19" i="225"/>
  <c r="B18" i="225"/>
  <c r="B19" i="224"/>
  <c r="B20" i="224" s="1"/>
  <c r="B21" i="224" s="1"/>
  <c r="B22" i="224" s="1"/>
  <c r="B23" i="224" s="1"/>
  <c r="B24" i="224" s="1"/>
  <c r="B25" i="224" s="1"/>
  <c r="B26" i="224" s="1"/>
  <c r="B27" i="224" s="1"/>
  <c r="B28" i="224" s="1"/>
  <c r="B29" i="224" s="1"/>
  <c r="B30" i="224" s="1"/>
  <c r="B31" i="224" s="1"/>
  <c r="B32" i="224" s="1"/>
  <c r="B33" i="224" s="1"/>
  <c r="B34" i="224" s="1"/>
  <c r="B35" i="224" s="1"/>
  <c r="B36" i="224" s="1"/>
  <c r="B37" i="224" s="1"/>
  <c r="B38" i="224" s="1"/>
  <c r="B39" i="224" s="1"/>
  <c r="B40" i="224" s="1"/>
  <c r="B41" i="224" s="1"/>
  <c r="B42" i="224" s="1"/>
  <c r="B43" i="224" s="1"/>
  <c r="B44" i="224" s="1"/>
  <c r="B45" i="224" s="1"/>
  <c r="B46" i="224" s="1"/>
  <c r="B47" i="224" s="1"/>
  <c r="B48" i="224" s="1"/>
  <c r="B49" i="224" s="1"/>
  <c r="B50" i="224" s="1"/>
  <c r="B51" i="224" s="1"/>
  <c r="B52" i="224" s="1"/>
  <c r="B53" i="224" s="1"/>
  <c r="B54" i="224" s="1"/>
  <c r="B55" i="224" s="1"/>
  <c r="B56" i="224" s="1"/>
  <c r="B57" i="224" s="1"/>
  <c r="B58" i="224" s="1"/>
  <c r="B59" i="224" s="1"/>
  <c r="B60" i="224" s="1"/>
  <c r="B61" i="224" s="1"/>
  <c r="B62" i="224" s="1"/>
  <c r="B63" i="224" s="1"/>
  <c r="B64" i="224" s="1"/>
  <c r="B65" i="224" s="1"/>
  <c r="B66" i="224" s="1"/>
  <c r="B67" i="224" s="1"/>
  <c r="B68" i="224" s="1"/>
  <c r="B69" i="224" s="1"/>
  <c r="B18" i="223"/>
  <c r="B19" i="223" s="1"/>
  <c r="B20" i="223" s="1"/>
  <c r="B21" i="223" s="1"/>
  <c r="B22" i="223" s="1"/>
  <c r="B23" i="223" s="1"/>
  <c r="B24" i="223" s="1"/>
  <c r="B25" i="223" s="1"/>
  <c r="B26" i="223" s="1"/>
  <c r="B27" i="223" s="1"/>
  <c r="B28" i="223" s="1"/>
  <c r="B29" i="223" s="1"/>
  <c r="B30" i="223" s="1"/>
  <c r="B31" i="223" s="1"/>
  <c r="B32" i="223" s="1"/>
  <c r="B33" i="223" s="1"/>
  <c r="B34" i="223" s="1"/>
  <c r="B35" i="223" s="1"/>
  <c r="B36" i="223" s="1"/>
  <c r="B37" i="223" s="1"/>
  <c r="B38" i="223" s="1"/>
  <c r="B39" i="223" s="1"/>
  <c r="B40" i="223" s="1"/>
  <c r="B41" i="223" s="1"/>
  <c r="B42" i="223" s="1"/>
  <c r="B43" i="223" s="1"/>
  <c r="H79" i="222"/>
  <c r="N43" i="225" s="1"/>
  <c r="H78" i="222"/>
  <c r="J43" i="225" s="1"/>
  <c r="H73" i="222"/>
  <c r="K38" i="225" s="1"/>
  <c r="H72" i="222"/>
  <c r="N33" i="225" s="1"/>
  <c r="H71" i="222"/>
  <c r="N32" i="225" s="1"/>
  <c r="H70" i="222"/>
  <c r="N28" i="225" s="1"/>
  <c r="H69" i="222"/>
  <c r="N29" i="225" s="1"/>
  <c r="H68" i="222"/>
  <c r="H65" i="222"/>
  <c r="H64" i="222"/>
  <c r="H63" i="222"/>
  <c r="H62" i="222"/>
  <c r="K22" i="225" s="1"/>
  <c r="H61" i="222"/>
  <c r="N19" i="225" s="1"/>
  <c r="N20" i="225" s="1"/>
  <c r="H60" i="222"/>
  <c r="K19" i="225" s="1"/>
  <c r="K20" i="225" s="1"/>
  <c r="H59" i="222"/>
  <c r="M17" i="225" s="1"/>
  <c r="H58" i="222"/>
  <c r="M58" i="224" s="1"/>
  <c r="H57" i="222"/>
  <c r="K65" i="224" s="1"/>
  <c r="H56" i="222"/>
  <c r="M57" i="224" s="1"/>
  <c r="H55" i="222"/>
  <c r="H54" i="222"/>
  <c r="H53" i="222"/>
  <c r="H52" i="222"/>
  <c r="H51" i="222"/>
  <c r="H50" i="222"/>
  <c r="H49" i="222"/>
  <c r="N53" i="224" s="1"/>
  <c r="H48" i="222"/>
  <c r="N50" i="224" s="1"/>
  <c r="H47" i="222"/>
  <c r="J47" i="224" s="1"/>
  <c r="H46" i="222"/>
  <c r="N44" i="224" s="1"/>
  <c r="H45" i="222"/>
  <c r="N43" i="224" s="1"/>
  <c r="H44" i="222"/>
  <c r="H43" i="222"/>
  <c r="H42" i="222"/>
  <c r="H41" i="222"/>
  <c r="H37" i="222"/>
  <c r="H36" i="222"/>
  <c r="H35" i="222"/>
  <c r="K36" i="224" s="1"/>
  <c r="H34" i="222"/>
  <c r="N33" i="224" s="1"/>
  <c r="H33" i="222"/>
  <c r="N32" i="224" s="1"/>
  <c r="H32" i="222"/>
  <c r="H31" i="222"/>
  <c r="H30" i="222"/>
  <c r="N29" i="224" s="1"/>
  <c r="H29" i="222"/>
  <c r="N28" i="224" s="1"/>
  <c r="H28" i="222"/>
  <c r="H27" i="222"/>
  <c r="H26" i="222"/>
  <c r="H25" i="222"/>
  <c r="N25" i="224" s="1"/>
  <c r="H22" i="222"/>
  <c r="J22" i="224" s="1"/>
  <c r="H21" i="222"/>
  <c r="N21" i="224" s="1"/>
  <c r="H20" i="222"/>
  <c r="H19" i="222"/>
  <c r="H18" i="222"/>
  <c r="H17" i="222"/>
  <c r="H16" i="222"/>
  <c r="N37" i="223" s="1"/>
  <c r="H13" i="222"/>
  <c r="N24" i="223" s="1"/>
  <c r="H12" i="222"/>
  <c r="N23" i="223" s="1"/>
  <c r="H11" i="222"/>
  <c r="N22" i="223" s="1"/>
  <c r="N27" i="223" s="1"/>
  <c r="H10" i="222"/>
  <c r="J41" i="223" s="1"/>
  <c r="H9" i="222"/>
  <c r="K37" i="223" s="1"/>
  <c r="H8" i="222"/>
  <c r="H7" i="222"/>
  <c r="H6" i="222"/>
  <c r="J18" i="225" s="1"/>
  <c r="B6" i="222"/>
  <c r="B7" i="222" s="1"/>
  <c r="B8" i="222" s="1"/>
  <c r="B9" i="222" s="1"/>
  <c r="B10" i="222" s="1"/>
  <c r="B11" i="222" s="1"/>
  <c r="B12" i="222" s="1"/>
  <c r="B13" i="222" s="1"/>
  <c r="B14" i="222" s="1"/>
  <c r="B15" i="222" s="1"/>
  <c r="B16" i="222" s="1"/>
  <c r="B17" i="222" s="1"/>
  <c r="B18" i="222" s="1"/>
  <c r="B19" i="222" s="1"/>
  <c r="B20" i="222" s="1"/>
  <c r="B21" i="222" s="1"/>
  <c r="B22" i="222" s="1"/>
  <c r="B23" i="222" s="1"/>
  <c r="B24" i="222" s="1"/>
  <c r="B25" i="222" s="1"/>
  <c r="B26" i="222" s="1"/>
  <c r="B27" i="222" s="1"/>
  <c r="B28" i="222" s="1"/>
  <c r="B29" i="222" s="1"/>
  <c r="B30" i="222" s="1"/>
  <c r="B31" i="222" s="1"/>
  <c r="B32" i="222" s="1"/>
  <c r="B33" i="222" s="1"/>
  <c r="B34" i="222" s="1"/>
  <c r="B35" i="222" s="1"/>
  <c r="H5" i="222"/>
  <c r="J17" i="223" s="1"/>
  <c r="G7" i="226" l="1"/>
  <c r="K53" i="224"/>
  <c r="K50" i="224"/>
  <c r="N50" i="232"/>
  <c r="M43" i="225"/>
  <c r="N62" i="224"/>
  <c r="N22" i="224"/>
  <c r="K28" i="224"/>
  <c r="N61" i="224"/>
  <c r="K62" i="224"/>
  <c r="K29" i="224"/>
  <c r="J18" i="223"/>
  <c r="B38" i="230"/>
  <c r="J17" i="233"/>
  <c r="J41" i="231"/>
  <c r="N32" i="232"/>
  <c r="K41" i="231"/>
  <c r="K36" i="232"/>
  <c r="K29" i="233"/>
  <c r="M41" i="231"/>
  <c r="K39" i="232"/>
  <c r="J58" i="232"/>
  <c r="K28" i="232"/>
  <c r="K29" i="232"/>
  <c r="K43" i="232"/>
  <c r="J38" i="233"/>
  <c r="N38" i="233"/>
  <c r="K38" i="233"/>
  <c r="J43" i="233"/>
  <c r="M38" i="233"/>
  <c r="N23" i="224"/>
  <c r="N6" i="224" s="1"/>
  <c r="Q22" i="212" s="1"/>
  <c r="N65" i="224"/>
  <c r="K41" i="223"/>
  <c r="M47" i="224"/>
  <c r="K61" i="224"/>
  <c r="K43" i="225"/>
  <c r="J38" i="225"/>
  <c r="N38" i="225"/>
  <c r="M41" i="223"/>
  <c r="N41" i="223"/>
  <c r="K66" i="224"/>
  <c r="J19" i="223"/>
  <c r="J21" i="224"/>
  <c r="J23" i="224" s="1"/>
  <c r="K32" i="224"/>
  <c r="K44" i="224"/>
  <c r="J57" i="224"/>
  <c r="K43" i="224"/>
  <c r="M38" i="225"/>
  <c r="M21" i="224"/>
  <c r="K33" i="224"/>
  <c r="J58" i="224"/>
  <c r="J17" i="225"/>
  <c r="J20" i="225" s="1"/>
  <c r="J6" i="225" s="1"/>
  <c r="G63" i="212" s="1"/>
  <c r="N66" i="224"/>
  <c r="K29" i="225"/>
  <c r="K25" i="224"/>
  <c r="G4" i="234"/>
  <c r="J57" i="232"/>
  <c r="M57" i="232"/>
  <c r="N65" i="232"/>
  <c r="N61" i="232"/>
  <c r="K61" i="232"/>
  <c r="K6" i="233"/>
  <c r="K63" i="212" s="1"/>
  <c r="K5" i="231"/>
  <c r="K8" i="212" s="1"/>
  <c r="K28" i="231"/>
  <c r="N26" i="231"/>
  <c r="N25" i="231"/>
  <c r="N27" i="231"/>
  <c r="M47" i="232"/>
  <c r="J47" i="232"/>
  <c r="N62" i="232"/>
  <c r="N66" i="232"/>
  <c r="K62" i="232"/>
  <c r="K66" i="232"/>
  <c r="N43" i="233"/>
  <c r="G5" i="234"/>
  <c r="J18" i="233"/>
  <c r="K21" i="232"/>
  <c r="J21" i="232"/>
  <c r="K22" i="232"/>
  <c r="J22" i="232"/>
  <c r="J18" i="231"/>
  <c r="J19" i="231" s="1"/>
  <c r="K40" i="232"/>
  <c r="K25" i="232"/>
  <c r="N25" i="232"/>
  <c r="K53" i="232"/>
  <c r="N53" i="232"/>
  <c r="M21" i="232"/>
  <c r="N33" i="232"/>
  <c r="K33" i="232"/>
  <c r="N21" i="232"/>
  <c r="N23" i="232" s="1"/>
  <c r="K44" i="232"/>
  <c r="N28" i="223"/>
  <c r="N5" i="223"/>
  <c r="Q8" i="212" s="1"/>
  <c r="N26" i="223"/>
  <c r="K6" i="225"/>
  <c r="H63" i="212" s="1"/>
  <c r="N6" i="225"/>
  <c r="Q63" i="212" s="1"/>
  <c r="J27" i="223"/>
  <c r="J5" i="223" s="1"/>
  <c r="G8" i="212" s="1"/>
  <c r="K5" i="223"/>
  <c r="H8" i="212" s="1"/>
  <c r="K28" i="223"/>
  <c r="N25" i="223"/>
  <c r="G10" i="226" s="1"/>
  <c r="G12" i="226" s="1"/>
  <c r="K14" i="222" s="1"/>
  <c r="H14" i="222" s="1"/>
  <c r="N29" i="223" s="1"/>
  <c r="B40" i="209"/>
  <c r="B41" i="209" s="1"/>
  <c r="B42" i="209" s="1"/>
  <c r="B43" i="209" s="1"/>
  <c r="B44" i="209" s="1"/>
  <c r="B45" i="209" s="1"/>
  <c r="B46" i="209" s="1"/>
  <c r="B47" i="209" s="1"/>
  <c r="B48" i="209" s="1"/>
  <c r="B49" i="209" s="1"/>
  <c r="B50" i="209" s="1"/>
  <c r="B51" i="209" s="1"/>
  <c r="B52" i="209" s="1"/>
  <c r="B53" i="209" s="1"/>
  <c r="B54" i="209" s="1"/>
  <c r="B55" i="209" s="1"/>
  <c r="B56" i="209" s="1"/>
  <c r="B57" i="209" s="1"/>
  <c r="B58" i="209" s="1"/>
  <c r="B59" i="209" s="1"/>
  <c r="B60" i="209" s="1"/>
  <c r="B61" i="209" s="1"/>
  <c r="B62" i="209" s="1"/>
  <c r="B63" i="209" s="1"/>
  <c r="B64" i="209" s="1"/>
  <c r="B65" i="209" s="1"/>
  <c r="B66" i="209" s="1"/>
  <c r="B67" i="209" s="1"/>
  <c r="B68" i="209" s="1"/>
  <c r="B69" i="209" s="1"/>
  <c r="H37" i="216"/>
  <c r="J23" i="232" l="1"/>
  <c r="J20" i="233"/>
  <c r="G7" i="234"/>
  <c r="I63" i="212"/>
  <c r="J6" i="224"/>
  <c r="G22" i="212" s="1"/>
  <c r="G18" i="226"/>
  <c r="K21" i="225"/>
  <c r="K24" i="225" s="1"/>
  <c r="K7" i="225" s="1"/>
  <c r="H64" i="212" s="1"/>
  <c r="I64" i="212" s="1"/>
  <c r="I8" i="212"/>
  <c r="G14" i="226"/>
  <c r="G16" i="226" s="1"/>
  <c r="K15" i="222" s="1"/>
  <c r="H15" i="222" s="1"/>
  <c r="N31" i="223" s="1"/>
  <c r="N32" i="223" s="1"/>
  <c r="N36" i="223" s="1"/>
  <c r="N31" i="225" s="1"/>
  <c r="N34" i="225" s="1"/>
  <c r="N6" i="223"/>
  <c r="Q9" i="212" s="1"/>
  <c r="G42" i="226"/>
  <c r="N21" i="225"/>
  <c r="N24" i="225" s="1"/>
  <c r="N7" i="225" s="1"/>
  <c r="Q64" i="212" s="1"/>
  <c r="R64" i="212" s="1"/>
  <c r="M115" i="212" s="1"/>
  <c r="J6" i="233"/>
  <c r="J63" i="212" s="1"/>
  <c r="L63" i="212" s="1"/>
  <c r="G10" i="234"/>
  <c r="J6" i="232"/>
  <c r="J22" i="212" s="1"/>
  <c r="G18" i="234"/>
  <c r="K6" i="231"/>
  <c r="K9" i="212" s="1"/>
  <c r="L9" i="212" s="1"/>
  <c r="K34" i="231"/>
  <c r="K30" i="231"/>
  <c r="K33" i="231" s="1"/>
  <c r="K21" i="233"/>
  <c r="K24" i="233" s="1"/>
  <c r="K23" i="232"/>
  <c r="N28" i="231"/>
  <c r="N5" i="231"/>
  <c r="T8" i="212" s="1"/>
  <c r="G14" i="234"/>
  <c r="G16" i="234" s="1"/>
  <c r="K15" i="230" s="1"/>
  <c r="H15" i="230" s="1"/>
  <c r="N31" i="231" s="1"/>
  <c r="N32" i="231" s="1"/>
  <c r="N36" i="231" s="1"/>
  <c r="N31" i="233" s="1"/>
  <c r="N34" i="233" s="1"/>
  <c r="N6" i="232"/>
  <c r="T22" i="212" s="1"/>
  <c r="J27" i="231"/>
  <c r="M21" i="223"/>
  <c r="J40" i="223"/>
  <c r="J43" i="223"/>
  <c r="N30" i="223"/>
  <c r="K30" i="223"/>
  <c r="K33" i="223" s="1"/>
  <c r="K27" i="224" s="1"/>
  <c r="K30" i="224" s="1"/>
  <c r="K34" i="223"/>
  <c r="K31" i="224" s="1"/>
  <c r="K34" i="224" s="1"/>
  <c r="K6" i="223"/>
  <c r="H9" i="212" s="1"/>
  <c r="I9" i="212" s="1"/>
  <c r="K40" i="209"/>
  <c r="R7" i="220"/>
  <c r="R8" i="220" s="1"/>
  <c r="N67" i="212"/>
  <c r="M64" i="212"/>
  <c r="M65" i="212"/>
  <c r="M66" i="212"/>
  <c r="M67" i="212"/>
  <c r="E67" i="212"/>
  <c r="D64" i="212"/>
  <c r="D65" i="212"/>
  <c r="D66" i="212"/>
  <c r="D67" i="212"/>
  <c r="H79" i="216"/>
  <c r="N43" i="210" s="1"/>
  <c r="H78" i="216"/>
  <c r="J43" i="210" s="1"/>
  <c r="H70" i="216"/>
  <c r="N28" i="210" s="1"/>
  <c r="H72" i="216"/>
  <c r="N33" i="210" s="1"/>
  <c r="H71" i="216"/>
  <c r="N32" i="210" s="1"/>
  <c r="H69" i="216"/>
  <c r="H68" i="216"/>
  <c r="B28" i="214"/>
  <c r="B29" i="214" s="1"/>
  <c r="B30" i="214" s="1"/>
  <c r="B31" i="214" s="1"/>
  <c r="B32" i="214" s="1"/>
  <c r="B33" i="214" s="1"/>
  <c r="B34" i="214" s="1"/>
  <c r="B35" i="214" s="1"/>
  <c r="B36" i="214" s="1"/>
  <c r="B37" i="214" s="1"/>
  <c r="B38" i="214" s="1"/>
  <c r="B39" i="214" s="1"/>
  <c r="B40" i="214" s="1"/>
  <c r="B41" i="214" s="1"/>
  <c r="B42" i="214" s="1"/>
  <c r="B43" i="214" s="1"/>
  <c r="H61" i="216"/>
  <c r="N19" i="210" s="1"/>
  <c r="N20" i="210" s="1"/>
  <c r="H63" i="216"/>
  <c r="K23" i="210" s="1"/>
  <c r="H65" i="216"/>
  <c r="N23" i="210" s="1"/>
  <c r="H64" i="216"/>
  <c r="N22" i="210" s="1"/>
  <c r="H62" i="216"/>
  <c r="K22" i="210" s="1"/>
  <c r="H60" i="216"/>
  <c r="K19" i="210" s="1"/>
  <c r="K20" i="210" s="1"/>
  <c r="B20" i="209"/>
  <c r="B21" i="209"/>
  <c r="B22" i="209"/>
  <c r="B23" i="209"/>
  <c r="B24" i="209"/>
  <c r="B25" i="209"/>
  <c r="B26" i="209" s="1"/>
  <c r="B27" i="209" s="1"/>
  <c r="B28" i="209" s="1"/>
  <c r="B29" i="209" s="1"/>
  <c r="B30" i="209" s="1"/>
  <c r="B31" i="209" s="1"/>
  <c r="B32" i="209" s="1"/>
  <c r="B33" i="209" s="1"/>
  <c r="B34" i="209" s="1"/>
  <c r="B35" i="209" s="1"/>
  <c r="B36" i="209" s="1"/>
  <c r="B37" i="209" s="1"/>
  <c r="B38" i="209" s="1"/>
  <c r="B39" i="209" s="1"/>
  <c r="M23" i="212"/>
  <c r="M24" i="212"/>
  <c r="M25" i="212"/>
  <c r="M26" i="212"/>
  <c r="M27" i="212"/>
  <c r="D23" i="212"/>
  <c r="D24" i="212"/>
  <c r="D25" i="212"/>
  <c r="D26" i="212"/>
  <c r="D27" i="212"/>
  <c r="H57" i="216"/>
  <c r="K65" i="209" s="1"/>
  <c r="H53" i="216"/>
  <c r="H52" i="216"/>
  <c r="H58" i="216"/>
  <c r="M58" i="209" s="1"/>
  <c r="H56" i="216"/>
  <c r="H55" i="216"/>
  <c r="H54" i="216"/>
  <c r="H51" i="216"/>
  <c r="H50" i="216"/>
  <c r="H49" i="216"/>
  <c r="K53" i="209" s="1"/>
  <c r="H48" i="216"/>
  <c r="N50" i="209" s="1"/>
  <c r="H47" i="216"/>
  <c r="J47" i="209" s="1"/>
  <c r="H46" i="216"/>
  <c r="N44" i="209" s="1"/>
  <c r="H45" i="216"/>
  <c r="N43" i="209" s="1"/>
  <c r="H34" i="216"/>
  <c r="K33" i="209" s="1"/>
  <c r="H33" i="216"/>
  <c r="H44" i="216"/>
  <c r="H43" i="216"/>
  <c r="H42" i="216"/>
  <c r="H41" i="216"/>
  <c r="H36" i="216"/>
  <c r="K39" i="209" s="1"/>
  <c r="H35" i="216"/>
  <c r="H31" i="216"/>
  <c r="H32" i="216"/>
  <c r="H28" i="216"/>
  <c r="H27" i="216"/>
  <c r="H26" i="216"/>
  <c r="H30" i="216"/>
  <c r="N29" i="209" s="1"/>
  <c r="H29" i="216"/>
  <c r="N28" i="209" s="1"/>
  <c r="H25" i="216"/>
  <c r="N25" i="209" s="1"/>
  <c r="H59" i="216"/>
  <c r="J17" i="210" s="1"/>
  <c r="B19" i="209"/>
  <c r="H20" i="216"/>
  <c r="N18" i="209" s="1"/>
  <c r="H22" i="216"/>
  <c r="K22" i="209" s="1"/>
  <c r="H21" i="216"/>
  <c r="K21" i="209" s="1"/>
  <c r="M12" i="212"/>
  <c r="M11" i="212"/>
  <c r="M10" i="212"/>
  <c r="M9" i="212"/>
  <c r="D12" i="212"/>
  <c r="D11" i="212"/>
  <c r="D10" i="212"/>
  <c r="D9" i="212"/>
  <c r="B18" i="214"/>
  <c r="H11" i="216"/>
  <c r="N22" i="214" s="1"/>
  <c r="N27" i="214" s="1"/>
  <c r="H5" i="216"/>
  <c r="J17" i="214" s="1"/>
  <c r="H7" i="216"/>
  <c r="K20" i="214" s="1"/>
  <c r="H8" i="216"/>
  <c r="K29" i="214" s="1"/>
  <c r="H9" i="216"/>
  <c r="K37" i="214" s="1"/>
  <c r="K38" i="214" s="1"/>
  <c r="H10" i="216"/>
  <c r="K41" i="214" s="1"/>
  <c r="H12" i="216"/>
  <c r="N23" i="214" s="1"/>
  <c r="H13" i="216"/>
  <c r="N24" i="214" s="1"/>
  <c r="H17" i="216"/>
  <c r="J18" i="209" s="1"/>
  <c r="H18" i="216"/>
  <c r="K18" i="209" s="1"/>
  <c r="H19" i="216"/>
  <c r="M18" i="209" s="1"/>
  <c r="H73" i="216"/>
  <c r="H6" i="216"/>
  <c r="J18" i="214" s="1"/>
  <c r="H16" i="216"/>
  <c r="N37" i="214" s="1"/>
  <c r="B6" i="216"/>
  <c r="B7" i="216" s="1"/>
  <c r="B8" i="216" s="1"/>
  <c r="B9" i="216" s="1"/>
  <c r="B10" i="216" s="1"/>
  <c r="B11" i="216" s="1"/>
  <c r="B12" i="216" s="1"/>
  <c r="B13" i="216" s="1"/>
  <c r="B14" i="216" s="1"/>
  <c r="B15" i="216" s="1"/>
  <c r="B16" i="216" s="1"/>
  <c r="B17" i="216" s="1"/>
  <c r="B18" i="216" s="1"/>
  <c r="B19" i="216" s="1"/>
  <c r="B20" i="216" s="1"/>
  <c r="B21" i="216" s="1"/>
  <c r="B22" i="216" s="1"/>
  <c r="B23" i="216" s="1"/>
  <c r="B24" i="216" s="1"/>
  <c r="B25" i="216" s="1"/>
  <c r="B26" i="216" s="1"/>
  <c r="B27" i="216" s="1"/>
  <c r="B28" i="216" s="1"/>
  <c r="B29" i="216" s="1"/>
  <c r="B30" i="216" s="1"/>
  <c r="B31" i="216" s="1"/>
  <c r="B32" i="216" s="1"/>
  <c r="B33" i="216" s="1"/>
  <c r="B34" i="216" s="1"/>
  <c r="B35" i="216" s="1"/>
  <c r="M118" i="212"/>
  <c r="G12" i="234" l="1"/>
  <c r="K14" i="230" s="1"/>
  <c r="H14" i="230" s="1"/>
  <c r="N29" i="231" s="1"/>
  <c r="K8" i="224"/>
  <c r="H24" i="212" s="1"/>
  <c r="I24" i="212" s="1"/>
  <c r="N34" i="223"/>
  <c r="N40" i="223" s="1"/>
  <c r="G19" i="234"/>
  <c r="G20" i="234" s="1"/>
  <c r="G31" i="234"/>
  <c r="G32" i="234" s="1"/>
  <c r="G27" i="234"/>
  <c r="G28" i="234" s="1"/>
  <c r="G23" i="234"/>
  <c r="G24" i="234" s="1"/>
  <c r="G35" i="234"/>
  <c r="G36" i="234" s="1"/>
  <c r="G55" i="226"/>
  <c r="G56" i="226" s="1"/>
  <c r="G51" i="226"/>
  <c r="G47" i="226"/>
  <c r="G43" i="226"/>
  <c r="G44" i="226" s="1"/>
  <c r="G59" i="226"/>
  <c r="G60" i="226" s="1"/>
  <c r="J11" i="223"/>
  <c r="G13" i="212" s="1"/>
  <c r="J36" i="225"/>
  <c r="J39" i="225" s="1"/>
  <c r="J11" i="225" s="1"/>
  <c r="G68" i="212" s="1"/>
  <c r="J46" i="224"/>
  <c r="J48" i="224" s="1"/>
  <c r="J55" i="224" s="1"/>
  <c r="J13" i="223"/>
  <c r="G14" i="212" s="1"/>
  <c r="J56" i="224"/>
  <c r="J59" i="224" s="1"/>
  <c r="J68" i="224" s="1"/>
  <c r="J13" i="224" s="1"/>
  <c r="G29" i="212" s="1"/>
  <c r="J42" i="225"/>
  <c r="J44" i="225" s="1"/>
  <c r="J13" i="225" s="1"/>
  <c r="G70" i="212" s="1"/>
  <c r="M5" i="223"/>
  <c r="P8" i="212" s="1"/>
  <c r="M19" i="224"/>
  <c r="M20" i="224" s="1"/>
  <c r="M23" i="224" s="1"/>
  <c r="M20" i="225"/>
  <c r="M6" i="225" s="1"/>
  <c r="P63" i="212" s="1"/>
  <c r="M114" i="212" s="1"/>
  <c r="G19" i="226"/>
  <c r="G20" i="226" s="1"/>
  <c r="G31" i="226"/>
  <c r="G32" i="226" s="1"/>
  <c r="G35" i="226"/>
  <c r="G36" i="226" s="1"/>
  <c r="G23" i="226"/>
  <c r="G24" i="226" s="1"/>
  <c r="G27" i="226"/>
  <c r="G28" i="226" s="1"/>
  <c r="I22" i="212"/>
  <c r="G147" i="220"/>
  <c r="G134" i="220"/>
  <c r="G173" i="220"/>
  <c r="G160" i="220"/>
  <c r="M57" i="209"/>
  <c r="G174" i="220"/>
  <c r="G161" i="220"/>
  <c r="G148" i="220"/>
  <c r="G135" i="220"/>
  <c r="G172" i="220"/>
  <c r="G159" i="220"/>
  <c r="G146" i="220"/>
  <c r="G133" i="220"/>
  <c r="L105" i="212"/>
  <c r="K38" i="231"/>
  <c r="K27" i="232"/>
  <c r="K30" i="232" s="1"/>
  <c r="K35" i="231"/>
  <c r="K27" i="233" s="1"/>
  <c r="K30" i="233" s="1"/>
  <c r="K35" i="233" s="1"/>
  <c r="K9" i="233" s="1"/>
  <c r="K66" i="212" s="1"/>
  <c r="L66" i="212" s="1"/>
  <c r="I117" i="212" s="1"/>
  <c r="K7" i="231"/>
  <c r="K39" i="231"/>
  <c r="K7" i="233"/>
  <c r="K64" i="212" s="1"/>
  <c r="L64" i="212" s="1"/>
  <c r="K8" i="231"/>
  <c r="K31" i="232"/>
  <c r="K34" i="232" s="1"/>
  <c r="K40" i="231"/>
  <c r="J5" i="231"/>
  <c r="J8" i="212" s="1"/>
  <c r="M21" i="231"/>
  <c r="J40" i="231"/>
  <c r="G42" i="234"/>
  <c r="N6" i="231"/>
  <c r="T9" i="212" s="1"/>
  <c r="U9" i="212" s="1"/>
  <c r="N21" i="233"/>
  <c r="N24" i="233" s="1"/>
  <c r="K6" i="232"/>
  <c r="K22" i="212" s="1"/>
  <c r="M27" i="223"/>
  <c r="M40" i="223" s="1"/>
  <c r="K40" i="223"/>
  <c r="K8" i="223"/>
  <c r="N35" i="223"/>
  <c r="N27" i="225" s="1"/>
  <c r="N30" i="225" s="1"/>
  <c r="N35" i="225" s="1"/>
  <c r="N33" i="223"/>
  <c r="K7" i="223"/>
  <c r="K39" i="223"/>
  <c r="K35" i="223"/>
  <c r="K27" i="225" s="1"/>
  <c r="K30" i="225" s="1"/>
  <c r="K35" i="225" s="1"/>
  <c r="K9" i="225" s="1"/>
  <c r="H66" i="212" s="1"/>
  <c r="I66" i="212" s="1"/>
  <c r="K38" i="223"/>
  <c r="O67" i="212"/>
  <c r="N6" i="210"/>
  <c r="N63" i="212" s="1"/>
  <c r="F67" i="212"/>
  <c r="E118" i="212" s="1"/>
  <c r="K6" i="210"/>
  <c r="E63" i="212" s="1"/>
  <c r="G105" i="220"/>
  <c r="G92" i="220"/>
  <c r="K32" i="209"/>
  <c r="G107" i="220"/>
  <c r="G94" i="220"/>
  <c r="G4" i="220"/>
  <c r="G5" i="220"/>
  <c r="N25" i="214"/>
  <c r="G10" i="220" s="1"/>
  <c r="G12" i="220" s="1"/>
  <c r="K14" i="216" s="1"/>
  <c r="H14" i="216" s="1"/>
  <c r="N29" i="214" s="1"/>
  <c r="G106" i="220"/>
  <c r="G93" i="220"/>
  <c r="K43" i="210"/>
  <c r="M43" i="210"/>
  <c r="J38" i="210"/>
  <c r="K28" i="210"/>
  <c r="K38" i="210"/>
  <c r="K29" i="210"/>
  <c r="M38" i="210"/>
  <c r="N38" i="210"/>
  <c r="N29" i="210"/>
  <c r="J27" i="214"/>
  <c r="J5" i="214" s="1"/>
  <c r="N28" i="214"/>
  <c r="K27" i="214"/>
  <c r="K28" i="214" s="1"/>
  <c r="G18" i="220" s="1"/>
  <c r="M17" i="210"/>
  <c r="J18" i="210"/>
  <c r="J20" i="210" s="1"/>
  <c r="K23" i="209"/>
  <c r="K6" i="209" s="1"/>
  <c r="E22" i="212" s="1"/>
  <c r="K62" i="209"/>
  <c r="N65" i="209"/>
  <c r="N66" i="209"/>
  <c r="N61" i="209"/>
  <c r="N62" i="209"/>
  <c r="K66" i="209"/>
  <c r="J57" i="209"/>
  <c r="K61" i="209"/>
  <c r="J58" i="209"/>
  <c r="N53" i="209"/>
  <c r="K50" i="209"/>
  <c r="M47" i="209"/>
  <c r="K43" i="209"/>
  <c r="K44" i="209"/>
  <c r="N33" i="209"/>
  <c r="N32" i="209"/>
  <c r="K36" i="209"/>
  <c r="K29" i="209"/>
  <c r="K28" i="209"/>
  <c r="K25" i="209"/>
  <c r="N22" i="209"/>
  <c r="N21" i="209"/>
  <c r="J19" i="214"/>
  <c r="M21" i="209"/>
  <c r="M22" i="209"/>
  <c r="J21" i="209"/>
  <c r="J19" i="209"/>
  <c r="J20" i="209" s="1"/>
  <c r="J22" i="209"/>
  <c r="N41" i="214"/>
  <c r="M41" i="214"/>
  <c r="J41" i="214"/>
  <c r="N5" i="214"/>
  <c r="N8" i="212" s="1"/>
  <c r="N26" i="214"/>
  <c r="O118" i="212"/>
  <c r="K118" i="212"/>
  <c r="I115" i="212"/>
  <c r="I118" i="212"/>
  <c r="I114" i="212"/>
  <c r="G115" i="212"/>
  <c r="G117" i="212"/>
  <c r="G118" i="212"/>
  <c r="G114" i="212"/>
  <c r="F107" i="212"/>
  <c r="F105" i="212"/>
  <c r="N27" i="224" l="1"/>
  <c r="N30" i="224" s="1"/>
  <c r="N34" i="231"/>
  <c r="N30" i="231"/>
  <c r="N31" i="224"/>
  <c r="N34" i="224" s="1"/>
  <c r="G104" i="226"/>
  <c r="G45" i="226"/>
  <c r="G46" i="226" s="1"/>
  <c r="N8" i="223"/>
  <c r="G61" i="226"/>
  <c r="G62" i="226" s="1"/>
  <c r="G37" i="234"/>
  <c r="G21" i="226"/>
  <c r="G22" i="226" s="1"/>
  <c r="G25" i="226"/>
  <c r="G26" i="226" s="1"/>
  <c r="G37" i="226"/>
  <c r="G38" i="226" s="1"/>
  <c r="G33" i="226"/>
  <c r="G34" i="226" s="1"/>
  <c r="K10" i="212"/>
  <c r="L10" i="212" s="1"/>
  <c r="G51" i="234"/>
  <c r="G52" i="234" s="1"/>
  <c r="G59" i="234"/>
  <c r="G60" i="234" s="1"/>
  <c r="G47" i="234"/>
  <c r="G48" i="234" s="1"/>
  <c r="G55" i="234"/>
  <c r="G56" i="234" s="1"/>
  <c r="G43" i="234"/>
  <c r="G44" i="234" s="1"/>
  <c r="K8" i="232"/>
  <c r="K24" i="212" s="1"/>
  <c r="L24" i="212" s="1"/>
  <c r="H107" i="212" s="1"/>
  <c r="L8" i="212"/>
  <c r="L22" i="212"/>
  <c r="H105" i="212" s="1"/>
  <c r="J12" i="224"/>
  <c r="G28" i="212" s="1"/>
  <c r="J69" i="224"/>
  <c r="J5" i="224" s="1"/>
  <c r="M11" i="223"/>
  <c r="P13" i="212" s="1"/>
  <c r="M46" i="224"/>
  <c r="M48" i="224" s="1"/>
  <c r="M55" i="224" s="1"/>
  <c r="M12" i="224" s="1"/>
  <c r="P28" i="212" s="1"/>
  <c r="M36" i="225"/>
  <c r="M39" i="225" s="1"/>
  <c r="M11" i="225" s="1"/>
  <c r="P68" i="212" s="1"/>
  <c r="K49" i="224"/>
  <c r="K51" i="224" s="1"/>
  <c r="K37" i="225"/>
  <c r="K39" i="225" s="1"/>
  <c r="K11" i="225" s="1"/>
  <c r="H68" i="212" s="1"/>
  <c r="I68" i="212" s="1"/>
  <c r="G119" i="212" s="1"/>
  <c r="K9" i="223"/>
  <c r="H11" i="212" s="1"/>
  <c r="I11" i="212" s="1"/>
  <c r="K35" i="224"/>
  <c r="K42" i="224"/>
  <c r="K45" i="224" s="1"/>
  <c r="K11" i="224" s="1"/>
  <c r="H27" i="212" s="1"/>
  <c r="I27" i="212" s="1"/>
  <c r="F110" i="212" s="1"/>
  <c r="K52" i="224"/>
  <c r="K54" i="224" s="1"/>
  <c r="G29" i="226"/>
  <c r="G30" i="226" s="1"/>
  <c r="G48" i="226"/>
  <c r="G49" i="226"/>
  <c r="G57" i="226"/>
  <c r="G58" i="226" s="1"/>
  <c r="H10" i="212"/>
  <c r="I10" i="212" s="1"/>
  <c r="M6" i="224"/>
  <c r="P22" i="212" s="1"/>
  <c r="G52" i="226"/>
  <c r="G53" i="226"/>
  <c r="J23" i="209"/>
  <c r="G35" i="220"/>
  <c r="G36" i="220" s="1"/>
  <c r="G19" i="220"/>
  <c r="G20" i="220" s="1"/>
  <c r="G31" i="220"/>
  <c r="G32" i="220" s="1"/>
  <c r="G23" i="220"/>
  <c r="G24" i="220" s="1"/>
  <c r="G27" i="220"/>
  <c r="G28" i="220" s="1"/>
  <c r="G33" i="234"/>
  <c r="G34" i="234" s="1"/>
  <c r="G29" i="234"/>
  <c r="G30" i="234" s="1"/>
  <c r="G25" i="234"/>
  <c r="G26" i="234" s="1"/>
  <c r="M20" i="233"/>
  <c r="M5" i="231"/>
  <c r="S8" i="212" s="1"/>
  <c r="M19" i="232"/>
  <c r="M20" i="232" s="1"/>
  <c r="M23" i="232" s="1"/>
  <c r="M6" i="232" s="1"/>
  <c r="S22" i="212" s="1"/>
  <c r="M27" i="231"/>
  <c r="M40" i="231" s="1"/>
  <c r="K49" i="232"/>
  <c r="K51" i="232" s="1"/>
  <c r="K37" i="233"/>
  <c r="K39" i="233" s="1"/>
  <c r="K11" i="233" s="1"/>
  <c r="K68" i="212" s="1"/>
  <c r="K11" i="231"/>
  <c r="K13" i="212" s="1"/>
  <c r="K43" i="231"/>
  <c r="N7" i="233"/>
  <c r="T64" i="212" s="1"/>
  <c r="U64" i="212" s="1"/>
  <c r="O115" i="212" s="1"/>
  <c r="K52" i="232"/>
  <c r="K54" i="232" s="1"/>
  <c r="K10" i="231"/>
  <c r="K12" i="212" s="1"/>
  <c r="L12" i="212" s="1"/>
  <c r="K42" i="231"/>
  <c r="K42" i="232"/>
  <c r="K45" i="232" s="1"/>
  <c r="K11" i="232" s="1"/>
  <c r="K27" i="212" s="1"/>
  <c r="L27" i="212" s="1"/>
  <c r="H110" i="212" s="1"/>
  <c r="K12" i="231"/>
  <c r="J11" i="231"/>
  <c r="J13" i="212" s="1"/>
  <c r="L13" i="212" s="1"/>
  <c r="J36" i="233"/>
  <c r="J39" i="233" s="1"/>
  <c r="J43" i="231"/>
  <c r="J46" i="232"/>
  <c r="J48" i="232" s="1"/>
  <c r="J55" i="232" s="1"/>
  <c r="G38" i="234"/>
  <c r="G21" i="234"/>
  <c r="G22" i="234" s="1"/>
  <c r="K35" i="232"/>
  <c r="K9" i="231"/>
  <c r="K11" i="212" s="1"/>
  <c r="L11" i="212" s="1"/>
  <c r="N9" i="225"/>
  <c r="Q66" i="212" s="1"/>
  <c r="R66" i="212" s="1"/>
  <c r="M117" i="212" s="1"/>
  <c r="N49" i="224"/>
  <c r="N51" i="224" s="1"/>
  <c r="N37" i="225"/>
  <c r="N39" i="225" s="1"/>
  <c r="N11" i="225" s="1"/>
  <c r="Q68" i="212" s="1"/>
  <c r="M43" i="223"/>
  <c r="N38" i="223"/>
  <c r="N39" i="223"/>
  <c r="N7" i="223"/>
  <c r="Q10" i="212" s="1"/>
  <c r="R10" i="212" s="1"/>
  <c r="K12" i="223"/>
  <c r="K10" i="223"/>
  <c r="H12" i="212" s="1"/>
  <c r="I12" i="212" s="1"/>
  <c r="K42" i="223"/>
  <c r="N43" i="223"/>
  <c r="G171" i="226" s="1"/>
  <c r="N11" i="223"/>
  <c r="K11" i="223"/>
  <c r="H13" i="212" s="1"/>
  <c r="I13" i="212" s="1"/>
  <c r="K43" i="223"/>
  <c r="G7" i="220"/>
  <c r="J6" i="210"/>
  <c r="D63" i="212" s="1"/>
  <c r="F63" i="212" s="1"/>
  <c r="E114" i="212" s="1"/>
  <c r="N30" i="214"/>
  <c r="N35" i="214" s="1"/>
  <c r="N27" i="210" s="1"/>
  <c r="N30" i="210" s="1"/>
  <c r="G14" i="220"/>
  <c r="G16" i="220" s="1"/>
  <c r="K15" i="216" s="1"/>
  <c r="H15" i="216" s="1"/>
  <c r="N31" i="214" s="1"/>
  <c r="N32" i="214" s="1"/>
  <c r="N36" i="214" s="1"/>
  <c r="N31" i="210" s="1"/>
  <c r="N34" i="210" s="1"/>
  <c r="N21" i="210"/>
  <c r="N24" i="210" s="1"/>
  <c r="N7" i="210" s="1"/>
  <c r="N64" i="212" s="1"/>
  <c r="O64" i="212" s="1"/>
  <c r="K115" i="212" s="1"/>
  <c r="G42" i="220"/>
  <c r="K34" i="214"/>
  <c r="K30" i="214"/>
  <c r="K33" i="214" s="1"/>
  <c r="K27" i="209" s="1"/>
  <c r="K30" i="209" s="1"/>
  <c r="K5" i="214"/>
  <c r="E8" i="212" s="1"/>
  <c r="N6" i="214"/>
  <c r="N9" i="212" s="1"/>
  <c r="O9" i="212" s="1"/>
  <c r="K6" i="214"/>
  <c r="K21" i="210"/>
  <c r="K24" i="210" s="1"/>
  <c r="K7" i="210" s="1"/>
  <c r="E64" i="212" s="1"/>
  <c r="N23" i="209"/>
  <c r="M21" i="214"/>
  <c r="J40" i="214"/>
  <c r="J36" i="210" s="1"/>
  <c r="J39" i="210" s="1"/>
  <c r="J11" i="210" s="1"/>
  <c r="D68" i="212" s="1"/>
  <c r="B18" i="210"/>
  <c r="B19" i="210" s="1"/>
  <c r="N8" i="224" l="1"/>
  <c r="Q24" i="212" s="1"/>
  <c r="R24" i="212" s="1"/>
  <c r="N35" i="231"/>
  <c r="N27" i="233" s="1"/>
  <c r="N30" i="233" s="1"/>
  <c r="N35" i="233" s="1"/>
  <c r="N9" i="233" s="1"/>
  <c r="T66" i="212" s="1"/>
  <c r="U66" i="212" s="1"/>
  <c r="O117" i="212" s="1"/>
  <c r="N33" i="231"/>
  <c r="G104" i="234"/>
  <c r="N40" i="231"/>
  <c r="N8" i="231"/>
  <c r="N31" i="232"/>
  <c r="N34" i="232" s="1"/>
  <c r="N34" i="214"/>
  <c r="N31" i="209" s="1"/>
  <c r="N34" i="209" s="1"/>
  <c r="G50" i="226"/>
  <c r="R68" i="212"/>
  <c r="M119" i="212" s="1"/>
  <c r="K55" i="224"/>
  <c r="K12" i="224" s="1"/>
  <c r="H28" i="212" s="1"/>
  <c r="I28" i="212" s="1"/>
  <c r="F111" i="212" s="1"/>
  <c r="N105" i="212"/>
  <c r="K13" i="231"/>
  <c r="K14" i="212" s="1"/>
  <c r="G61" i="234"/>
  <c r="G62" i="234" s="1"/>
  <c r="G57" i="234"/>
  <c r="G58" i="234" s="1"/>
  <c r="K38" i="224"/>
  <c r="K41" i="224" s="1"/>
  <c r="K10" i="224" s="1"/>
  <c r="H26" i="212" s="1"/>
  <c r="I26" i="212" s="1"/>
  <c r="F109" i="212" s="1"/>
  <c r="K37" i="224"/>
  <c r="M13" i="223"/>
  <c r="P14" i="212" s="1"/>
  <c r="M42" i="225"/>
  <c r="M44" i="225" s="1"/>
  <c r="M13" i="225" s="1"/>
  <c r="P70" i="212" s="1"/>
  <c r="M56" i="224"/>
  <c r="M59" i="224" s="1"/>
  <c r="M68" i="224" s="1"/>
  <c r="K13" i="223"/>
  <c r="H14" i="212" s="1"/>
  <c r="I14" i="212" s="1"/>
  <c r="K64" i="224"/>
  <c r="K67" i="224" s="1"/>
  <c r="G40" i="226"/>
  <c r="K23" i="222" s="1"/>
  <c r="H23" i="222" s="1"/>
  <c r="K24" i="224" s="1"/>
  <c r="K26" i="224" s="1"/>
  <c r="K7" i="224" s="1"/>
  <c r="H23" i="212" s="1"/>
  <c r="I23" i="212" s="1"/>
  <c r="F106" i="212" s="1"/>
  <c r="G31" i="212"/>
  <c r="K60" i="224"/>
  <c r="K63" i="224" s="1"/>
  <c r="K42" i="225"/>
  <c r="K44" i="225" s="1"/>
  <c r="K13" i="225" s="1"/>
  <c r="H70" i="212" s="1"/>
  <c r="I70" i="212" s="1"/>
  <c r="G121" i="212" s="1"/>
  <c r="L107" i="212"/>
  <c r="G54" i="226"/>
  <c r="G29" i="220"/>
  <c r="G30" i="220" s="1"/>
  <c r="G55" i="220"/>
  <c r="G56" i="220" s="1"/>
  <c r="G51" i="220"/>
  <c r="G52" i="220" s="1"/>
  <c r="G47" i="220"/>
  <c r="G48" i="220" s="1"/>
  <c r="G59" i="220"/>
  <c r="G60" i="220" s="1"/>
  <c r="G43" i="220"/>
  <c r="G44" i="220" s="1"/>
  <c r="K55" i="232"/>
  <c r="K12" i="232" s="1"/>
  <c r="K28" i="212" s="1"/>
  <c r="J12" i="232"/>
  <c r="J28" i="212" s="1"/>
  <c r="K42" i="233"/>
  <c r="K44" i="233" s="1"/>
  <c r="K13" i="233" s="1"/>
  <c r="K70" i="212" s="1"/>
  <c r="K60" i="232"/>
  <c r="K63" i="232" s="1"/>
  <c r="G49" i="234"/>
  <c r="G50" i="234" s="1"/>
  <c r="J11" i="233"/>
  <c r="J68" i="212" s="1"/>
  <c r="L68" i="212" s="1"/>
  <c r="I119" i="212" s="1"/>
  <c r="G45" i="234"/>
  <c r="G46" i="234" s="1"/>
  <c r="G53" i="234"/>
  <c r="G54" i="234" s="1"/>
  <c r="M11" i="231"/>
  <c r="S13" i="212" s="1"/>
  <c r="M43" i="231"/>
  <c r="M46" i="232"/>
  <c r="M48" i="232" s="1"/>
  <c r="M55" i="232" s="1"/>
  <c r="M36" i="233"/>
  <c r="M39" i="233" s="1"/>
  <c r="M11" i="233" s="1"/>
  <c r="S68" i="212" s="1"/>
  <c r="K38" i="232"/>
  <c r="K41" i="232" s="1"/>
  <c r="K10" i="232" s="1"/>
  <c r="K26" i="212" s="1"/>
  <c r="L26" i="212" s="1"/>
  <c r="H109" i="212" s="1"/>
  <c r="K37" i="232"/>
  <c r="M6" i="233"/>
  <c r="S63" i="212" s="1"/>
  <c r="U63" i="212" s="1"/>
  <c r="O114" i="212" s="1"/>
  <c r="J56" i="232"/>
  <c r="J59" i="232" s="1"/>
  <c r="J68" i="232" s="1"/>
  <c r="J13" i="232" s="1"/>
  <c r="J29" i="212" s="1"/>
  <c r="J13" i="231"/>
  <c r="J14" i="212" s="1"/>
  <c r="L14" i="212" s="1"/>
  <c r="J42" i="233"/>
  <c r="J44" i="233" s="1"/>
  <c r="J13" i="233" s="1"/>
  <c r="J70" i="212" s="1"/>
  <c r="G40" i="234"/>
  <c r="K23" i="230" s="1"/>
  <c r="H23" i="230" s="1"/>
  <c r="K24" i="232" s="1"/>
  <c r="K26" i="232" s="1"/>
  <c r="K7" i="232" s="1"/>
  <c r="K23" i="212" s="1"/>
  <c r="L23" i="212" s="1"/>
  <c r="H106" i="212" s="1"/>
  <c r="K64" i="232"/>
  <c r="K67" i="232" s="1"/>
  <c r="N9" i="223"/>
  <c r="Q11" i="212" s="1"/>
  <c r="R11" i="212" s="1"/>
  <c r="N35" i="224"/>
  <c r="N60" i="224"/>
  <c r="N63" i="224" s="1"/>
  <c r="N42" i="225"/>
  <c r="N44" i="225" s="1"/>
  <c r="N52" i="224"/>
  <c r="N54" i="224" s="1"/>
  <c r="N55" i="224" s="1"/>
  <c r="N12" i="224" s="1"/>
  <c r="Q28" i="212" s="1"/>
  <c r="R28" i="212" s="1"/>
  <c r="N42" i="224"/>
  <c r="N45" i="224" s="1"/>
  <c r="N11" i="224" s="1"/>
  <c r="Q27" i="212" s="1"/>
  <c r="N10" i="223"/>
  <c r="Q12" i="212" s="1"/>
  <c r="R12" i="212" s="1"/>
  <c r="N42" i="223"/>
  <c r="N13" i="223" s="1"/>
  <c r="Q14" i="212" s="1"/>
  <c r="R14" i="212" s="1"/>
  <c r="N12" i="223"/>
  <c r="Q13" i="212" s="1"/>
  <c r="R13" i="212" s="1"/>
  <c r="G37" i="220"/>
  <c r="G38" i="220" s="1"/>
  <c r="G21" i="220"/>
  <c r="G22" i="220" s="1"/>
  <c r="N33" i="214"/>
  <c r="G33" i="220"/>
  <c r="G25" i="220"/>
  <c r="K40" i="214"/>
  <c r="K37" i="210" s="1"/>
  <c r="K39" i="210" s="1"/>
  <c r="K11" i="210" s="1"/>
  <c r="E68" i="212" s="1"/>
  <c r="F68" i="212" s="1"/>
  <c r="E119" i="212" s="1"/>
  <c r="G91" i="220"/>
  <c r="G96" i="220" s="1"/>
  <c r="N35" i="210"/>
  <c r="N9" i="210" s="1"/>
  <c r="N66" i="212" s="1"/>
  <c r="O66" i="212" s="1"/>
  <c r="K117" i="212" s="1"/>
  <c r="F64" i="212"/>
  <c r="E115" i="212" s="1"/>
  <c r="K31" i="209"/>
  <c r="K34" i="209" s="1"/>
  <c r="K8" i="209" s="1"/>
  <c r="E24" i="212" s="1"/>
  <c r="F24" i="212" s="1"/>
  <c r="D107" i="212" s="1"/>
  <c r="K8" i="214"/>
  <c r="K39" i="214"/>
  <c r="K35" i="214"/>
  <c r="K27" i="210" s="1"/>
  <c r="K30" i="210" s="1"/>
  <c r="K35" i="210" s="1"/>
  <c r="K9" i="214"/>
  <c r="K7" i="214"/>
  <c r="E9" i="212"/>
  <c r="F9" i="212" s="1"/>
  <c r="M27" i="214"/>
  <c r="M40" i="214" s="1"/>
  <c r="M20" i="210"/>
  <c r="J6" i="209"/>
  <c r="D22" i="212" s="1"/>
  <c r="N6" i="209"/>
  <c r="N22" i="212" s="1"/>
  <c r="K49" i="209"/>
  <c r="K51" i="209" s="1"/>
  <c r="J46" i="209"/>
  <c r="J48" i="209" s="1"/>
  <c r="J55" i="209" s="1"/>
  <c r="J12" i="209" s="1"/>
  <c r="D28" i="212" s="1"/>
  <c r="J43" i="214"/>
  <c r="M19" i="209"/>
  <c r="M20" i="209" s="1"/>
  <c r="M23" i="209" s="1"/>
  <c r="M6" i="209" s="1"/>
  <c r="M22" i="212" s="1"/>
  <c r="D8" i="212"/>
  <c r="F8" i="212" s="1"/>
  <c r="M5" i="214"/>
  <c r="M8" i="212" s="1"/>
  <c r="O8" i="212" s="1"/>
  <c r="J11" i="214"/>
  <c r="B19" i="214"/>
  <c r="B20" i="214" s="1"/>
  <c r="B21" i="214" s="1"/>
  <c r="G83" i="220" l="1"/>
  <c r="G73" i="220"/>
  <c r="N43" i="231"/>
  <c r="N37" i="233"/>
  <c r="N39" i="233" s="1"/>
  <c r="N11" i="233" s="1"/>
  <c r="T68" i="212" s="1"/>
  <c r="U68" i="212" s="1"/>
  <c r="O119" i="212" s="1"/>
  <c r="N49" i="232"/>
  <c r="N51" i="232" s="1"/>
  <c r="N11" i="231"/>
  <c r="N7" i="231"/>
  <c r="T10" i="212" s="1"/>
  <c r="U10" i="212" s="1"/>
  <c r="N39" i="231"/>
  <c r="N27" i="232"/>
  <c r="N30" i="232" s="1"/>
  <c r="N8" i="232" s="1"/>
  <c r="T24" i="212" s="1"/>
  <c r="U24" i="212" s="1"/>
  <c r="N107" i="212" s="1"/>
  <c r="N38" i="231"/>
  <c r="R27" i="212"/>
  <c r="L110" i="212" s="1"/>
  <c r="G64" i="226"/>
  <c r="K24" i="222" s="1"/>
  <c r="H24" i="222" s="1"/>
  <c r="N24" i="224" s="1"/>
  <c r="N26" i="224" s="1"/>
  <c r="N7" i="224" s="1"/>
  <c r="Q23" i="212" s="1"/>
  <c r="N38" i="214"/>
  <c r="N9" i="214" s="1"/>
  <c r="N11" i="212" s="1"/>
  <c r="O11" i="212" s="1"/>
  <c r="K43" i="214"/>
  <c r="G109" i="234"/>
  <c r="G104" i="220"/>
  <c r="G109" i="220" s="1"/>
  <c r="N40" i="214"/>
  <c r="N37" i="210" s="1"/>
  <c r="N39" i="210" s="1"/>
  <c r="N11" i="210" s="1"/>
  <c r="N68" i="212" s="1"/>
  <c r="N8" i="214"/>
  <c r="K68" i="224"/>
  <c r="K13" i="224" s="1"/>
  <c r="H29" i="212" s="1"/>
  <c r="I29" i="212" s="1"/>
  <c r="F112" i="212" s="1"/>
  <c r="L70" i="212"/>
  <c r="I121" i="212" s="1"/>
  <c r="L28" i="212"/>
  <c r="H111" i="212" s="1"/>
  <c r="J31" i="212"/>
  <c r="L111" i="212"/>
  <c r="M13" i="224"/>
  <c r="P29" i="212" s="1"/>
  <c r="M69" i="224"/>
  <c r="M5" i="224" s="1"/>
  <c r="K9" i="224"/>
  <c r="H25" i="212" s="1"/>
  <c r="K69" i="224"/>
  <c r="K5" i="224" s="1"/>
  <c r="G98" i="234"/>
  <c r="G101" i="234" s="1"/>
  <c r="G96" i="234"/>
  <c r="K42" i="210"/>
  <c r="K44" i="210" s="1"/>
  <c r="K13" i="210" s="1"/>
  <c r="E70" i="212" s="1"/>
  <c r="G145" i="220"/>
  <c r="G111" i="226"/>
  <c r="G114" i="226" s="1"/>
  <c r="G109" i="226"/>
  <c r="G98" i="226"/>
  <c r="G101" i="226" s="1"/>
  <c r="G96" i="226"/>
  <c r="G111" i="234"/>
  <c r="G114" i="234" s="1"/>
  <c r="J42" i="210"/>
  <c r="J44" i="210" s="1"/>
  <c r="J13" i="210" s="1"/>
  <c r="D70" i="212" s="1"/>
  <c r="G132" i="220"/>
  <c r="J69" i="232"/>
  <c r="J5" i="232" s="1"/>
  <c r="G64" i="234"/>
  <c r="K24" i="230" s="1"/>
  <c r="H24" i="230" s="1"/>
  <c r="N24" i="232" s="1"/>
  <c r="N26" i="232" s="1"/>
  <c r="N7" i="232" s="1"/>
  <c r="T23" i="212" s="1"/>
  <c r="U23" i="212" s="1"/>
  <c r="N106" i="212" s="1"/>
  <c r="M42" i="233"/>
  <c r="M44" i="233" s="1"/>
  <c r="M13" i="233" s="1"/>
  <c r="S70" i="212" s="1"/>
  <c r="M13" i="231"/>
  <c r="S14" i="212" s="1"/>
  <c r="M56" i="232"/>
  <c r="M59" i="232" s="1"/>
  <c r="M68" i="232" s="1"/>
  <c r="M13" i="232" s="1"/>
  <c r="S29" i="212" s="1"/>
  <c r="M12" i="232"/>
  <c r="S28" i="212" s="1"/>
  <c r="K68" i="232"/>
  <c r="K13" i="232" s="1"/>
  <c r="K29" i="212" s="1"/>
  <c r="L29" i="212" s="1"/>
  <c r="H112" i="212" s="1"/>
  <c r="K9" i="232"/>
  <c r="K25" i="212" s="1"/>
  <c r="N64" i="224"/>
  <c r="N67" i="224" s="1"/>
  <c r="N68" i="224" s="1"/>
  <c r="N13" i="224" s="1"/>
  <c r="Q29" i="212" s="1"/>
  <c r="N38" i="224"/>
  <c r="N41" i="224" s="1"/>
  <c r="N10" i="224" s="1"/>
  <c r="Q26" i="212" s="1"/>
  <c r="N37" i="224"/>
  <c r="N13" i="225"/>
  <c r="Q70" i="212" s="1"/>
  <c r="R70" i="212" s="1"/>
  <c r="M121" i="212" s="1"/>
  <c r="G34" i="220"/>
  <c r="G26" i="220"/>
  <c r="N7" i="214"/>
  <c r="N27" i="209"/>
  <c r="N30" i="209" s="1"/>
  <c r="N8" i="209" s="1"/>
  <c r="N24" i="212" s="1"/>
  <c r="O24" i="212" s="1"/>
  <c r="J107" i="212" s="1"/>
  <c r="N39" i="214"/>
  <c r="N42" i="214" s="1"/>
  <c r="G57" i="220"/>
  <c r="G58" i="220" s="1"/>
  <c r="G61" i="220"/>
  <c r="G62" i="220" s="1"/>
  <c r="G49" i="220"/>
  <c r="G50" i="220" s="1"/>
  <c r="K11" i="214"/>
  <c r="M6" i="210"/>
  <c r="M63" i="212" s="1"/>
  <c r="O63" i="212" s="1"/>
  <c r="K114" i="212" s="1"/>
  <c r="G98" i="220"/>
  <c r="G101" i="220" s="1"/>
  <c r="G102" i="220" s="1"/>
  <c r="G53" i="220"/>
  <c r="G45" i="220"/>
  <c r="K9" i="210"/>
  <c r="E66" i="212" s="1"/>
  <c r="K52" i="209"/>
  <c r="K54" i="209" s="1"/>
  <c r="K55" i="209" s="1"/>
  <c r="K12" i="209" s="1"/>
  <c r="E28" i="212" s="1"/>
  <c r="F28" i="212" s="1"/>
  <c r="D111" i="212" s="1"/>
  <c r="K42" i="214"/>
  <c r="K13" i="214" s="1"/>
  <c r="E14" i="212" s="1"/>
  <c r="M46" i="209"/>
  <c r="M48" i="209" s="1"/>
  <c r="M55" i="209" s="1"/>
  <c r="M12" i="209" s="1"/>
  <c r="M28" i="212" s="1"/>
  <c r="M36" i="210"/>
  <c r="M39" i="210" s="1"/>
  <c r="K42" i="209"/>
  <c r="K45" i="209" s="1"/>
  <c r="K11" i="209" s="1"/>
  <c r="E27" i="212" s="1"/>
  <c r="F27" i="212" s="1"/>
  <c r="D110" i="212" s="1"/>
  <c r="E10" i="212"/>
  <c r="F10" i="212" s="1"/>
  <c r="K10" i="214"/>
  <c r="E12" i="212" s="1"/>
  <c r="F12" i="212" s="1"/>
  <c r="K12" i="214"/>
  <c r="K35" i="209"/>
  <c r="K37" i="209" s="1"/>
  <c r="F22" i="212"/>
  <c r="O22" i="212"/>
  <c r="K60" i="209"/>
  <c r="K63" i="209" s="1"/>
  <c r="J13" i="214"/>
  <c r="D14" i="212" s="1"/>
  <c r="J56" i="209"/>
  <c r="J59" i="209" s="1"/>
  <c r="J68" i="209" s="1"/>
  <c r="J13" i="209" s="1"/>
  <c r="D29" i="212" s="1"/>
  <c r="D31" i="212" s="1"/>
  <c r="E11" i="212"/>
  <c r="F11" i="212" s="1"/>
  <c r="D13" i="212"/>
  <c r="M43" i="214"/>
  <c r="M11" i="214"/>
  <c r="M13" i="212" s="1"/>
  <c r="B22" i="214"/>
  <c r="B23" i="214" s="1"/>
  <c r="B24" i="214" s="1"/>
  <c r="B25" i="214" s="1"/>
  <c r="B26" i="214" s="1"/>
  <c r="B27" i="214" s="1"/>
  <c r="G78" i="220" l="1"/>
  <c r="N11" i="214"/>
  <c r="N43" i="214"/>
  <c r="N60" i="209" s="1"/>
  <c r="N63" i="209" s="1"/>
  <c r="G111" i="220"/>
  <c r="G114" i="220" s="1"/>
  <c r="G115" i="220" s="1"/>
  <c r="K67" i="216" s="1"/>
  <c r="H67" i="216" s="1"/>
  <c r="N25" i="210" s="1"/>
  <c r="N26" i="210" s="1"/>
  <c r="N8" i="210" s="1"/>
  <c r="N65" i="212" s="1"/>
  <c r="O65" i="212" s="1"/>
  <c r="K116" i="212" s="1"/>
  <c r="N35" i="209"/>
  <c r="N38" i="209" s="1"/>
  <c r="G68" i="220"/>
  <c r="N9" i="231"/>
  <c r="T11" i="212" s="1"/>
  <c r="U11" i="212" s="1"/>
  <c r="N35" i="232"/>
  <c r="N42" i="232"/>
  <c r="N45" i="232" s="1"/>
  <c r="N11" i="232" s="1"/>
  <c r="T27" i="212" s="1"/>
  <c r="U27" i="212" s="1"/>
  <c r="N110" i="212" s="1"/>
  <c r="N10" i="231"/>
  <c r="T12" i="212" s="1"/>
  <c r="U12" i="212" s="1"/>
  <c r="N42" i="231"/>
  <c r="N52" i="232"/>
  <c r="N54" i="232" s="1"/>
  <c r="N55" i="232" s="1"/>
  <c r="N12" i="232" s="1"/>
  <c r="T28" i="212" s="1"/>
  <c r="U28" i="212" s="1"/>
  <c r="N111" i="212" s="1"/>
  <c r="N12" i="231"/>
  <c r="T13" i="212" s="1"/>
  <c r="U13" i="212" s="1"/>
  <c r="G171" i="234"/>
  <c r="N60" i="232"/>
  <c r="N63" i="232" s="1"/>
  <c r="N42" i="233"/>
  <c r="N44" i="233" s="1"/>
  <c r="N13" i="233" s="1"/>
  <c r="T70" i="212" s="1"/>
  <c r="U70" i="212" s="1"/>
  <c r="O121" i="212" s="1"/>
  <c r="R26" i="212"/>
  <c r="L109" i="212" s="1"/>
  <c r="R29" i="212"/>
  <c r="L112" i="212" s="1"/>
  <c r="R23" i="212"/>
  <c r="L106" i="212" s="1"/>
  <c r="N10" i="212"/>
  <c r="O10" i="212" s="1"/>
  <c r="G115" i="226"/>
  <c r="K67" i="222" s="1"/>
  <c r="H67" i="222" s="1"/>
  <c r="N25" i="225" s="1"/>
  <c r="N26" i="225" s="1"/>
  <c r="N8" i="225" s="1"/>
  <c r="Q65" i="212" s="1"/>
  <c r="R65" i="212" s="1"/>
  <c r="M116" i="212" s="1"/>
  <c r="N49" i="209"/>
  <c r="N51" i="209" s="1"/>
  <c r="G102" i="226"/>
  <c r="K66" i="222" s="1"/>
  <c r="H66" i="222" s="1"/>
  <c r="K25" i="225" s="1"/>
  <c r="K26" i="225" s="1"/>
  <c r="K8" i="225" s="1"/>
  <c r="H65" i="212" s="1"/>
  <c r="G102" i="234"/>
  <c r="K66" i="230" s="1"/>
  <c r="H66" i="230" s="1"/>
  <c r="K25" i="233" s="1"/>
  <c r="K26" i="233" s="1"/>
  <c r="K8" i="233" s="1"/>
  <c r="K65" i="212" s="1"/>
  <c r="L65" i="212" s="1"/>
  <c r="I116" i="212" s="1"/>
  <c r="L25" i="212"/>
  <c r="H108" i="212" s="1"/>
  <c r="K31" i="212"/>
  <c r="L31" i="212" s="1"/>
  <c r="H113" i="212" s="1"/>
  <c r="S31" i="212"/>
  <c r="K69" i="232"/>
  <c r="K5" i="232" s="1"/>
  <c r="I25" i="212"/>
  <c r="F108" i="212" s="1"/>
  <c r="H31" i="212"/>
  <c r="I31" i="212" s="1"/>
  <c r="F113" i="212" s="1"/>
  <c r="G150" i="234"/>
  <c r="G152" i="234"/>
  <c r="G155" i="234" s="1"/>
  <c r="G137" i="226"/>
  <c r="G139" i="226"/>
  <c r="G142" i="226" s="1"/>
  <c r="G171" i="220"/>
  <c r="G176" i="220" s="1"/>
  <c r="G152" i="220"/>
  <c r="G155" i="220" s="1"/>
  <c r="G150" i="220"/>
  <c r="G152" i="226"/>
  <c r="G155" i="226" s="1"/>
  <c r="G150" i="226"/>
  <c r="G115" i="234"/>
  <c r="K67" i="230" s="1"/>
  <c r="H67" i="230" s="1"/>
  <c r="N25" i="233" s="1"/>
  <c r="N26" i="233" s="1"/>
  <c r="M42" i="210"/>
  <c r="M44" i="210" s="1"/>
  <c r="M13" i="210" s="1"/>
  <c r="M70" i="212" s="1"/>
  <c r="G158" i="220"/>
  <c r="N64" i="209"/>
  <c r="N67" i="209" s="1"/>
  <c r="N13" i="214"/>
  <c r="N14" i="212" s="1"/>
  <c r="G137" i="220"/>
  <c r="G139" i="220"/>
  <c r="G142" i="220" s="1"/>
  <c r="G137" i="234"/>
  <c r="G139" i="234"/>
  <c r="G142" i="234" s="1"/>
  <c r="G40" i="220"/>
  <c r="K23" i="216" s="1"/>
  <c r="H23" i="216" s="1"/>
  <c r="K24" i="209" s="1"/>
  <c r="K26" i="209" s="1"/>
  <c r="K7" i="209" s="1"/>
  <c r="E23" i="212" s="1"/>
  <c r="F23" i="212" s="1"/>
  <c r="D106" i="212" s="1"/>
  <c r="M69" i="232"/>
  <c r="M5" i="232" s="1"/>
  <c r="N9" i="224"/>
  <c r="Q25" i="212" s="1"/>
  <c r="R25" i="212" s="1"/>
  <c r="N69" i="224"/>
  <c r="N5" i="224" s="1"/>
  <c r="N10" i="214"/>
  <c r="N12" i="212" s="1"/>
  <c r="O12" i="212" s="1"/>
  <c r="N52" i="209"/>
  <c r="N54" i="209" s="1"/>
  <c r="N12" i="214"/>
  <c r="N42" i="209"/>
  <c r="N45" i="209" s="1"/>
  <c r="N11" i="209" s="1"/>
  <c r="N27" i="212" s="1"/>
  <c r="O27" i="212" s="1"/>
  <c r="J110" i="212" s="1"/>
  <c r="G54" i="220"/>
  <c r="G46" i="220"/>
  <c r="N41" i="209"/>
  <c r="N10" i="209" s="1"/>
  <c r="N26" i="212" s="1"/>
  <c r="O26" i="212" s="1"/>
  <c r="J109" i="212" s="1"/>
  <c r="K66" i="216"/>
  <c r="H66" i="216" s="1"/>
  <c r="K25" i="210" s="1"/>
  <c r="K26" i="210" s="1"/>
  <c r="F66" i="212"/>
  <c r="E117" i="212" s="1"/>
  <c r="F70" i="212"/>
  <c r="E121" i="212" s="1"/>
  <c r="M11" i="210"/>
  <c r="M68" i="212" s="1"/>
  <c r="K64" i="209"/>
  <c r="K67" i="209" s="1"/>
  <c r="K68" i="209" s="1"/>
  <c r="K13" i="209" s="1"/>
  <c r="E29" i="212" s="1"/>
  <c r="F29" i="212" s="1"/>
  <c r="D112" i="212" s="1"/>
  <c r="E13" i="212"/>
  <c r="F13" i="212" s="1"/>
  <c r="K38" i="209"/>
  <c r="F14" i="212"/>
  <c r="D105" i="212"/>
  <c r="J105" i="212"/>
  <c r="M13" i="214"/>
  <c r="M14" i="212" s="1"/>
  <c r="M56" i="209"/>
  <c r="M59" i="209" s="1"/>
  <c r="M68" i="209" s="1"/>
  <c r="K9" i="209"/>
  <c r="E25" i="212" s="1"/>
  <c r="J69" i="209"/>
  <c r="J5" i="209" s="1"/>
  <c r="N13" i="212" l="1"/>
  <c r="O13" i="212" s="1"/>
  <c r="N42" i="210"/>
  <c r="N44" i="210" s="1"/>
  <c r="N13" i="210" s="1"/>
  <c r="N70" i="212" s="1"/>
  <c r="N37" i="209"/>
  <c r="N55" i="209"/>
  <c r="N12" i="209" s="1"/>
  <c r="N28" i="212" s="1"/>
  <c r="O28" i="212" s="1"/>
  <c r="J111" i="212" s="1"/>
  <c r="N13" i="231"/>
  <c r="T14" i="212" s="1"/>
  <c r="U14" i="212" s="1"/>
  <c r="N64" i="232"/>
  <c r="N67" i="232" s="1"/>
  <c r="N68" i="232" s="1"/>
  <c r="N13" i="232" s="1"/>
  <c r="T29" i="212" s="1"/>
  <c r="U29" i="212" s="1"/>
  <c r="N112" i="212" s="1"/>
  <c r="N38" i="232"/>
  <c r="N41" i="232" s="1"/>
  <c r="N10" i="232" s="1"/>
  <c r="T26" i="212" s="1"/>
  <c r="U26" i="212" s="1"/>
  <c r="N109" i="212" s="1"/>
  <c r="N37" i="232"/>
  <c r="G156" i="220"/>
  <c r="K75" i="216" s="1"/>
  <c r="H75" i="216" s="1"/>
  <c r="K40" i="210" s="1"/>
  <c r="K41" i="210" s="1"/>
  <c r="K12" i="210" s="1"/>
  <c r="E69" i="212" s="1"/>
  <c r="N68" i="209"/>
  <c r="N13" i="209" s="1"/>
  <c r="N29" i="212" s="1"/>
  <c r="G156" i="234"/>
  <c r="K75" i="230" s="1"/>
  <c r="H75" i="230" s="1"/>
  <c r="K40" i="233" s="1"/>
  <c r="K41" i="233" s="1"/>
  <c r="K12" i="233" s="1"/>
  <c r="K69" i="212" s="1"/>
  <c r="K71" i="212" s="1"/>
  <c r="G156" i="226"/>
  <c r="K75" i="222" s="1"/>
  <c r="H75" i="222" s="1"/>
  <c r="K40" i="225" s="1"/>
  <c r="K41" i="225" s="1"/>
  <c r="K12" i="225" s="1"/>
  <c r="H69" i="212" s="1"/>
  <c r="G143" i="220"/>
  <c r="K74" i="216" s="1"/>
  <c r="H74" i="216" s="1"/>
  <c r="J40" i="210" s="1"/>
  <c r="J41" i="210" s="1"/>
  <c r="J12" i="210" s="1"/>
  <c r="D69" i="212" s="1"/>
  <c r="T31" i="212"/>
  <c r="U31" i="212" s="1"/>
  <c r="N113" i="212" s="1"/>
  <c r="L108" i="212"/>
  <c r="Q31" i="212"/>
  <c r="R31" i="212" s="1"/>
  <c r="L113" i="212" s="1"/>
  <c r="G165" i="234"/>
  <c r="G168" i="234" s="1"/>
  <c r="G163" i="234"/>
  <c r="G178" i="234"/>
  <c r="G181" i="234" s="1"/>
  <c r="G176" i="234"/>
  <c r="G178" i="226"/>
  <c r="G181" i="226" s="1"/>
  <c r="G176" i="226"/>
  <c r="N8" i="233"/>
  <c r="T65" i="212" s="1"/>
  <c r="G143" i="226"/>
  <c r="K74" i="222" s="1"/>
  <c r="H74" i="222" s="1"/>
  <c r="J40" i="225" s="1"/>
  <c r="J41" i="225" s="1"/>
  <c r="G163" i="220"/>
  <c r="G165" i="220"/>
  <c r="G168" i="220" s="1"/>
  <c r="G178" i="220"/>
  <c r="G181" i="220" s="1"/>
  <c r="G182" i="220" s="1"/>
  <c r="K77" i="216" s="1"/>
  <c r="H77" i="216" s="1"/>
  <c r="N40" i="210" s="1"/>
  <c r="N41" i="210" s="1"/>
  <c r="N12" i="210" s="1"/>
  <c r="N69" i="212" s="1"/>
  <c r="H71" i="212"/>
  <c r="I65" i="212"/>
  <c r="G116" i="212" s="1"/>
  <c r="G165" i="226"/>
  <c r="G168" i="226" s="1"/>
  <c r="G163" i="226"/>
  <c r="G143" i="234"/>
  <c r="K74" i="230" s="1"/>
  <c r="H74" i="230" s="1"/>
  <c r="J40" i="233" s="1"/>
  <c r="J41" i="233" s="1"/>
  <c r="O14" i="212"/>
  <c r="G64" i="220"/>
  <c r="K24" i="216" s="1"/>
  <c r="H24" i="216" s="1"/>
  <c r="N24" i="209" s="1"/>
  <c r="N26" i="209" s="1"/>
  <c r="N7" i="209" s="1"/>
  <c r="N23" i="212" s="1"/>
  <c r="O23" i="212" s="1"/>
  <c r="J106" i="212" s="1"/>
  <c r="K10" i="209"/>
  <c r="E26" i="212" s="1"/>
  <c r="K8" i="210"/>
  <c r="E65" i="212" s="1"/>
  <c r="O68" i="212"/>
  <c r="K119" i="212" s="1"/>
  <c r="O70" i="212"/>
  <c r="N9" i="209"/>
  <c r="N25" i="212" s="1"/>
  <c r="O25" i="212" s="1"/>
  <c r="F25" i="212"/>
  <c r="M13" i="209"/>
  <c r="M29" i="212" s="1"/>
  <c r="M69" i="209"/>
  <c r="M5" i="209" s="1"/>
  <c r="J45" i="210" l="1"/>
  <c r="J5" i="210" s="1"/>
  <c r="N69" i="232"/>
  <c r="N5" i="232" s="1"/>
  <c r="N9" i="232"/>
  <c r="T25" i="212" s="1"/>
  <c r="U25" i="212" s="1"/>
  <c r="N108" i="212" s="1"/>
  <c r="N69" i="209"/>
  <c r="N5" i="209" s="1"/>
  <c r="K45" i="233"/>
  <c r="K5" i="233" s="1"/>
  <c r="K45" i="210"/>
  <c r="K5" i="210" s="1"/>
  <c r="G169" i="226"/>
  <c r="K76" i="222" s="1"/>
  <c r="H76" i="222" s="1"/>
  <c r="M40" i="225" s="1"/>
  <c r="M41" i="225" s="1"/>
  <c r="M12" i="225" s="1"/>
  <c r="P69" i="212" s="1"/>
  <c r="K45" i="225"/>
  <c r="K5" i="225" s="1"/>
  <c r="G169" i="220"/>
  <c r="K76" i="216" s="1"/>
  <c r="H76" i="216" s="1"/>
  <c r="M40" i="210" s="1"/>
  <c r="M41" i="210" s="1"/>
  <c r="M12" i="210" s="1"/>
  <c r="M69" i="212" s="1"/>
  <c r="M71" i="212" s="1"/>
  <c r="U65" i="212"/>
  <c r="O116" i="212" s="1"/>
  <c r="K69" i="209"/>
  <c r="K5" i="209" s="1"/>
  <c r="G182" i="234"/>
  <c r="K77" i="230" s="1"/>
  <c r="H77" i="230" s="1"/>
  <c r="N40" i="233" s="1"/>
  <c r="N41" i="233" s="1"/>
  <c r="J12" i="233"/>
  <c r="J69" i="212" s="1"/>
  <c r="J45" i="233"/>
  <c r="J5" i="233" s="1"/>
  <c r="G182" i="226"/>
  <c r="K77" i="222" s="1"/>
  <c r="H77" i="222" s="1"/>
  <c r="N40" i="225" s="1"/>
  <c r="N41" i="225" s="1"/>
  <c r="F69" i="212"/>
  <c r="E120" i="212" s="1"/>
  <c r="D71" i="212"/>
  <c r="G169" i="234"/>
  <c r="K76" i="230" s="1"/>
  <c r="H76" i="230" s="1"/>
  <c r="M40" i="233" s="1"/>
  <c r="M41" i="233" s="1"/>
  <c r="J12" i="225"/>
  <c r="G69" i="212" s="1"/>
  <c r="J45" i="225"/>
  <c r="J5" i="225" s="1"/>
  <c r="N45" i="210"/>
  <c r="N5" i="210" s="1"/>
  <c r="N71" i="212"/>
  <c r="F26" i="212"/>
  <c r="D109" i="212" s="1"/>
  <c r="E31" i="212"/>
  <c r="F31" i="212" s="1"/>
  <c r="D113" i="212" s="1"/>
  <c r="F65" i="212"/>
  <c r="E116" i="212" s="1"/>
  <c r="E71" i="212"/>
  <c r="K121" i="212"/>
  <c r="N31" i="212"/>
  <c r="O29" i="212"/>
  <c r="J112" i="212" s="1"/>
  <c r="M31" i="212"/>
  <c r="D108" i="212"/>
  <c r="J108" i="212"/>
  <c r="M45" i="225" l="1"/>
  <c r="M5" i="225" s="1"/>
  <c r="M45" i="210"/>
  <c r="M5" i="210" s="1"/>
  <c r="N12" i="225"/>
  <c r="Q69" i="212" s="1"/>
  <c r="Q71" i="212" s="1"/>
  <c r="N45" i="225"/>
  <c r="N5" i="225" s="1"/>
  <c r="N12" i="233"/>
  <c r="T69" i="212" s="1"/>
  <c r="T71" i="212" s="1"/>
  <c r="N45" i="233"/>
  <c r="N5" i="233" s="1"/>
  <c r="F71" i="212"/>
  <c r="E122" i="212" s="1"/>
  <c r="G71" i="212"/>
  <c r="I71" i="212" s="1"/>
  <c r="G122" i="212" s="1"/>
  <c r="I69" i="212"/>
  <c r="G120" i="212" s="1"/>
  <c r="O71" i="212"/>
  <c r="K122" i="212" s="1"/>
  <c r="J71" i="212"/>
  <c r="L71" i="212" s="1"/>
  <c r="I122" i="212" s="1"/>
  <c r="L69" i="212"/>
  <c r="I120" i="212" s="1"/>
  <c r="P71" i="212"/>
  <c r="M12" i="233"/>
  <c r="S69" i="212" s="1"/>
  <c r="M45" i="233"/>
  <c r="M5" i="233" s="1"/>
  <c r="O69" i="212"/>
  <c r="K120" i="212" s="1"/>
  <c r="O31" i="212"/>
  <c r="J113" i="212" s="1"/>
  <c r="R69" i="212" l="1"/>
  <c r="M120" i="212" s="1"/>
  <c r="R71" i="212"/>
  <c r="M122" i="212" s="1"/>
  <c r="U69" i="212"/>
  <c r="O120" i="212" s="1"/>
  <c r="S71" i="212"/>
  <c r="U71" i="212" s="1"/>
  <c r="O122" i="212" s="1"/>
</calcChain>
</file>

<file path=xl/sharedStrings.xml><?xml version="1.0" encoding="utf-8"?>
<sst xmlns="http://schemas.openxmlformats.org/spreadsheetml/2006/main" count="4857" uniqueCount="638">
  <si>
    <t>目的</t>
    <rPh sb="0" eb="2">
      <t>モクテキ</t>
    </rPh>
    <phoneticPr fontId="2"/>
  </si>
  <si>
    <t>本計算ツールは、地方自治体の担当者が一般廃棄物のプラスチック使用製品廃棄物の分別収集を行う際の現状と移行後の環境性（CO2排出量）と経済性（コスト）を概算する計算ツールです。</t>
    <rPh sb="14" eb="17">
      <t>タントウシャ</t>
    </rPh>
    <rPh sb="79" eb="81">
      <t>ケイサン</t>
    </rPh>
    <phoneticPr fontId="2"/>
  </si>
  <si>
    <t>前提条件</t>
    <rPh sb="0" eb="2">
      <t>ゼンテイ</t>
    </rPh>
    <rPh sb="2" eb="4">
      <t>ジョウケン</t>
    </rPh>
    <phoneticPr fontId="2"/>
  </si>
  <si>
    <r>
      <rPr>
        <sz val="11"/>
        <color theme="1"/>
        <rFont val="ＭＳ Ｐゴシック"/>
        <family val="2"/>
        <charset val="128"/>
      </rPr>
      <t>・本計算ツールは、一般廃棄物由来のプラスチック使用製品廃棄物を対象としています。算定の対象範囲は下記の「算定範囲」をご確認ください。その他、算定の考え方等の詳細は環境省</t>
    </r>
    <r>
      <rPr>
        <sz val="11"/>
        <color theme="1"/>
        <rFont val="Arial"/>
        <family val="2"/>
      </rPr>
      <t>HP</t>
    </r>
    <r>
      <rPr>
        <sz val="11"/>
        <color theme="1"/>
        <rFont val="ＭＳ Ｐゴシック"/>
        <family val="2"/>
        <charset val="128"/>
      </rPr>
      <t>で公開されている「プラスチック資源循環に関する一括回収等への移行に向けた市区町村向け手引き（以降は「手引き」という。）」（</t>
    </r>
    <r>
      <rPr>
        <sz val="11"/>
        <color theme="1"/>
        <rFont val="Arial"/>
        <family val="2"/>
      </rPr>
      <t>https://www.env.go.jp/content/000227719.pdf</t>
    </r>
    <r>
      <rPr>
        <sz val="11"/>
        <color theme="1"/>
        <rFont val="ＭＳ Ｐゴシック"/>
        <family val="2"/>
        <charset val="128"/>
      </rPr>
      <t>）をご参照ください。また、ご担当者にて算定範囲を変更する場合は適宜数式や数値を調整ください。</t>
    </r>
    <r>
      <rPr>
        <sz val="11"/>
        <color theme="1"/>
        <rFont val="Arial"/>
        <family val="2"/>
        <charset val="128"/>
      </rPr>
      <t xml:space="preserve">
</t>
    </r>
    <r>
      <rPr>
        <sz val="11"/>
        <color theme="1"/>
        <rFont val="ＭＳ Ｐゴシック"/>
        <family val="2"/>
        <charset val="128"/>
      </rPr>
      <t xml:space="preserve">
・本ツールで設定されている仮定値は地方自治体にて取得ができない情報を想定し、公開されている数値等を基に設定しています。あくまで仮定値のため、ご利用いただく場合は実態と異なることがあります。</t>
    </r>
    <r>
      <rPr>
        <sz val="11"/>
        <color theme="1"/>
        <rFont val="Arial"/>
        <family val="2"/>
        <charset val="128"/>
      </rPr>
      <t xml:space="preserve">
</t>
    </r>
    <r>
      <rPr>
        <sz val="11"/>
        <color theme="1"/>
        <rFont val="ＭＳ Ｐゴシック"/>
        <family val="2"/>
        <charset val="128"/>
      </rPr>
      <t xml:space="preserve">
・本ツールの使い方は「使い方」シートをご参照ください。</t>
    </r>
    <rPh sb="9" eb="11">
      <t>イッパン</t>
    </rPh>
    <rPh sb="11" eb="14">
      <t>ハイキブツ</t>
    </rPh>
    <rPh sb="14" eb="16">
      <t>ユライ</t>
    </rPh>
    <rPh sb="52" eb="54">
      <t>サンテイ</t>
    </rPh>
    <rPh sb="54" eb="56">
      <t>ハンイ</t>
    </rPh>
    <rPh sb="59" eb="61">
      <t>カクニン</t>
    </rPh>
    <rPh sb="70" eb="72">
      <t>サンテイ</t>
    </rPh>
    <rPh sb="81" eb="84">
      <t>カンキョウショウ</t>
    </rPh>
    <rPh sb="101" eb="103">
      <t>シゲン</t>
    </rPh>
    <rPh sb="103" eb="105">
      <t>ジュンカン</t>
    </rPh>
    <rPh sb="106" eb="107">
      <t>カン</t>
    </rPh>
    <rPh sb="109" eb="111">
      <t>イッカツ</t>
    </rPh>
    <rPh sb="111" eb="114">
      <t>カイシュウトウ</t>
    </rPh>
    <rPh sb="116" eb="118">
      <t>イコウ</t>
    </rPh>
    <rPh sb="119" eb="120">
      <t>ム</t>
    </rPh>
    <rPh sb="122" eb="126">
      <t>シクチョウソン</t>
    </rPh>
    <rPh sb="126" eb="127">
      <t>ム</t>
    </rPh>
    <rPh sb="128" eb="130">
      <t>テビ</t>
    </rPh>
    <rPh sb="132" eb="134">
      <t>イコウ</t>
    </rPh>
    <rPh sb="136" eb="138">
      <t>テビ</t>
    </rPh>
    <rPh sb="204" eb="207">
      <t>タントウシャ</t>
    </rPh>
    <rPh sb="209" eb="211">
      <t>サンテイ</t>
    </rPh>
    <rPh sb="211" eb="213">
      <t>ハンイ</t>
    </rPh>
    <rPh sb="214" eb="216">
      <t>ヘンコウ</t>
    </rPh>
    <rPh sb="218" eb="220">
      <t>バアイ</t>
    </rPh>
    <rPh sb="221" eb="223">
      <t>テキギ</t>
    </rPh>
    <rPh sb="223" eb="225">
      <t>スウシキ</t>
    </rPh>
    <rPh sb="226" eb="228">
      <t>スウチ</t>
    </rPh>
    <rPh sb="229" eb="231">
      <t>チョウセイ</t>
    </rPh>
    <rPh sb="244" eb="246">
      <t>セッテイ</t>
    </rPh>
    <rPh sb="251" eb="253">
      <t>カテイ</t>
    </rPh>
    <rPh sb="253" eb="254">
      <t>アタイ</t>
    </rPh>
    <rPh sb="255" eb="260">
      <t>チホウジチタイ</t>
    </rPh>
    <rPh sb="262" eb="264">
      <t>シュトク</t>
    </rPh>
    <rPh sb="269" eb="271">
      <t>ジョウホウ</t>
    </rPh>
    <rPh sb="272" eb="274">
      <t>ソウテイ</t>
    </rPh>
    <rPh sb="301" eb="303">
      <t>カテイ</t>
    </rPh>
    <rPh sb="303" eb="304">
      <t>アタイ</t>
    </rPh>
    <rPh sb="309" eb="311">
      <t>リヨウ</t>
    </rPh>
    <rPh sb="315" eb="317">
      <t>バアイ</t>
    </rPh>
    <rPh sb="335" eb="336">
      <t>ホン</t>
    </rPh>
    <phoneticPr fontId="2"/>
  </si>
  <si>
    <t>算定範囲</t>
    <rPh sb="0" eb="2">
      <t>サンテイ</t>
    </rPh>
    <rPh sb="2" eb="4">
      <t>ハンイ</t>
    </rPh>
    <phoneticPr fontId="2"/>
  </si>
  <si>
    <t>本シートの構成</t>
    <rPh sb="0" eb="1">
      <t>ホン</t>
    </rPh>
    <rPh sb="5" eb="7">
      <t>コウセイ</t>
    </rPh>
    <phoneticPr fontId="2"/>
  </si>
  <si>
    <t>・本ツールでは、3つのルート（処理方法）の環境性（CO2排出量）と経済性（コスト）を比較できるシートの構成としております。</t>
    <rPh sb="1" eb="2">
      <t>ホン</t>
    </rPh>
    <rPh sb="15" eb="19">
      <t>ショリホウホウ</t>
    </rPh>
    <rPh sb="21" eb="24">
      <t>カンキョウセイ</t>
    </rPh>
    <rPh sb="28" eb="31">
      <t>ハイシュツリョウ</t>
    </rPh>
    <rPh sb="33" eb="36">
      <t>ケイザイセイ</t>
    </rPh>
    <rPh sb="42" eb="44">
      <t>ヒカク</t>
    </rPh>
    <rPh sb="51" eb="53">
      <t>コウセイ</t>
    </rPh>
    <phoneticPr fontId="2"/>
  </si>
  <si>
    <t>・本ツールは下記のシートで構成されています。</t>
    <rPh sb="1" eb="2">
      <t>ホン</t>
    </rPh>
    <rPh sb="6" eb="8">
      <t>カキ</t>
    </rPh>
    <rPh sb="13" eb="15">
      <t>コウセイ</t>
    </rPh>
    <phoneticPr fontId="2"/>
  </si>
  <si>
    <t>No.</t>
    <phoneticPr fontId="2"/>
  </si>
  <si>
    <t>シート名</t>
    <rPh sb="3" eb="4">
      <t>ナ</t>
    </rPh>
    <phoneticPr fontId="2"/>
  </si>
  <si>
    <t>概要</t>
    <rPh sb="0" eb="2">
      <t>ガイヨウ</t>
    </rPh>
    <phoneticPr fontId="2"/>
  </si>
  <si>
    <t>①</t>
    <phoneticPr fontId="2"/>
  </si>
  <si>
    <t>算定結果</t>
    <rPh sb="0" eb="4">
      <t>サンテイケッカ</t>
    </rPh>
    <phoneticPr fontId="2"/>
  </si>
  <si>
    <t>3つのルートの数量・環境性（CO2排出量）・経済性（コスト）の結果、ルート毎の比較ができるシートです。</t>
    <rPh sb="7" eb="9">
      <t>スウリョウ</t>
    </rPh>
    <rPh sb="10" eb="13">
      <t>カンキョウセイ</t>
    </rPh>
    <rPh sb="17" eb="20">
      <t>ハイシュツリョウ</t>
    </rPh>
    <rPh sb="22" eb="25">
      <t>ケイザイセイ</t>
    </rPh>
    <rPh sb="31" eb="33">
      <t>ケッカ</t>
    </rPh>
    <rPh sb="37" eb="38">
      <t>ゴト</t>
    </rPh>
    <rPh sb="39" eb="41">
      <t>ヒカク</t>
    </rPh>
    <phoneticPr fontId="2"/>
  </si>
  <si>
    <t>➁</t>
    <phoneticPr fontId="2"/>
  </si>
  <si>
    <t>パラメータ</t>
    <phoneticPr fontId="2"/>
  </si>
  <si>
    <t>各ルートの数量・環境性（CO2排出量）・経済性（コスト）を算定するためのパラメータを入力するシートです。</t>
    <rPh sb="0" eb="1">
      <t>カク</t>
    </rPh>
    <rPh sb="29" eb="31">
      <t>サンテイ</t>
    </rPh>
    <rPh sb="42" eb="44">
      <t>ニュウリョク</t>
    </rPh>
    <phoneticPr fontId="2"/>
  </si>
  <si>
    <t>③</t>
    <phoneticPr fontId="2"/>
  </si>
  <si>
    <t>数量</t>
    <rPh sb="0" eb="2">
      <t>スウリョウ</t>
    </rPh>
    <phoneticPr fontId="2"/>
  </si>
  <si>
    <t>各ルートの収集運搬から埋立までの各工程の数量を算定するシートです。</t>
    <rPh sb="0" eb="1">
      <t>カク</t>
    </rPh>
    <rPh sb="5" eb="7">
      <t>シュウシュウ</t>
    </rPh>
    <rPh sb="7" eb="9">
      <t>ウンパン</t>
    </rPh>
    <rPh sb="11" eb="13">
      <t>ウメタテ</t>
    </rPh>
    <rPh sb="16" eb="17">
      <t>カク</t>
    </rPh>
    <rPh sb="17" eb="19">
      <t>コウテイ</t>
    </rPh>
    <rPh sb="20" eb="22">
      <t>スウリョウ</t>
    </rPh>
    <rPh sb="23" eb="25">
      <t>サンテイ</t>
    </rPh>
    <phoneticPr fontId="2"/>
  </si>
  <si>
    <t>④</t>
    <phoneticPr fontId="2"/>
  </si>
  <si>
    <t>CO2</t>
    <phoneticPr fontId="2"/>
  </si>
  <si>
    <t>各ルートの収集運搬から埋立までの各工程の環境性（CO2排出量）を算定するシートです。</t>
    <rPh sb="0" eb="1">
      <t>カク</t>
    </rPh>
    <rPh sb="5" eb="7">
      <t>シュウシュウ</t>
    </rPh>
    <rPh sb="7" eb="9">
      <t>ウンパン</t>
    </rPh>
    <rPh sb="11" eb="13">
      <t>ウメタテ</t>
    </rPh>
    <rPh sb="16" eb="17">
      <t>カク</t>
    </rPh>
    <rPh sb="17" eb="19">
      <t>コウテイ</t>
    </rPh>
    <rPh sb="20" eb="23">
      <t>カンキョウセイ</t>
    </rPh>
    <rPh sb="27" eb="30">
      <t>ハイシュツリョウ</t>
    </rPh>
    <rPh sb="32" eb="34">
      <t>サンテイ</t>
    </rPh>
    <phoneticPr fontId="2"/>
  </si>
  <si>
    <t>⑤</t>
    <phoneticPr fontId="2"/>
  </si>
  <si>
    <t>コスト</t>
    <phoneticPr fontId="2"/>
  </si>
  <si>
    <t>各ルートの収集運搬から埋立までの各工程の経済性（コスト）を算定するシートです。</t>
    <rPh sb="0" eb="1">
      <t>カク</t>
    </rPh>
    <rPh sb="5" eb="7">
      <t>シュウシュウ</t>
    </rPh>
    <rPh sb="7" eb="9">
      <t>ウンパン</t>
    </rPh>
    <rPh sb="11" eb="13">
      <t>ウメタテ</t>
    </rPh>
    <rPh sb="16" eb="17">
      <t>カク</t>
    </rPh>
    <rPh sb="17" eb="19">
      <t>コウテイ</t>
    </rPh>
    <rPh sb="20" eb="23">
      <t>ケイザイセイ</t>
    </rPh>
    <rPh sb="29" eb="31">
      <t>サンテイ</t>
    </rPh>
    <phoneticPr fontId="2"/>
  </si>
  <si>
    <t>⑥</t>
    <phoneticPr fontId="2"/>
  </si>
  <si>
    <t>仮定値算定</t>
    <rPh sb="0" eb="2">
      <t>カテイ</t>
    </rPh>
    <rPh sb="2" eb="3">
      <t>アタイ</t>
    </rPh>
    <rPh sb="3" eb="5">
      <t>サンテイ</t>
    </rPh>
    <phoneticPr fontId="2"/>
  </si>
  <si>
    <t>手引きや公開されている数値等から仮定値を算定するためのシートです。</t>
    <rPh sb="0" eb="2">
      <t>テビ</t>
    </rPh>
    <rPh sb="4" eb="6">
      <t>コウカイ</t>
    </rPh>
    <rPh sb="11" eb="14">
      <t>スウチトウ</t>
    </rPh>
    <rPh sb="16" eb="18">
      <t>カテイ</t>
    </rPh>
    <rPh sb="18" eb="19">
      <t>アタイ</t>
    </rPh>
    <rPh sb="20" eb="22">
      <t>サンテイ</t>
    </rPh>
    <phoneticPr fontId="2"/>
  </si>
  <si>
    <t>使い方</t>
    <rPh sb="0" eb="1">
      <t>ツカ</t>
    </rPh>
    <rPh sb="2" eb="3">
      <t>カタ</t>
    </rPh>
    <phoneticPr fontId="2"/>
  </si>
  <si>
    <t>【1】</t>
    <phoneticPr fontId="2"/>
  </si>
  <si>
    <t>パラメータシートへの実績値・想定値の入力</t>
    <rPh sb="10" eb="12">
      <t>ジッセキ</t>
    </rPh>
    <rPh sb="12" eb="13">
      <t>アタイ</t>
    </rPh>
    <rPh sb="14" eb="16">
      <t>ソウテイ</t>
    </rPh>
    <rPh sb="16" eb="17">
      <t>アタイ</t>
    </rPh>
    <rPh sb="18" eb="20">
      <t>ニュウリョク</t>
    </rPh>
    <phoneticPr fontId="2"/>
  </si>
  <si>
    <r>
      <t>①算定に使用するルートのパラメータシートに、</t>
    </r>
    <r>
      <rPr>
        <b/>
        <u/>
        <sz val="12"/>
        <color theme="1"/>
        <rFont val="ＭＳ Ｐゴシック"/>
        <family val="3"/>
        <charset val="128"/>
      </rPr>
      <t>I列に各パラメータの実績値、もしくは自治体で想定される数値を入力</t>
    </r>
    <r>
      <rPr>
        <sz val="12"/>
        <color theme="1"/>
        <rFont val="ＭＳ Ｐゴシック"/>
        <family val="2"/>
        <charset val="128"/>
      </rPr>
      <t>してください（下記の図①を参照）。</t>
    </r>
    <rPh sb="1" eb="3">
      <t>サンテイ</t>
    </rPh>
    <rPh sb="4" eb="6">
      <t>シヨウ</t>
    </rPh>
    <rPh sb="23" eb="24">
      <t>レツ</t>
    </rPh>
    <rPh sb="25" eb="26">
      <t>カク</t>
    </rPh>
    <rPh sb="32" eb="34">
      <t>ジッセキ</t>
    </rPh>
    <rPh sb="34" eb="35">
      <t>アタイ</t>
    </rPh>
    <rPh sb="40" eb="43">
      <t>ジチタイ</t>
    </rPh>
    <rPh sb="44" eb="46">
      <t>ソウテイ</t>
    </rPh>
    <rPh sb="49" eb="51">
      <t>スウチ</t>
    </rPh>
    <rPh sb="52" eb="54">
      <t>ニュウリョク</t>
    </rPh>
    <rPh sb="61" eb="63">
      <t>カキ</t>
    </rPh>
    <rPh sb="64" eb="65">
      <t>ズ</t>
    </rPh>
    <rPh sb="67" eb="69">
      <t>サンショウ</t>
    </rPh>
    <phoneticPr fontId="2"/>
  </si>
  <si>
    <r>
      <t>➁現時点で数値が不明等の場合、</t>
    </r>
    <r>
      <rPr>
        <b/>
        <u/>
        <sz val="12"/>
        <color theme="1"/>
        <rFont val="ＭＳ Ｐゴシック"/>
        <family val="3"/>
        <charset val="128"/>
      </rPr>
      <t>K列に仮定値（公開されている数値等を基に算定した値）を設定</t>
    </r>
    <r>
      <rPr>
        <sz val="12"/>
        <color theme="1"/>
        <rFont val="ＭＳ Ｐゴシック"/>
        <family val="2"/>
        <charset val="128"/>
      </rPr>
      <t>しています。</t>
    </r>
    <rPh sb="1" eb="4">
      <t>ゲンジテン</t>
    </rPh>
    <rPh sb="5" eb="7">
      <t>スウチ</t>
    </rPh>
    <rPh sb="8" eb="11">
      <t>フメイトウ</t>
    </rPh>
    <rPh sb="12" eb="14">
      <t>バアイ</t>
    </rPh>
    <rPh sb="16" eb="17">
      <t>レツ</t>
    </rPh>
    <rPh sb="18" eb="20">
      <t>カテイ</t>
    </rPh>
    <rPh sb="20" eb="21">
      <t>アタイ</t>
    </rPh>
    <rPh sb="22" eb="24">
      <t>コウカイ</t>
    </rPh>
    <rPh sb="29" eb="31">
      <t>スウチ</t>
    </rPh>
    <rPh sb="31" eb="32">
      <t>トウ</t>
    </rPh>
    <rPh sb="33" eb="34">
      <t>モト</t>
    </rPh>
    <rPh sb="35" eb="37">
      <t>サンテイ</t>
    </rPh>
    <rPh sb="39" eb="40">
      <t>アタイ</t>
    </rPh>
    <rPh sb="42" eb="44">
      <t>セッテイ</t>
    </rPh>
    <phoneticPr fontId="2"/>
  </si>
  <si>
    <t>また、一部数値については、「仮定値算定」シートを基に担当者で数値を入力する箇所がありますので、適宜ご確認いただき活用ください。</t>
    <rPh sb="26" eb="29">
      <t>タントウシャ</t>
    </rPh>
    <rPh sb="30" eb="32">
      <t>スウチ</t>
    </rPh>
    <rPh sb="33" eb="35">
      <t>ニュウリョク</t>
    </rPh>
    <rPh sb="37" eb="39">
      <t>カショ</t>
    </rPh>
    <rPh sb="47" eb="49">
      <t>テキギ</t>
    </rPh>
    <rPh sb="50" eb="52">
      <t>カクニン</t>
    </rPh>
    <rPh sb="56" eb="58">
      <t>カツヨウ</t>
    </rPh>
    <phoneticPr fontId="2"/>
  </si>
  <si>
    <t>③なお、I列に数値が入力されていない場合はK列の数値が算定に使用されます（両方入力されている場合は、I列の数値が優先されます）。</t>
    <rPh sb="5" eb="6">
      <t>レツ</t>
    </rPh>
    <rPh sb="7" eb="9">
      <t>スウチ</t>
    </rPh>
    <rPh sb="10" eb="12">
      <t>ニュウリョク</t>
    </rPh>
    <rPh sb="18" eb="20">
      <t>バアイ</t>
    </rPh>
    <rPh sb="22" eb="23">
      <t>レツ</t>
    </rPh>
    <rPh sb="24" eb="26">
      <t>スウチ</t>
    </rPh>
    <rPh sb="27" eb="29">
      <t>サンテイ</t>
    </rPh>
    <rPh sb="30" eb="32">
      <t>シヨウ</t>
    </rPh>
    <rPh sb="37" eb="39">
      <t>リョウホウ</t>
    </rPh>
    <rPh sb="39" eb="41">
      <t>ニュウリョク</t>
    </rPh>
    <rPh sb="46" eb="48">
      <t>バアイ</t>
    </rPh>
    <rPh sb="51" eb="52">
      <t>レツ</t>
    </rPh>
    <rPh sb="53" eb="55">
      <t>スウチ</t>
    </rPh>
    <rPh sb="56" eb="58">
      <t>ユウセン</t>
    </rPh>
    <phoneticPr fontId="2"/>
  </si>
  <si>
    <t>【2】</t>
    <phoneticPr fontId="2"/>
  </si>
  <si>
    <t>仮定値算定シートの一部パラメータへの入力</t>
    <rPh sb="0" eb="2">
      <t>カテイ</t>
    </rPh>
    <rPh sb="2" eb="3">
      <t>アタイ</t>
    </rPh>
    <rPh sb="3" eb="5">
      <t>サンテイ</t>
    </rPh>
    <rPh sb="9" eb="11">
      <t>イチブ</t>
    </rPh>
    <rPh sb="18" eb="20">
      <t>ニュウリョク</t>
    </rPh>
    <phoneticPr fontId="2"/>
  </si>
  <si>
    <r>
      <t>①仮定値を使用する場合、</t>
    </r>
    <r>
      <rPr>
        <b/>
        <u/>
        <sz val="12"/>
        <color theme="1"/>
        <rFont val="ＭＳ Ｐゴシック"/>
        <family val="3"/>
        <charset val="128"/>
      </rPr>
      <t>黄色となっているセルについて必要に応じて利用する値を選択し、「パラメータ」シートの記載箇所に数値を入力</t>
    </r>
    <r>
      <rPr>
        <sz val="12"/>
        <color theme="1"/>
        <rFont val="ＭＳ Ｐゴシック"/>
        <family val="2"/>
        <charset val="128"/>
      </rPr>
      <t>してください。</t>
    </r>
    <rPh sb="1" eb="3">
      <t>カテイ</t>
    </rPh>
    <rPh sb="3" eb="4">
      <t>アタイ</t>
    </rPh>
    <rPh sb="5" eb="7">
      <t>シヨウ</t>
    </rPh>
    <rPh sb="9" eb="11">
      <t>バアイ</t>
    </rPh>
    <rPh sb="12" eb="14">
      <t>キイロ</t>
    </rPh>
    <rPh sb="26" eb="28">
      <t>ヒツヨウ</t>
    </rPh>
    <rPh sb="29" eb="30">
      <t>オウ</t>
    </rPh>
    <rPh sb="32" eb="34">
      <t>リヨウ</t>
    </rPh>
    <rPh sb="36" eb="37">
      <t>アタイ</t>
    </rPh>
    <rPh sb="38" eb="40">
      <t>センタク</t>
    </rPh>
    <rPh sb="53" eb="55">
      <t>キサイ</t>
    </rPh>
    <rPh sb="55" eb="57">
      <t>カショ</t>
    </rPh>
    <rPh sb="58" eb="60">
      <t>スウチ</t>
    </rPh>
    <rPh sb="61" eb="63">
      <t>ニュウリョク</t>
    </rPh>
    <phoneticPr fontId="2"/>
  </si>
  <si>
    <r>
      <t>対応する箇所は、</t>
    </r>
    <r>
      <rPr>
        <b/>
        <u/>
        <sz val="12"/>
        <color theme="1"/>
        <rFont val="ＭＳ Ｐゴシック"/>
        <family val="3"/>
        <charset val="128"/>
      </rPr>
      <t>黄色セルの横に赤字で対象となるセル名を記載</t>
    </r>
    <r>
      <rPr>
        <sz val="12"/>
        <color theme="1"/>
        <rFont val="ＭＳ Ｐゴシック"/>
        <family val="2"/>
        <charset val="128"/>
      </rPr>
      <t>しています（下記の図➁を参照）。</t>
    </r>
    <rPh sb="0" eb="2">
      <t>タイオウ</t>
    </rPh>
    <rPh sb="4" eb="6">
      <t>カショ</t>
    </rPh>
    <rPh sb="8" eb="10">
      <t>キイロ</t>
    </rPh>
    <rPh sb="13" eb="14">
      <t>ヨコ</t>
    </rPh>
    <rPh sb="15" eb="17">
      <t>アカジ</t>
    </rPh>
    <rPh sb="18" eb="20">
      <t>タイショウ</t>
    </rPh>
    <rPh sb="25" eb="26">
      <t>ナ</t>
    </rPh>
    <rPh sb="27" eb="29">
      <t>キサイ</t>
    </rPh>
    <rPh sb="35" eb="37">
      <t>カキ</t>
    </rPh>
    <rPh sb="38" eb="39">
      <t>ズ</t>
    </rPh>
    <rPh sb="41" eb="43">
      <t>サンショウ</t>
    </rPh>
    <phoneticPr fontId="2"/>
  </si>
  <si>
    <r>
      <t>➁また、</t>
    </r>
    <r>
      <rPr>
        <b/>
        <u/>
        <sz val="12"/>
        <color theme="1"/>
        <rFont val="ＭＳ Ｐゴシック"/>
        <family val="3"/>
        <charset val="128"/>
      </rPr>
      <t>「仮定値算定」シートの緑色のセル</t>
    </r>
    <r>
      <rPr>
        <sz val="12"/>
        <color theme="1"/>
        <rFont val="ＭＳ Ｐゴシック"/>
        <family val="3"/>
        <charset val="128"/>
      </rPr>
      <t>は、各自治体での数値が大きく異なることが想定されるため、</t>
    </r>
    <rPh sb="5" eb="7">
      <t>カテイ</t>
    </rPh>
    <rPh sb="7" eb="8">
      <t>アタイ</t>
    </rPh>
    <rPh sb="8" eb="10">
      <t>サンテイ</t>
    </rPh>
    <rPh sb="15" eb="17">
      <t>ミドリイロ</t>
    </rPh>
    <rPh sb="22" eb="23">
      <t>カク</t>
    </rPh>
    <rPh sb="23" eb="26">
      <t>ジチタイ</t>
    </rPh>
    <rPh sb="28" eb="30">
      <t>スウチ</t>
    </rPh>
    <rPh sb="31" eb="32">
      <t>オオ</t>
    </rPh>
    <rPh sb="34" eb="35">
      <t>コト</t>
    </rPh>
    <rPh sb="40" eb="42">
      <t>ソウテイ</t>
    </rPh>
    <phoneticPr fontId="2"/>
  </si>
  <si>
    <t>各自治体の実績値を入力してください（右図参照）。</t>
    <phoneticPr fontId="2"/>
  </si>
  <si>
    <t>【3】</t>
    <phoneticPr fontId="2"/>
  </si>
  <si>
    <t>数量・環境性（CO2排出量）・経済性（コスト）・の各算定結果の確認</t>
    <rPh sb="0" eb="2">
      <t>スウリョウ</t>
    </rPh>
    <rPh sb="3" eb="5">
      <t>カンキョウ</t>
    </rPh>
    <rPh sb="5" eb="6">
      <t>セイ</t>
    </rPh>
    <rPh sb="10" eb="12">
      <t>ハイシュツ</t>
    </rPh>
    <rPh sb="12" eb="13">
      <t>リョウ</t>
    </rPh>
    <rPh sb="15" eb="18">
      <t>ケイザイセイ</t>
    </rPh>
    <rPh sb="25" eb="26">
      <t>カク</t>
    </rPh>
    <rPh sb="26" eb="28">
      <t>サンテイ</t>
    </rPh>
    <rPh sb="28" eb="30">
      <t>ケッカ</t>
    </rPh>
    <rPh sb="31" eb="33">
      <t>カクニン</t>
    </rPh>
    <phoneticPr fontId="2"/>
  </si>
  <si>
    <t>①「パラメータ」シート入力後、数量・環境性（CO2排出量）・経済性（コスト）の各シートを確認します。</t>
    <rPh sb="11" eb="13">
      <t>ニュウリョク</t>
    </rPh>
    <rPh sb="13" eb="14">
      <t>アト</t>
    </rPh>
    <rPh sb="15" eb="17">
      <t>スウリョウ</t>
    </rPh>
    <rPh sb="18" eb="20">
      <t>カンキョウ</t>
    </rPh>
    <rPh sb="20" eb="21">
      <t>セイ</t>
    </rPh>
    <rPh sb="25" eb="27">
      <t>ハイシュツ</t>
    </rPh>
    <rPh sb="27" eb="28">
      <t>リョウ</t>
    </rPh>
    <rPh sb="30" eb="33">
      <t>ケイザイセイ</t>
    </rPh>
    <rPh sb="39" eb="40">
      <t>カク</t>
    </rPh>
    <rPh sb="44" eb="46">
      <t>カクニン</t>
    </rPh>
    <phoneticPr fontId="2"/>
  </si>
  <si>
    <r>
      <t>各シートの構成は</t>
    </r>
    <r>
      <rPr>
        <b/>
        <u/>
        <sz val="12"/>
        <color theme="1"/>
        <rFont val="ＭＳ Ｐゴシック"/>
        <family val="3"/>
        <charset val="128"/>
      </rPr>
      <t>5行目～13行目までは工程毎の算定値のサマリー、17行目（環境性は18行目）以降は各工程の詳細な算定内容</t>
    </r>
    <r>
      <rPr>
        <sz val="12"/>
        <color theme="1"/>
        <rFont val="ＭＳ Ｐゴシック"/>
        <family val="2"/>
        <charset val="128"/>
      </rPr>
      <t>となっております。</t>
    </r>
    <rPh sb="0" eb="1">
      <t>カク</t>
    </rPh>
    <rPh sb="5" eb="7">
      <t>コウセイ</t>
    </rPh>
    <rPh sb="9" eb="11">
      <t>ギョウメ</t>
    </rPh>
    <rPh sb="14" eb="16">
      <t>ギョウメ</t>
    </rPh>
    <rPh sb="19" eb="21">
      <t>コウテイ</t>
    </rPh>
    <rPh sb="21" eb="22">
      <t>ゴト</t>
    </rPh>
    <rPh sb="23" eb="25">
      <t>サンテイ</t>
    </rPh>
    <rPh sb="25" eb="26">
      <t>アタイ</t>
    </rPh>
    <rPh sb="34" eb="36">
      <t>ギョウメ</t>
    </rPh>
    <rPh sb="37" eb="40">
      <t>カンキョウセイ</t>
    </rPh>
    <rPh sb="43" eb="45">
      <t>ギョウメ</t>
    </rPh>
    <rPh sb="46" eb="48">
      <t>イコウ</t>
    </rPh>
    <rPh sb="49" eb="50">
      <t>カク</t>
    </rPh>
    <rPh sb="50" eb="52">
      <t>コウテイ</t>
    </rPh>
    <rPh sb="53" eb="55">
      <t>ショウサイ</t>
    </rPh>
    <rPh sb="56" eb="58">
      <t>サンテイ</t>
    </rPh>
    <rPh sb="58" eb="60">
      <t>ナイヨウ</t>
    </rPh>
    <phoneticPr fontId="2"/>
  </si>
  <si>
    <t>（下記の図③を参照）</t>
    <rPh sb="1" eb="3">
      <t>カキ</t>
    </rPh>
    <rPh sb="4" eb="5">
      <t>ズ</t>
    </rPh>
    <rPh sb="7" eb="9">
      <t>サンショウ</t>
    </rPh>
    <phoneticPr fontId="2"/>
  </si>
  <si>
    <t>➁灰色の個所は、算定で使用しない箇所となります。</t>
    <rPh sb="1" eb="3">
      <t>ハイイロ</t>
    </rPh>
    <rPh sb="4" eb="6">
      <t>カショ</t>
    </rPh>
    <rPh sb="8" eb="10">
      <t>サンテイ</t>
    </rPh>
    <rPh sb="11" eb="13">
      <t>シヨウ</t>
    </rPh>
    <rPh sb="16" eb="18">
      <t>カショ</t>
    </rPh>
    <phoneticPr fontId="2"/>
  </si>
  <si>
    <t>③数量・環境性（CO2排出量）・経済性（コスト）の各シートを確認後、「算定結果」シートに進み、各算定値の比較等にご活用ください</t>
    <rPh sb="30" eb="32">
      <t>カクニン</t>
    </rPh>
    <rPh sb="32" eb="33">
      <t>アト</t>
    </rPh>
    <rPh sb="35" eb="37">
      <t>サンテイ</t>
    </rPh>
    <rPh sb="37" eb="39">
      <t>ケッカ</t>
    </rPh>
    <rPh sb="44" eb="45">
      <t>スス</t>
    </rPh>
    <rPh sb="47" eb="48">
      <t>カク</t>
    </rPh>
    <rPh sb="48" eb="50">
      <t>サンテイ</t>
    </rPh>
    <rPh sb="50" eb="51">
      <t>アタイ</t>
    </rPh>
    <rPh sb="52" eb="54">
      <t>ヒカク</t>
    </rPh>
    <rPh sb="54" eb="55">
      <t>トウ</t>
    </rPh>
    <rPh sb="57" eb="59">
      <t>カツヨウ</t>
    </rPh>
    <phoneticPr fontId="2"/>
  </si>
  <si>
    <t>算定結果</t>
    <rPh sb="0" eb="2">
      <t>サンテイ</t>
    </rPh>
    <rPh sb="2" eb="4">
      <t>ケッカ</t>
    </rPh>
    <phoneticPr fontId="2"/>
  </si>
  <si>
    <r>
      <rPr>
        <u/>
        <sz val="12"/>
        <color theme="1"/>
        <rFont val="Yu Gothic"/>
        <family val="2"/>
        <charset val="128"/>
      </rPr>
      <t>1.数量</t>
    </r>
    <r>
      <rPr>
        <u/>
        <sz val="12"/>
        <color theme="1"/>
        <rFont val="ＭＳ ゴシック"/>
        <family val="3"/>
        <charset val="128"/>
      </rPr>
      <t>検証</t>
    </r>
    <rPh sb="2" eb="4">
      <t>スウリョウ</t>
    </rPh>
    <rPh sb="4" eb="6">
      <t>ケンショウ</t>
    </rPh>
    <phoneticPr fontId="2"/>
  </si>
  <si>
    <r>
      <rPr>
        <sz val="11"/>
        <color theme="1"/>
        <rFont val="ＭＳ ゴシック"/>
        <family val="3"/>
        <charset val="128"/>
      </rPr>
      <t>（単位：</t>
    </r>
    <r>
      <rPr>
        <sz val="11"/>
        <color theme="1"/>
        <rFont val="Arial"/>
        <family val="2"/>
      </rPr>
      <t>t/</t>
    </r>
    <r>
      <rPr>
        <sz val="11"/>
        <color theme="1"/>
        <rFont val="ＭＳ ゴシック"/>
        <family val="3"/>
        <charset val="128"/>
      </rPr>
      <t>年）</t>
    </r>
    <rPh sb="1" eb="3">
      <t>タンイ</t>
    </rPh>
    <rPh sb="6" eb="7">
      <t>ネン</t>
    </rPh>
    <phoneticPr fontId="2"/>
  </si>
  <si>
    <t>現行モデル</t>
    <rPh sb="0" eb="2">
      <t>ゲンコウ</t>
    </rPh>
    <phoneticPr fontId="2"/>
  </si>
  <si>
    <t>移行後モデル</t>
    <rPh sb="0" eb="3">
      <t>イコウゴ</t>
    </rPh>
    <phoneticPr fontId="2"/>
  </si>
  <si>
    <t>ルート1</t>
    <phoneticPr fontId="2"/>
  </si>
  <si>
    <t>ルート2</t>
    <phoneticPr fontId="2"/>
  </si>
  <si>
    <t>ルート3</t>
    <phoneticPr fontId="2"/>
  </si>
  <si>
    <r>
      <rPr>
        <sz val="11"/>
        <color theme="1"/>
        <rFont val="ＭＳ ゴシック"/>
        <family val="3"/>
        <charset val="128"/>
      </rPr>
      <t>工程別</t>
    </r>
    <r>
      <rPr>
        <sz val="11"/>
        <color theme="1"/>
        <rFont val="Yu Gothic"/>
        <family val="2"/>
        <charset val="128"/>
      </rPr>
      <t>数量</t>
    </r>
    <rPh sb="0" eb="3">
      <t>コウテイベツ</t>
    </rPh>
    <rPh sb="3" eb="5">
      <t>スウリョウ</t>
    </rPh>
    <phoneticPr fontId="2"/>
  </si>
  <si>
    <t>可燃ごみ</t>
    <rPh sb="0" eb="2">
      <t>カネン</t>
    </rPh>
    <phoneticPr fontId="2"/>
  </si>
  <si>
    <t>容器包装</t>
    <rPh sb="0" eb="4">
      <t>ヨウキホウソウ</t>
    </rPh>
    <phoneticPr fontId="2"/>
  </si>
  <si>
    <t>現行1</t>
    <rPh sb="0" eb="2">
      <t>ゲンコウ</t>
    </rPh>
    <phoneticPr fontId="2"/>
  </si>
  <si>
    <t>現行2</t>
    <rPh sb="0" eb="2">
      <t>ゲンコウ</t>
    </rPh>
    <phoneticPr fontId="2"/>
  </si>
  <si>
    <t>現行3</t>
    <rPh sb="0" eb="2">
      <t>ゲンコウ</t>
    </rPh>
    <phoneticPr fontId="2"/>
  </si>
  <si>
    <t>一括回収</t>
    <rPh sb="0" eb="2">
      <t>イッカツ</t>
    </rPh>
    <rPh sb="2" eb="4">
      <t>カイシュウ</t>
    </rPh>
    <phoneticPr fontId="2"/>
  </si>
  <si>
    <t>移行後1</t>
    <rPh sb="0" eb="3">
      <t>イコウゴ</t>
    </rPh>
    <phoneticPr fontId="2"/>
  </si>
  <si>
    <t>移行後2</t>
    <rPh sb="0" eb="3">
      <t>イコウゴ</t>
    </rPh>
    <phoneticPr fontId="2"/>
  </si>
  <si>
    <t>移行後3</t>
    <rPh sb="0" eb="3">
      <t>イコウゴ</t>
    </rPh>
    <phoneticPr fontId="2"/>
  </si>
  <si>
    <t>収集・運搬</t>
  </si>
  <si>
    <t>選別・ベール化</t>
  </si>
  <si>
    <t>輸送1</t>
  </si>
  <si>
    <t>再生処理</t>
    <rPh sb="0" eb="2">
      <t>サイセイ</t>
    </rPh>
    <phoneticPr fontId="2"/>
  </si>
  <si>
    <t>輸送2</t>
  </si>
  <si>
    <t>焼却</t>
    <rPh sb="0" eb="2">
      <t>ショウキャク</t>
    </rPh>
    <phoneticPr fontId="2"/>
  </si>
  <si>
    <r>
      <rPr>
        <sz val="11"/>
        <color theme="1"/>
        <rFont val="ＭＳ ゴシック"/>
        <family val="3"/>
        <charset val="128"/>
      </rPr>
      <t>輸送</t>
    </r>
    <r>
      <rPr>
        <sz val="11"/>
        <color theme="1"/>
        <rFont val="Arial"/>
        <family val="2"/>
      </rPr>
      <t>3</t>
    </r>
    <r>
      <rPr>
        <sz val="11"/>
        <color theme="1"/>
        <rFont val="ＭＳ Ｐゴシック"/>
        <family val="2"/>
        <charset val="128"/>
      </rPr>
      <t>・埋立</t>
    </r>
    <rPh sb="4" eb="5">
      <t>ウ</t>
    </rPh>
    <rPh sb="5" eb="6">
      <t>タ</t>
    </rPh>
    <phoneticPr fontId="2"/>
  </si>
  <si>
    <r>
      <t>2.</t>
    </r>
    <r>
      <rPr>
        <u/>
        <sz val="12"/>
        <color theme="1"/>
        <rFont val="ＭＳ ゴシック"/>
        <family val="3"/>
        <charset val="128"/>
      </rPr>
      <t>環境影響（</t>
    </r>
    <r>
      <rPr>
        <u/>
        <sz val="12"/>
        <color theme="1"/>
        <rFont val="Arial"/>
        <family val="2"/>
      </rPr>
      <t>CO2</t>
    </r>
    <r>
      <rPr>
        <u/>
        <sz val="12"/>
        <color theme="1"/>
        <rFont val="ＭＳ ゴシック"/>
        <family val="3"/>
        <charset val="128"/>
      </rPr>
      <t>排出量）検証</t>
    </r>
    <rPh sb="2" eb="4">
      <t>カンキョウ</t>
    </rPh>
    <rPh sb="4" eb="6">
      <t>エイキョウ</t>
    </rPh>
    <rPh sb="10" eb="13">
      <t>ハイシュツリョウ</t>
    </rPh>
    <rPh sb="14" eb="16">
      <t>ケンショウ</t>
    </rPh>
    <phoneticPr fontId="2"/>
  </si>
  <si>
    <r>
      <t>2.</t>
    </r>
    <r>
      <rPr>
        <u/>
        <sz val="12"/>
        <color theme="1"/>
        <rFont val="ＭＳ ゴシック"/>
        <family val="3"/>
        <charset val="128"/>
      </rPr>
      <t>環境影響（</t>
    </r>
    <r>
      <rPr>
        <u/>
        <sz val="12"/>
        <color theme="1"/>
        <rFont val="Arial"/>
        <family val="2"/>
      </rPr>
      <t>CO2</t>
    </r>
    <r>
      <rPr>
        <u/>
        <sz val="12"/>
        <color theme="1"/>
        <rFont val="ＭＳ ゴシック"/>
        <family val="3"/>
        <charset val="128"/>
      </rPr>
      <t>排出量）検証</t>
    </r>
    <r>
      <rPr>
        <u/>
        <sz val="12"/>
        <color theme="1"/>
        <rFont val="Arial"/>
        <family val="2"/>
      </rPr>
      <t>_</t>
    </r>
    <r>
      <rPr>
        <u/>
        <sz val="12"/>
        <color theme="1"/>
        <rFont val="Yu Gothic"/>
        <family val="2"/>
        <charset val="128"/>
      </rPr>
      <t>代替率100%</t>
    </r>
    <rPh sb="2" eb="4">
      <t>カンキョウ</t>
    </rPh>
    <rPh sb="4" eb="6">
      <t>エイキョウ</t>
    </rPh>
    <rPh sb="10" eb="13">
      <t>ハイシュツリョウ</t>
    </rPh>
    <rPh sb="14" eb="16">
      <t>ケンショウ</t>
    </rPh>
    <rPh sb="17" eb="20">
      <t>ダイタイリツ</t>
    </rPh>
    <phoneticPr fontId="2"/>
  </si>
  <si>
    <r>
      <rPr>
        <sz val="11"/>
        <color theme="1"/>
        <rFont val="ＭＳ ゴシック"/>
        <family val="3"/>
        <charset val="128"/>
      </rPr>
      <t>（単位：</t>
    </r>
    <r>
      <rPr>
        <sz val="11"/>
        <color theme="1"/>
        <rFont val="Arial"/>
        <family val="2"/>
      </rPr>
      <t>t-CO2/</t>
    </r>
    <r>
      <rPr>
        <sz val="11"/>
        <color theme="1"/>
        <rFont val="ＭＳ ゴシック"/>
        <family val="3"/>
        <charset val="128"/>
      </rPr>
      <t>年）</t>
    </r>
    <rPh sb="1" eb="3">
      <t>タンイ</t>
    </rPh>
    <rPh sb="10" eb="11">
      <t>ネン</t>
    </rPh>
    <phoneticPr fontId="2"/>
  </si>
  <si>
    <t>工程別CO2排出量</t>
    <rPh sb="0" eb="3">
      <t>コウテイベツ</t>
    </rPh>
    <rPh sb="6" eb="9">
      <t>ハイシュツリョウ</t>
    </rPh>
    <phoneticPr fontId="2"/>
  </si>
  <si>
    <t>新規製造</t>
    <rPh sb="0" eb="2">
      <t>シンキ</t>
    </rPh>
    <rPh sb="2" eb="4">
      <t>セイゾウ</t>
    </rPh>
    <phoneticPr fontId="2"/>
  </si>
  <si>
    <t>輸送3</t>
  </si>
  <si>
    <t>埋立</t>
    <rPh sb="0" eb="2">
      <t>ウメタテ</t>
    </rPh>
    <phoneticPr fontId="2"/>
  </si>
  <si>
    <r>
      <t>←</t>
    </r>
    <r>
      <rPr>
        <sz val="11"/>
        <color theme="1"/>
        <rFont val="ＭＳ ゴシック"/>
        <family val="3"/>
        <charset val="128"/>
      </rPr>
      <t>焼却に含めて算出のため記載不要</t>
    </r>
    <rPh sb="1" eb="3">
      <t>ショウキャク</t>
    </rPh>
    <rPh sb="4" eb="5">
      <t>フク</t>
    </rPh>
    <rPh sb="7" eb="9">
      <t>サンシュツ</t>
    </rPh>
    <rPh sb="12" eb="14">
      <t>キサイ</t>
    </rPh>
    <rPh sb="14" eb="16">
      <t>フヨウ</t>
    </rPh>
    <phoneticPr fontId="2"/>
  </si>
  <si>
    <r>
      <t>CO2</t>
    </r>
    <r>
      <rPr>
        <sz val="11"/>
        <color theme="1"/>
        <rFont val="ＭＳ Ｐゴシック"/>
        <family val="3"/>
        <charset val="128"/>
      </rPr>
      <t>排出量合計</t>
    </r>
  </si>
  <si>
    <r>
      <t>3.</t>
    </r>
    <r>
      <rPr>
        <u/>
        <sz val="12"/>
        <color theme="1"/>
        <rFont val="Yu Gothic"/>
        <family val="2"/>
        <charset val="128"/>
      </rPr>
      <t>経済性</t>
    </r>
    <r>
      <rPr>
        <u/>
        <sz val="12"/>
        <color theme="1"/>
        <rFont val="ＭＳ ゴシック"/>
        <family val="3"/>
        <charset val="128"/>
      </rPr>
      <t>（コスト）検証</t>
    </r>
    <rPh sb="2" eb="5">
      <t>ケイザイセイ</t>
    </rPh>
    <rPh sb="10" eb="12">
      <t>ケンショウ</t>
    </rPh>
    <phoneticPr fontId="2"/>
  </si>
  <si>
    <t>（単位：千円/年）</t>
    <rPh sb="1" eb="3">
      <t>タンイ</t>
    </rPh>
    <rPh sb="4" eb="5">
      <t>セン</t>
    </rPh>
    <rPh sb="5" eb="6">
      <t>エン</t>
    </rPh>
    <rPh sb="7" eb="8">
      <t>ネン</t>
    </rPh>
    <phoneticPr fontId="2"/>
  </si>
  <si>
    <t>工程別コスト</t>
    <rPh sb="0" eb="3">
      <t>コウテイベツ</t>
    </rPh>
    <phoneticPr fontId="2"/>
  </si>
  <si>
    <t>再生処理</t>
  </si>
  <si>
    <t>コスト合計</t>
  </si>
  <si>
    <r>
      <t>4.</t>
    </r>
    <r>
      <rPr>
        <u/>
        <sz val="12"/>
        <color theme="1"/>
        <rFont val="Yu Gothic"/>
        <family val="2"/>
        <charset val="128"/>
      </rPr>
      <t>ルート毎の比較</t>
    </r>
    <rPh sb="5" eb="6">
      <t>ゴト</t>
    </rPh>
    <rPh sb="7" eb="9">
      <t>ヒカク</t>
    </rPh>
    <phoneticPr fontId="2"/>
  </si>
  <si>
    <r>
      <rPr>
        <sz val="11"/>
        <color theme="1"/>
        <rFont val="Arial"/>
        <family val="3"/>
      </rPr>
      <t>CO2</t>
    </r>
    <r>
      <rPr>
        <sz val="11"/>
        <color theme="1"/>
        <rFont val="ＭＳ Ｐゴシック"/>
        <family val="3"/>
        <charset val="128"/>
      </rPr>
      <t>排出量</t>
    </r>
    <rPh sb="3" eb="5">
      <t>ハイシュツ</t>
    </rPh>
    <rPh sb="5" eb="6">
      <t>リョウ</t>
    </rPh>
    <phoneticPr fontId="2"/>
  </si>
  <si>
    <t>合計</t>
    <rPh sb="0" eb="2">
      <t>ゴウケイ</t>
    </rPh>
    <phoneticPr fontId="2"/>
  </si>
  <si>
    <t>パラメータ一覧（ルート1）</t>
    <phoneticPr fontId="5"/>
  </si>
  <si>
    <t>*</t>
  </si>
  <si>
    <t>実績値・想定値</t>
    <rPh sb="0" eb="2">
      <t>ジッセキ</t>
    </rPh>
    <rPh sb="2" eb="3">
      <t>アタイ</t>
    </rPh>
    <rPh sb="4" eb="6">
      <t>ソウテイ</t>
    </rPh>
    <rPh sb="6" eb="7">
      <t>アタイ</t>
    </rPh>
    <phoneticPr fontId="2"/>
  </si>
  <si>
    <t>仮定値</t>
    <rPh sb="0" eb="2">
      <t>カテイ</t>
    </rPh>
    <rPh sb="2" eb="3">
      <t>アタイ</t>
    </rPh>
    <phoneticPr fontId="2"/>
  </si>
  <si>
    <t>#</t>
    <phoneticPr fontId="5"/>
  </si>
  <si>
    <t>シート</t>
    <phoneticPr fontId="2"/>
  </si>
  <si>
    <r>
      <rPr>
        <sz val="10"/>
        <rFont val="ＭＳ ゴシック"/>
        <family val="3"/>
        <charset val="128"/>
      </rPr>
      <t>工程分類</t>
    </r>
    <rPh sb="0" eb="2">
      <t>コウテイ</t>
    </rPh>
    <rPh sb="2" eb="4">
      <t>ブンルイ</t>
    </rPh>
    <phoneticPr fontId="5"/>
  </si>
  <si>
    <t>対象</t>
    <rPh sb="0" eb="2">
      <t>タイショウ</t>
    </rPh>
    <phoneticPr fontId="2"/>
  </si>
  <si>
    <r>
      <rPr>
        <sz val="10"/>
        <rFont val="ＭＳ ゴシック"/>
        <family val="3"/>
        <charset val="128"/>
      </rPr>
      <t>項目</t>
    </r>
    <rPh sb="0" eb="2">
      <t>コウモク</t>
    </rPh>
    <phoneticPr fontId="5"/>
  </si>
  <si>
    <r>
      <rPr>
        <sz val="10"/>
        <rFont val="ＭＳ ゴシック"/>
        <family val="3"/>
        <charset val="128"/>
      </rPr>
      <t>単位</t>
    </r>
    <rPh sb="0" eb="2">
      <t>タンイ</t>
    </rPh>
    <phoneticPr fontId="2"/>
  </si>
  <si>
    <t>採用値</t>
    <rPh sb="0" eb="3">
      <t>サイヨウアタイ</t>
    </rPh>
    <phoneticPr fontId="2"/>
  </si>
  <si>
    <t>数値</t>
    <rPh sb="0" eb="2">
      <t>スウチ</t>
    </rPh>
    <phoneticPr fontId="2"/>
  </si>
  <si>
    <t>備考欄</t>
    <rPh sb="0" eb="3">
      <t>ビコウラン</t>
    </rPh>
    <phoneticPr fontId="2"/>
  </si>
  <si>
    <r>
      <rPr>
        <sz val="10"/>
        <rFont val="ＭＳ ゴシック"/>
        <family val="3"/>
        <charset val="128"/>
      </rPr>
      <t>数値</t>
    </r>
    <rPh sb="0" eb="2">
      <t>スウチ</t>
    </rPh>
    <phoneticPr fontId="2"/>
  </si>
  <si>
    <t>備考（根拠等）</t>
    <rPh sb="0" eb="2">
      <t>ビコウ</t>
    </rPh>
    <rPh sb="3" eb="5">
      <t>コンキョ</t>
    </rPh>
    <rPh sb="5" eb="6">
      <t>トウ</t>
    </rPh>
    <phoneticPr fontId="2"/>
  </si>
  <si>
    <r>
      <rPr>
        <sz val="10"/>
        <rFont val="ＭＳ ゴシック"/>
        <family val="3"/>
        <charset val="128"/>
      </rPr>
      <t>収集・運搬</t>
    </r>
    <rPh sb="0" eb="2">
      <t>シュウシュウ</t>
    </rPh>
    <rPh sb="3" eb="5">
      <t>ウンパン</t>
    </rPh>
    <phoneticPr fontId="5"/>
  </si>
  <si>
    <t>現行</t>
    <rPh sb="0" eb="2">
      <t>ゲンコウ</t>
    </rPh>
    <phoneticPr fontId="2"/>
  </si>
  <si>
    <r>
      <rPr>
        <sz val="10"/>
        <rFont val="ＭＳ ゴシック"/>
        <family val="3"/>
        <charset val="128"/>
      </rPr>
      <t>年間の可燃ごみ収集量</t>
    </r>
    <rPh sb="0" eb="2">
      <t>ネンカン</t>
    </rPh>
    <rPh sb="3" eb="5">
      <t>カネン</t>
    </rPh>
    <rPh sb="7" eb="10">
      <t>シュウシュウリョウ</t>
    </rPh>
    <phoneticPr fontId="5"/>
  </si>
  <si>
    <r>
      <t>t/</t>
    </r>
    <r>
      <rPr>
        <sz val="10"/>
        <rFont val="ＭＳ ゴシック"/>
        <family val="3"/>
        <charset val="128"/>
      </rPr>
      <t>年</t>
    </r>
    <rPh sb="2" eb="3">
      <t>ネン</t>
    </rPh>
    <phoneticPr fontId="5"/>
  </si>
  <si>
    <t>各自治体での実績値・想定値</t>
    <rPh sb="0" eb="1">
      <t>カク</t>
    </rPh>
    <rPh sb="1" eb="4">
      <t>ジチタイ</t>
    </rPh>
    <rPh sb="6" eb="8">
      <t>ジッセキ</t>
    </rPh>
    <rPh sb="8" eb="9">
      <t>アタイ</t>
    </rPh>
    <rPh sb="10" eb="12">
      <t>ソウテイ</t>
    </rPh>
    <rPh sb="12" eb="13">
      <t>アタイ</t>
    </rPh>
    <phoneticPr fontId="2"/>
  </si>
  <si>
    <t>現行の可燃ごみ中のプラスチック重量比率</t>
    <rPh sb="0" eb="2">
      <t>ゲンコウ</t>
    </rPh>
    <rPh sb="3" eb="5">
      <t>カネン</t>
    </rPh>
    <rPh sb="7" eb="8">
      <t>ナカ</t>
    </rPh>
    <rPh sb="15" eb="17">
      <t>ジュウリョウ</t>
    </rPh>
    <rPh sb="17" eb="19">
      <t>ヒリツ</t>
    </rPh>
    <phoneticPr fontId="5"/>
  </si>
  <si>
    <t>%</t>
    <phoneticPr fontId="5"/>
  </si>
  <si>
    <r>
      <rPr>
        <sz val="10"/>
        <rFont val="ＭＳ ゴシック"/>
        <family val="3"/>
        <charset val="128"/>
      </rPr>
      <t>環境省「平成</t>
    </r>
    <r>
      <rPr>
        <sz val="10"/>
        <rFont val="Arial"/>
        <family val="2"/>
      </rPr>
      <t>29</t>
    </r>
    <r>
      <rPr>
        <sz val="10"/>
        <rFont val="ＭＳ ゴシック"/>
        <family val="3"/>
        <charset val="128"/>
      </rPr>
      <t>年度</t>
    </r>
    <r>
      <rPr>
        <sz val="10"/>
        <rFont val="Arial"/>
        <family val="2"/>
      </rPr>
      <t xml:space="preserve"> </t>
    </r>
    <r>
      <rPr>
        <sz val="10"/>
        <rFont val="ＭＳ ゴシック"/>
        <family val="3"/>
        <charset val="128"/>
      </rPr>
      <t>廃棄物の広域移動対策検討調査及び廃棄物等循環利用量実態調査報告書（</t>
    </r>
    <r>
      <rPr>
        <sz val="10"/>
        <rFont val="Arial"/>
        <family val="2"/>
      </rPr>
      <t>http://www.env.go.jp/recycle/report/17_03-1.pdf</t>
    </r>
    <r>
      <rPr>
        <sz val="10"/>
        <rFont val="ＭＳ ゴシック"/>
        <family val="3"/>
        <charset val="128"/>
      </rPr>
      <t>）」</t>
    </r>
    <r>
      <rPr>
        <sz val="10"/>
        <rFont val="Arial"/>
        <family val="2"/>
      </rPr>
      <t xml:space="preserve"> </t>
    </r>
    <r>
      <rPr>
        <sz val="10"/>
        <rFont val="ＭＳ ゴシック"/>
        <family val="3"/>
        <charset val="128"/>
      </rPr>
      <t>表</t>
    </r>
    <r>
      <rPr>
        <sz val="10"/>
        <rFont val="Arial"/>
        <family val="2"/>
      </rPr>
      <t>4-1-10</t>
    </r>
    <r>
      <rPr>
        <sz val="10"/>
        <rFont val="ＭＳ ゴシック"/>
        <family val="3"/>
        <charset val="128"/>
      </rPr>
      <t>の可燃ごみ中のプラスチックより抜粋</t>
    </r>
    <rPh sb="0" eb="3">
      <t>カンキョウショウ</t>
    </rPh>
    <rPh sb="94" eb="95">
      <t>ヒョウ</t>
    </rPh>
    <rPh sb="102" eb="104">
      <t>カネン</t>
    </rPh>
    <rPh sb="106" eb="107">
      <t>ナカ</t>
    </rPh>
    <rPh sb="116" eb="118">
      <t>バッスイ</t>
    </rPh>
    <phoneticPr fontId="2"/>
  </si>
  <si>
    <r>
      <rPr>
        <sz val="10"/>
        <rFont val="ＭＳ ゴシック"/>
        <family val="3"/>
        <charset val="128"/>
      </rPr>
      <t>容器包装プラ収集量</t>
    </r>
    <rPh sb="0" eb="4">
      <t>ヨウキホウソウ</t>
    </rPh>
    <rPh sb="6" eb="9">
      <t>シュウシュウリョウ</t>
    </rPh>
    <phoneticPr fontId="5"/>
  </si>
  <si>
    <t>現行で容器包装の分別収集を行っている自治体のみ記載。各自治体での実績値を想定</t>
    <rPh sb="0" eb="2">
      <t>ゲンコウ</t>
    </rPh>
    <rPh sb="3" eb="5">
      <t>ヨウキ</t>
    </rPh>
    <rPh sb="5" eb="7">
      <t>ホウソウ</t>
    </rPh>
    <rPh sb="8" eb="10">
      <t>ブンベツ</t>
    </rPh>
    <rPh sb="10" eb="12">
      <t>シュウシュウ</t>
    </rPh>
    <rPh sb="13" eb="14">
      <t>オコナ</t>
    </rPh>
    <rPh sb="18" eb="21">
      <t>ジチタイ</t>
    </rPh>
    <rPh sb="23" eb="25">
      <t>キサイ</t>
    </rPh>
    <rPh sb="26" eb="27">
      <t>カク</t>
    </rPh>
    <rPh sb="27" eb="30">
      <t>ジチタイ</t>
    </rPh>
    <rPh sb="32" eb="34">
      <t>ジッセキ</t>
    </rPh>
    <rPh sb="34" eb="35">
      <t>アタイ</t>
    </rPh>
    <rPh sb="36" eb="38">
      <t>ソウテイ</t>
    </rPh>
    <phoneticPr fontId="2"/>
  </si>
  <si>
    <t>選別・ベール化</t>
    <rPh sb="0" eb="2">
      <t>センベツ</t>
    </rPh>
    <rPh sb="6" eb="7">
      <t>カ</t>
    </rPh>
    <phoneticPr fontId="2"/>
  </si>
  <si>
    <t>現行の選別・ベール化工程の残渣率</t>
    <rPh sb="0" eb="2">
      <t>ゲンコウ</t>
    </rPh>
    <rPh sb="3" eb="5">
      <t>センベツ</t>
    </rPh>
    <rPh sb="9" eb="10">
      <t>カ</t>
    </rPh>
    <rPh sb="10" eb="12">
      <t>コウテイ</t>
    </rPh>
    <rPh sb="13" eb="16">
      <t>ザンサリツ</t>
    </rPh>
    <phoneticPr fontId="5"/>
  </si>
  <si>
    <r>
      <rPr>
        <sz val="10"/>
        <rFont val="ＭＳ Ｐゴシック"/>
        <family val="3"/>
        <charset val="128"/>
      </rPr>
      <t>農林水産省「食品容器包装のリサイクルに関する懇談会（第</t>
    </r>
    <r>
      <rPr>
        <sz val="10"/>
        <rFont val="Arial"/>
        <family val="3"/>
        <charset val="128"/>
      </rPr>
      <t>5</t>
    </r>
    <r>
      <rPr>
        <sz val="10"/>
        <rFont val="ＭＳ Ｐゴシック"/>
        <family val="3"/>
        <charset val="128"/>
      </rPr>
      <t>回）資料</t>
    </r>
    <r>
      <rPr>
        <sz val="10"/>
        <rFont val="Arial"/>
        <family val="3"/>
        <charset val="128"/>
      </rPr>
      <t>6</t>
    </r>
    <r>
      <rPr>
        <sz val="10"/>
        <rFont val="ＭＳ Ｐゴシック"/>
        <family val="3"/>
        <charset val="128"/>
      </rPr>
      <t>「自治体における食品の容器包装リサイクルシステムの構築状況調査」（</t>
    </r>
    <r>
      <rPr>
        <sz val="10"/>
        <rFont val="Arial"/>
        <family val="3"/>
        <charset val="128"/>
      </rPr>
      <t>2</t>
    </r>
    <r>
      <rPr>
        <sz val="10"/>
        <rFont val="ＭＳ Ｐゴシック"/>
        <family val="3"/>
        <charset val="128"/>
      </rPr>
      <t>）各自治体の選別残渣の発生率の容リプラ（</t>
    </r>
    <r>
      <rPr>
        <sz val="10"/>
        <rFont val="Arial"/>
        <family val="3"/>
        <charset val="128"/>
      </rPr>
      <t>P.5</t>
    </r>
    <r>
      <rPr>
        <sz val="10"/>
        <rFont val="ＭＳ Ｐゴシック"/>
        <family val="3"/>
        <charset val="128"/>
      </rPr>
      <t>）」の平均値</t>
    </r>
    <r>
      <rPr>
        <sz val="10"/>
        <rFont val="Arial"/>
        <family val="3"/>
        <charset val="128"/>
      </rPr>
      <t xml:space="preserve">
</t>
    </r>
    <r>
      <rPr>
        <sz val="10"/>
        <rFont val="ＭＳ Ｐゴシック"/>
        <family val="3"/>
        <charset val="128"/>
      </rPr>
      <t>（</t>
    </r>
    <r>
      <rPr>
        <sz val="10"/>
        <rFont val="Arial"/>
        <family val="3"/>
        <charset val="128"/>
      </rPr>
      <t>https://www.maff.go.jp/j/study/shokuhin-youki/pdf/05siryo_06.pdf</t>
    </r>
    <r>
      <rPr>
        <sz val="10"/>
        <rFont val="ＭＳ Ｐゴシック"/>
        <family val="3"/>
        <charset val="128"/>
      </rPr>
      <t>）</t>
    </r>
    <phoneticPr fontId="2"/>
  </si>
  <si>
    <t>新規製造・再生処理</t>
  </si>
  <si>
    <r>
      <rPr>
        <sz val="10"/>
        <color theme="1"/>
        <rFont val="ＭＳ ゴシック"/>
        <family val="3"/>
        <charset val="128"/>
      </rPr>
      <t>現行の再商品化工程の残渣率</t>
    </r>
    <rPh sb="0" eb="2">
      <t>ゲンコウ</t>
    </rPh>
    <rPh sb="3" eb="7">
      <t>サイショウヒンカ</t>
    </rPh>
    <rPh sb="7" eb="9">
      <t>コウテイ</t>
    </rPh>
    <rPh sb="10" eb="13">
      <t>ザンサリツ</t>
    </rPh>
    <phoneticPr fontId="5"/>
  </si>
  <si>
    <r>
      <rPr>
        <sz val="10"/>
        <color theme="1"/>
        <rFont val="ＭＳ Ｐゴシック"/>
        <family val="2"/>
        <charset val="128"/>
      </rPr>
      <t>ケミカルリサイクルの場合は</t>
    </r>
    <r>
      <rPr>
        <sz val="10"/>
        <color theme="1"/>
        <rFont val="Arial"/>
        <family val="2"/>
      </rPr>
      <t>0</t>
    </r>
    <r>
      <rPr>
        <sz val="10"/>
        <color theme="1"/>
        <rFont val="ＭＳ Ｐゴシック"/>
        <family val="2"/>
        <charset val="128"/>
      </rPr>
      <t>を</t>
    </r>
    <r>
      <rPr>
        <sz val="10"/>
        <color theme="1"/>
        <rFont val="Arial"/>
        <family val="2"/>
      </rPr>
      <t>I9</t>
    </r>
    <r>
      <rPr>
        <sz val="10"/>
        <color theme="1"/>
        <rFont val="ＭＳ Ｐゴシック"/>
        <family val="2"/>
        <charset val="128"/>
      </rPr>
      <t>セルに入力</t>
    </r>
    <rPh sb="10" eb="12">
      <t>バアイ</t>
    </rPh>
    <rPh sb="19" eb="21">
      <t>ニュウリョク</t>
    </rPh>
    <phoneticPr fontId="2"/>
  </si>
  <si>
    <r>
      <rPr>
        <sz val="10"/>
        <color theme="1"/>
        <rFont val="ＭＳ Ｐゴシック"/>
        <family val="2"/>
        <charset val="128"/>
      </rPr>
      <t>（公財）日本容器包装リサイクル協会「令和</t>
    </r>
    <r>
      <rPr>
        <sz val="10"/>
        <color theme="1"/>
        <rFont val="Arial"/>
        <family val="2"/>
      </rPr>
      <t>6</t>
    </r>
    <r>
      <rPr>
        <sz val="10"/>
        <color theme="1"/>
        <rFont val="ＭＳ Ｐゴシック"/>
        <family val="2"/>
        <charset val="128"/>
      </rPr>
      <t>年度プラスチック製容器包装再生処理ガイドライン（参考資料</t>
    </r>
    <r>
      <rPr>
        <sz val="10"/>
        <color theme="1"/>
        <rFont val="Arial"/>
        <family val="2"/>
      </rPr>
      <t>1</t>
    </r>
    <r>
      <rPr>
        <sz val="10"/>
        <color theme="1"/>
        <rFont val="Yu Gothic"/>
        <family val="2"/>
        <charset val="128"/>
      </rPr>
      <t>）</t>
    </r>
    <r>
      <rPr>
        <sz val="10"/>
        <color theme="1"/>
        <rFont val="ＭＳ Ｐゴシック"/>
        <family val="2"/>
        <charset val="128"/>
      </rPr>
      <t>再生処理手法ごとの施設の収率の算出式及び基準値（一覧）（</t>
    </r>
    <r>
      <rPr>
        <sz val="10"/>
        <color theme="1"/>
        <rFont val="Arial"/>
        <family val="2"/>
      </rPr>
      <t>https://reinscp.jcpra.or.jp/REINS-cp/R_Info/2023/pdf/R6_touroku42_002_05.pdf</t>
    </r>
    <r>
      <rPr>
        <sz val="10"/>
        <color theme="1"/>
        <rFont val="ＭＳ Ｐゴシック"/>
        <family val="2"/>
        <charset val="128"/>
      </rPr>
      <t>）を基に（</t>
    </r>
    <r>
      <rPr>
        <sz val="10"/>
        <color theme="1"/>
        <rFont val="Arial"/>
        <family val="2"/>
      </rPr>
      <t>1-</t>
    </r>
    <r>
      <rPr>
        <sz val="10"/>
        <color theme="1"/>
        <rFont val="ＭＳ Ｐゴシック"/>
        <family val="2"/>
        <charset val="128"/>
      </rPr>
      <t>収率）にて算定</t>
    </r>
    <r>
      <rPr>
        <sz val="10"/>
        <color theme="1"/>
        <rFont val="Yu Gothic"/>
        <family val="2"/>
        <charset val="128"/>
      </rPr>
      <t>（プラスチック原材料等の収率の値を記載）</t>
    </r>
    <rPh sb="158" eb="159">
      <t>モト</t>
    </rPh>
    <rPh sb="163" eb="165">
      <t>シュウリツ</t>
    </rPh>
    <phoneticPr fontId="2"/>
  </si>
  <si>
    <t>焼却・埋立</t>
    <rPh sb="0" eb="2">
      <t>ショウキャク</t>
    </rPh>
    <rPh sb="3" eb="5">
      <t>ウメタテ</t>
    </rPh>
    <phoneticPr fontId="2"/>
  </si>
  <si>
    <t>共通</t>
    <rPh sb="0" eb="2">
      <t>キョウツウ</t>
    </rPh>
    <phoneticPr fontId="2"/>
  </si>
  <si>
    <r>
      <rPr>
        <sz val="10"/>
        <rFont val="ＭＳ ゴシック"/>
        <family val="3"/>
        <charset val="128"/>
      </rPr>
      <t>焼却残渣率</t>
    </r>
    <rPh sb="0" eb="2">
      <t>ショウキャク</t>
    </rPh>
    <rPh sb="2" eb="5">
      <t>ザンサリツ</t>
    </rPh>
    <phoneticPr fontId="5"/>
  </si>
  <si>
    <r>
      <rPr>
        <sz val="10"/>
        <color theme="1"/>
        <rFont val="ＭＳ Ｐゴシック"/>
        <family val="3"/>
        <charset val="128"/>
      </rPr>
      <t>海洋プラスチック問題対応協議会</t>
    </r>
    <r>
      <rPr>
        <sz val="10"/>
        <color theme="1"/>
        <rFont val="Arial"/>
        <family val="3"/>
        <charset val="128"/>
      </rPr>
      <t xml:space="preserve"> </t>
    </r>
    <r>
      <rPr>
        <sz val="10"/>
        <color theme="1"/>
        <rFont val="ＭＳ Ｐゴシック"/>
        <family val="3"/>
        <charset val="128"/>
      </rPr>
      <t>「プラスチック製容器包装再商品化手法およびエネルギーリカバリーの環境負荷評価（</t>
    </r>
    <r>
      <rPr>
        <sz val="10"/>
        <color theme="1"/>
        <rFont val="Arial"/>
        <family val="3"/>
        <charset val="128"/>
      </rPr>
      <t>LCA</t>
    </r>
    <r>
      <rPr>
        <sz val="10"/>
        <color theme="1"/>
        <rFont val="ＭＳ Ｐゴシック"/>
        <family val="3"/>
        <charset val="128"/>
      </rPr>
      <t>）」（</t>
    </r>
    <r>
      <rPr>
        <sz val="10"/>
        <color theme="1"/>
        <rFont val="Arial"/>
        <family val="3"/>
        <charset val="128"/>
      </rPr>
      <t>https://www.nikkakyo.org/system/files/JaIME%20LCA%20report_0.pdf</t>
    </r>
    <r>
      <rPr>
        <sz val="10"/>
        <color theme="1"/>
        <rFont val="ＭＳ Ｐゴシック"/>
        <family val="3"/>
        <charset val="128"/>
      </rPr>
      <t>）</t>
    </r>
    <phoneticPr fontId="2"/>
  </si>
  <si>
    <t>移行後</t>
    <rPh sb="0" eb="3">
      <t>イコウゴ</t>
    </rPh>
    <phoneticPr fontId="2"/>
  </si>
  <si>
    <t>年間の一括回収プラスチック収集量</t>
    <rPh sb="0" eb="2">
      <t>ネンカン</t>
    </rPh>
    <rPh sb="3" eb="5">
      <t>イッカツ</t>
    </rPh>
    <rPh sb="5" eb="7">
      <t>カイシュウ</t>
    </rPh>
    <rPh sb="13" eb="16">
      <t>シュウシュウリョウ</t>
    </rPh>
    <phoneticPr fontId="2"/>
  </si>
  <si>
    <r>
      <t>t/</t>
    </r>
    <r>
      <rPr>
        <sz val="10"/>
        <rFont val="ＭＳ Ｐゴシック"/>
        <family val="2"/>
        <charset val="128"/>
      </rPr>
      <t>年</t>
    </r>
    <rPh sb="2" eb="3">
      <t>ネン</t>
    </rPh>
    <phoneticPr fontId="2"/>
  </si>
  <si>
    <t>仮定値算定シート</t>
    <rPh sb="0" eb="2">
      <t>カテイ</t>
    </rPh>
    <rPh sb="2" eb="3">
      <t>アタイ</t>
    </rPh>
    <rPh sb="3" eb="5">
      <t>サンテイ</t>
    </rPh>
    <phoneticPr fontId="2"/>
  </si>
  <si>
    <t>一括回収プラ中の容器包装重量比率</t>
    <rPh sb="0" eb="2">
      <t>イッカツ</t>
    </rPh>
    <rPh sb="2" eb="4">
      <t>カイシュウ</t>
    </rPh>
    <rPh sb="6" eb="7">
      <t>ナカ</t>
    </rPh>
    <rPh sb="8" eb="12">
      <t>ヨウキホウソウ</t>
    </rPh>
    <rPh sb="14" eb="16">
      <t>ヒリツ</t>
    </rPh>
    <phoneticPr fontId="5"/>
  </si>
  <si>
    <t>環境省「プラスチック資源循環に関する一括回収等への移行に向けた市区町村向け手引き」（https://www.env.go.jp/content/000227719.pdf）の組成調査結果を基に各自治体の値を設定</t>
    <rPh sb="0" eb="3">
      <t>カンキョウショウ</t>
    </rPh>
    <rPh sb="87" eb="91">
      <t>ソセイチョウサ</t>
    </rPh>
    <rPh sb="91" eb="93">
      <t>ケッカ</t>
    </rPh>
    <rPh sb="94" eb="95">
      <t>モト</t>
    </rPh>
    <rPh sb="96" eb="100">
      <t>カクジチタイ</t>
    </rPh>
    <rPh sb="101" eb="102">
      <t>アタイ</t>
    </rPh>
    <rPh sb="103" eb="105">
      <t>セッテイ</t>
    </rPh>
    <phoneticPr fontId="2"/>
  </si>
  <si>
    <t>一括回収プラ中製品重量比率</t>
    <rPh sb="0" eb="2">
      <t>イッカツ</t>
    </rPh>
    <rPh sb="2" eb="4">
      <t>カイシュウ</t>
    </rPh>
    <rPh sb="6" eb="7">
      <t>ナカ</t>
    </rPh>
    <rPh sb="7" eb="9">
      <t>セイヒン</t>
    </rPh>
    <rPh sb="11" eb="13">
      <t>ヒリツ</t>
    </rPh>
    <phoneticPr fontId="5"/>
  </si>
  <si>
    <t>一括回収実施後の容器包装プラ選別・ベール化工程の残渣率</t>
    <rPh sb="0" eb="2">
      <t>イッカツ</t>
    </rPh>
    <rPh sb="2" eb="6">
      <t>カイシュウジッシ</t>
    </rPh>
    <rPh sb="6" eb="7">
      <t>アト</t>
    </rPh>
    <rPh sb="8" eb="12">
      <t>ヨウキホウソウ</t>
    </rPh>
    <phoneticPr fontId="5"/>
  </si>
  <si>
    <t>一括回収実施後の製品選別・ベール化工程の残渣率</t>
    <rPh sb="0" eb="2">
      <t>イッカツ</t>
    </rPh>
    <rPh sb="2" eb="6">
      <t>カイシュウジッシ</t>
    </rPh>
    <rPh sb="6" eb="7">
      <t>アト</t>
    </rPh>
    <rPh sb="8" eb="10">
      <t>セイヒン</t>
    </rPh>
    <phoneticPr fontId="5"/>
  </si>
  <si>
    <t>一括回収実施後の再商品化工程の残渣率</t>
    <rPh sb="0" eb="2">
      <t>イッカツ</t>
    </rPh>
    <rPh sb="2" eb="4">
      <t>カイシュウ</t>
    </rPh>
    <rPh sb="4" eb="7">
      <t>ジッシゴ</t>
    </rPh>
    <rPh sb="8" eb="12">
      <t>サイショウヒンカ</t>
    </rPh>
    <rPh sb="12" eb="14">
      <t>コウテイ</t>
    </rPh>
    <rPh sb="15" eb="18">
      <t>ザンサリツ</t>
    </rPh>
    <phoneticPr fontId="5"/>
  </si>
  <si>
    <r>
      <rPr>
        <sz val="10"/>
        <color theme="1"/>
        <rFont val="ＭＳ Ｐゴシック"/>
        <family val="2"/>
        <charset val="128"/>
      </rPr>
      <t>ケミカルリサイクルの場合は</t>
    </r>
    <r>
      <rPr>
        <sz val="10"/>
        <color theme="1"/>
        <rFont val="Arial"/>
        <family val="2"/>
      </rPr>
      <t>0</t>
    </r>
    <r>
      <rPr>
        <sz val="10"/>
        <color theme="1"/>
        <rFont val="ＭＳ Ｐゴシック"/>
        <family val="2"/>
        <charset val="128"/>
      </rPr>
      <t>を</t>
    </r>
    <r>
      <rPr>
        <sz val="10"/>
        <color theme="1"/>
        <rFont val="Arial"/>
        <family val="2"/>
      </rPr>
      <t>I16</t>
    </r>
    <r>
      <rPr>
        <sz val="10"/>
        <color theme="1"/>
        <rFont val="ＭＳ Ｐゴシック"/>
        <family val="2"/>
        <charset val="128"/>
      </rPr>
      <t>セルに入力</t>
    </r>
    <rPh sb="10" eb="12">
      <t>バアイ</t>
    </rPh>
    <rPh sb="20" eb="22">
      <t>ニュウリョク</t>
    </rPh>
    <phoneticPr fontId="2"/>
  </si>
  <si>
    <r>
      <rPr>
        <sz val="10"/>
        <color theme="1"/>
        <rFont val="ＭＳ Ｐゴシック"/>
        <family val="2"/>
        <charset val="128"/>
      </rPr>
      <t>（公財）日本容器包装リサイクル協会「令和</t>
    </r>
    <r>
      <rPr>
        <sz val="10"/>
        <color theme="1"/>
        <rFont val="Arial"/>
        <family val="2"/>
      </rPr>
      <t>6</t>
    </r>
    <r>
      <rPr>
        <sz val="10"/>
        <color theme="1"/>
        <rFont val="ＭＳ Ｐゴシック"/>
        <family val="2"/>
        <charset val="128"/>
      </rPr>
      <t>年度分別収集物再生処理ガイドライン（参考資料</t>
    </r>
    <r>
      <rPr>
        <sz val="10"/>
        <color theme="1"/>
        <rFont val="Arial"/>
        <family val="2"/>
      </rPr>
      <t>1</t>
    </r>
    <r>
      <rPr>
        <sz val="10"/>
        <color theme="1"/>
        <rFont val="Yu Gothic"/>
        <family val="2"/>
        <charset val="128"/>
      </rPr>
      <t>）</t>
    </r>
    <r>
      <rPr>
        <sz val="10"/>
        <color theme="1"/>
        <rFont val="ＭＳ Ｐゴシック"/>
        <family val="2"/>
        <charset val="128"/>
      </rPr>
      <t>再生処理手法ごとの施設の収率の算出式及び基準値（一覧）（</t>
    </r>
    <r>
      <rPr>
        <sz val="10"/>
        <color theme="1"/>
        <rFont val="Arial"/>
        <family val="2"/>
      </rPr>
      <t>https://reinscp.jcpra.or.jp/REINS-cp/R_Info/2023/pdf/R6_touroku42_002_06.pdf</t>
    </r>
    <r>
      <rPr>
        <sz val="10"/>
        <color theme="1"/>
        <rFont val="ＭＳ Ｐゴシック"/>
        <family val="2"/>
        <charset val="128"/>
      </rPr>
      <t>）を基に（</t>
    </r>
    <r>
      <rPr>
        <sz val="10"/>
        <color theme="1"/>
        <rFont val="Arial"/>
        <family val="2"/>
      </rPr>
      <t>1-</t>
    </r>
    <r>
      <rPr>
        <sz val="10"/>
        <color theme="1"/>
        <rFont val="ＭＳ Ｐゴシック"/>
        <family val="2"/>
        <charset val="128"/>
      </rPr>
      <t>収率）にて算定</t>
    </r>
    <r>
      <rPr>
        <sz val="10"/>
        <color theme="1"/>
        <rFont val="Yu Gothic"/>
        <family val="2"/>
        <charset val="128"/>
      </rPr>
      <t>（プラスチック原材料等の収率の値を記載）</t>
    </r>
    <rPh sb="23" eb="28">
      <t>ブンベツシュウシュウブツ</t>
    </rPh>
    <rPh sb="28" eb="30">
      <t>サイセイ</t>
    </rPh>
    <rPh sb="30" eb="32">
      <t>ショリ</t>
    </rPh>
    <rPh sb="152" eb="153">
      <t>モト</t>
    </rPh>
    <rPh sb="157" eb="159">
      <t>シュウリツ</t>
    </rPh>
    <rPh sb="162" eb="164">
      <t>サンテイ</t>
    </rPh>
    <phoneticPr fontId="2"/>
  </si>
  <si>
    <r>
      <rPr>
        <sz val="10"/>
        <rFont val="ＭＳ ゴシック"/>
        <family val="3"/>
        <charset val="128"/>
      </rPr>
      <t>可燃ごみ収集に係る年間総走行距離</t>
    </r>
    <rPh sb="0" eb="2">
      <t>カネン</t>
    </rPh>
    <rPh sb="4" eb="6">
      <t>シュウシュウ</t>
    </rPh>
    <rPh sb="7" eb="8">
      <t>カカワ</t>
    </rPh>
    <rPh sb="9" eb="11">
      <t>ネンカン</t>
    </rPh>
    <rPh sb="11" eb="12">
      <t>ソウ</t>
    </rPh>
    <rPh sb="12" eb="14">
      <t>ソウコウ</t>
    </rPh>
    <rPh sb="14" eb="16">
      <t>キョリ</t>
    </rPh>
    <phoneticPr fontId="5"/>
  </si>
  <si>
    <r>
      <t>km/</t>
    </r>
    <r>
      <rPr>
        <sz val="10"/>
        <rFont val="ＭＳ ゴシック"/>
        <family val="3"/>
        <charset val="128"/>
      </rPr>
      <t>年</t>
    </r>
    <rPh sb="3" eb="4">
      <t>ネン</t>
    </rPh>
    <phoneticPr fontId="5"/>
  </si>
  <si>
    <t>各自治体での実績値・想定値。紙類等を含む全ての可燃ごみを想定。</t>
    <rPh sb="0" eb="1">
      <t>カク</t>
    </rPh>
    <rPh sb="1" eb="4">
      <t>ジチタイ</t>
    </rPh>
    <rPh sb="14" eb="17">
      <t>カミルイトウ</t>
    </rPh>
    <rPh sb="18" eb="19">
      <t>フク</t>
    </rPh>
    <rPh sb="20" eb="21">
      <t>スベ</t>
    </rPh>
    <rPh sb="23" eb="25">
      <t>カネン</t>
    </rPh>
    <rPh sb="28" eb="30">
      <t>ソウテイ</t>
    </rPh>
    <phoneticPr fontId="2"/>
  </si>
  <si>
    <t>容器包装プラ収集に係る年間総走行距離</t>
    <rPh sb="0" eb="2">
      <t>ヨウキ</t>
    </rPh>
    <rPh sb="2" eb="4">
      <t>ホウソウ</t>
    </rPh>
    <rPh sb="6" eb="8">
      <t>シュウシュウ</t>
    </rPh>
    <rPh sb="9" eb="10">
      <t>カカワ</t>
    </rPh>
    <rPh sb="11" eb="13">
      <t>ネンカン</t>
    </rPh>
    <rPh sb="13" eb="14">
      <t>ソウ</t>
    </rPh>
    <rPh sb="14" eb="16">
      <t>ソウコウ</t>
    </rPh>
    <rPh sb="16" eb="18">
      <t>キョリ</t>
    </rPh>
    <phoneticPr fontId="5"/>
  </si>
  <si>
    <r>
      <t>km/</t>
    </r>
    <r>
      <rPr>
        <sz val="10"/>
        <color theme="1"/>
        <rFont val="ＭＳ ゴシック"/>
        <family val="3"/>
        <charset val="128"/>
      </rPr>
      <t>年</t>
    </r>
    <rPh sb="3" eb="4">
      <t>ネン</t>
    </rPh>
    <phoneticPr fontId="5"/>
  </si>
  <si>
    <t>各自治体での実績値・想定値</t>
    <rPh sb="0" eb="1">
      <t>カク</t>
    </rPh>
    <rPh sb="1" eb="4">
      <t>ジチタイ</t>
    </rPh>
    <rPh sb="6" eb="8">
      <t>ジッセキ</t>
    </rPh>
    <rPh sb="8" eb="9">
      <t>アタイ</t>
    </rPh>
    <phoneticPr fontId="2"/>
  </si>
  <si>
    <r>
      <rPr>
        <sz val="10"/>
        <rFont val="ＭＳ ゴシック"/>
        <family val="3"/>
        <charset val="128"/>
      </rPr>
      <t>移行後の可燃ごみ収集に係る年間走行距離</t>
    </r>
    <rPh sb="0" eb="3">
      <t>イコウゴ</t>
    </rPh>
    <rPh sb="4" eb="6">
      <t>カネン</t>
    </rPh>
    <rPh sb="8" eb="10">
      <t>シュウシュウ</t>
    </rPh>
    <rPh sb="11" eb="12">
      <t>カカワ</t>
    </rPh>
    <rPh sb="13" eb="15">
      <t>ネンカン</t>
    </rPh>
    <rPh sb="15" eb="19">
      <t>ソウコウキョリ</t>
    </rPh>
    <phoneticPr fontId="5"/>
  </si>
  <si>
    <t>各自治体での実績値・想定値。紙類等を含む全ての可燃ごみを想定。現行と変わらない場合は同値</t>
    <rPh sb="0" eb="1">
      <t>カク</t>
    </rPh>
    <rPh sb="1" eb="4">
      <t>ジチタイ</t>
    </rPh>
    <rPh sb="31" eb="33">
      <t>ゲンコウ</t>
    </rPh>
    <rPh sb="34" eb="35">
      <t>カ</t>
    </rPh>
    <rPh sb="39" eb="41">
      <t>バアイ</t>
    </rPh>
    <rPh sb="42" eb="43">
      <t>オナ</t>
    </rPh>
    <rPh sb="43" eb="44">
      <t>アタイ</t>
    </rPh>
    <phoneticPr fontId="2"/>
  </si>
  <si>
    <r>
      <rPr>
        <sz val="10"/>
        <rFont val="ＭＳ ゴシック"/>
        <family val="3"/>
        <charset val="128"/>
      </rPr>
      <t>移行後の一括回収プラ収集に係る年間走行距離</t>
    </r>
    <rPh sb="0" eb="3">
      <t>イコウゴ</t>
    </rPh>
    <rPh sb="4" eb="6">
      <t>イッカツ</t>
    </rPh>
    <rPh sb="6" eb="8">
      <t>カイシュウ</t>
    </rPh>
    <rPh sb="10" eb="12">
      <t>シュウシュウ</t>
    </rPh>
    <rPh sb="13" eb="14">
      <t>カカワ</t>
    </rPh>
    <rPh sb="15" eb="17">
      <t>ネンカン</t>
    </rPh>
    <rPh sb="17" eb="21">
      <t>ソウコウキョリ</t>
    </rPh>
    <phoneticPr fontId="5"/>
  </si>
  <si>
    <t>各自治体での実績値・実績値・想定値。現行と変わらない場合は同値</t>
    <rPh sb="0" eb="1">
      <t>カク</t>
    </rPh>
    <rPh sb="1" eb="4">
      <t>ジチタイ</t>
    </rPh>
    <rPh sb="6" eb="8">
      <t>ジッセキ</t>
    </rPh>
    <rPh sb="8" eb="9">
      <t>アタイ</t>
    </rPh>
    <rPh sb="18" eb="20">
      <t>ゲンコウ</t>
    </rPh>
    <rPh sb="21" eb="22">
      <t>カ</t>
    </rPh>
    <rPh sb="26" eb="28">
      <t>バアイ</t>
    </rPh>
    <rPh sb="29" eb="31">
      <t>ドウチ</t>
    </rPh>
    <phoneticPr fontId="2"/>
  </si>
  <si>
    <t>収集車両の燃費</t>
    <rPh sb="0" eb="2">
      <t>シュウシュウ</t>
    </rPh>
    <rPh sb="2" eb="4">
      <t>シャリョウ</t>
    </rPh>
    <rPh sb="5" eb="7">
      <t>ネンピ</t>
    </rPh>
    <phoneticPr fontId="5"/>
  </si>
  <si>
    <t>L/km</t>
    <phoneticPr fontId="5"/>
  </si>
  <si>
    <t>国土交通省「自動車の燃費基準値」トラック等（車両総重量3.5t超の貨物自動車、車両総重量3.5～7.5t、最大積載量1.5～2t）の基準燃費（https://www.mlit.go.jp/jidosha/content/001597663.pdf）</t>
    <phoneticPr fontId="2"/>
  </si>
  <si>
    <r>
      <rPr>
        <sz val="10"/>
        <rFont val="ＭＳ ゴシック"/>
        <family val="3"/>
        <charset val="128"/>
      </rPr>
      <t>軽油の</t>
    </r>
    <r>
      <rPr>
        <sz val="10"/>
        <rFont val="Arial"/>
        <family val="3"/>
      </rPr>
      <t>CO2</t>
    </r>
    <r>
      <rPr>
        <sz val="10"/>
        <rFont val="ＭＳ Ｐゴシック"/>
        <family val="3"/>
        <charset val="128"/>
      </rPr>
      <t>排出原単位</t>
    </r>
    <rPh sb="0" eb="2">
      <t>ケイユ</t>
    </rPh>
    <rPh sb="6" eb="8">
      <t>ハイシュツ</t>
    </rPh>
    <rPh sb="8" eb="9">
      <t>ハラ</t>
    </rPh>
    <rPh sb="9" eb="11">
      <t>タンイ</t>
    </rPh>
    <phoneticPr fontId="5"/>
  </si>
  <si>
    <t>kgCO2/L</t>
    <phoneticPr fontId="5"/>
  </si>
  <si>
    <t>環境省「算定・報告・公表制度における算定方法・排出係数一覧」（https://ghg-santeikohyo.env.go.jp/files/calc/itiran_2023_rev4.pdf）</t>
    <phoneticPr fontId="2"/>
  </si>
  <si>
    <t>現行の選別・ベール化工程における年間消費電力量</t>
    <rPh sb="0" eb="2">
      <t>ゲンコウ</t>
    </rPh>
    <rPh sb="3" eb="5">
      <t>センベツ</t>
    </rPh>
    <rPh sb="9" eb="10">
      <t>カ</t>
    </rPh>
    <rPh sb="10" eb="12">
      <t>コウテイ</t>
    </rPh>
    <rPh sb="16" eb="18">
      <t>ネンカン</t>
    </rPh>
    <rPh sb="18" eb="20">
      <t>ショウヒ</t>
    </rPh>
    <rPh sb="20" eb="23">
      <t>デンリョクリョウ</t>
    </rPh>
    <phoneticPr fontId="5"/>
  </si>
  <si>
    <r>
      <t>kWh/</t>
    </r>
    <r>
      <rPr>
        <sz val="10"/>
        <color theme="1"/>
        <rFont val="ＭＳ Ｐゴシック"/>
        <family val="2"/>
        <charset val="128"/>
      </rPr>
      <t>年</t>
    </r>
    <rPh sb="4" eb="5">
      <t>ネン</t>
    </rPh>
    <phoneticPr fontId="5"/>
  </si>
  <si>
    <t>移行後の選別・ベール化工程における年間消費電力量</t>
    <rPh sb="0" eb="3">
      <t>イコウゴ</t>
    </rPh>
    <rPh sb="4" eb="6">
      <t>センベツ</t>
    </rPh>
    <rPh sb="10" eb="11">
      <t>カ</t>
    </rPh>
    <rPh sb="11" eb="13">
      <t>コウテイ</t>
    </rPh>
    <rPh sb="17" eb="19">
      <t>ネンカン</t>
    </rPh>
    <rPh sb="19" eb="21">
      <t>ショウヒ</t>
    </rPh>
    <rPh sb="21" eb="24">
      <t>デンリョクリョウ</t>
    </rPh>
    <phoneticPr fontId="5"/>
  </si>
  <si>
    <r>
      <rPr>
        <sz val="10"/>
        <color theme="1"/>
        <rFont val="ＭＳ ゴシック"/>
        <family val="2"/>
        <charset val="128"/>
      </rPr>
      <t>消費電力量あたりの</t>
    </r>
    <r>
      <rPr>
        <sz val="10"/>
        <color theme="1"/>
        <rFont val="Arial"/>
        <family val="2"/>
      </rPr>
      <t>CO2</t>
    </r>
    <r>
      <rPr>
        <sz val="10"/>
        <color theme="1"/>
        <rFont val="ＭＳ ゴシック"/>
        <family val="2"/>
        <charset val="128"/>
      </rPr>
      <t>排出原単位</t>
    </r>
    <rPh sb="4" eb="5">
      <t>リョウ</t>
    </rPh>
    <phoneticPr fontId="5"/>
  </si>
  <si>
    <t>tCO2/kWh</t>
    <phoneticPr fontId="5"/>
  </si>
  <si>
    <r>
      <rPr>
        <sz val="10"/>
        <rFont val="ＭＳ ゴシック"/>
        <family val="2"/>
        <charset val="128"/>
      </rPr>
      <t>環境省「電気事業者別排出係数（特定排出者の温室効果ガス排出量算定用）－</t>
    </r>
    <r>
      <rPr>
        <sz val="10"/>
        <rFont val="Arial"/>
        <family val="2"/>
      </rPr>
      <t>R4</t>
    </r>
    <r>
      <rPr>
        <sz val="10"/>
        <rFont val="Yu Gothic"/>
        <family val="2"/>
        <charset val="128"/>
      </rPr>
      <t>年度実績－</t>
    </r>
    <r>
      <rPr>
        <sz val="10"/>
        <rFont val="Arial"/>
        <family val="2"/>
      </rPr>
      <t xml:space="preserve">R5.12.22 </t>
    </r>
    <r>
      <rPr>
        <sz val="10"/>
        <rFont val="Yu Gothic"/>
        <family val="2"/>
        <charset val="128"/>
      </rPr>
      <t>環境省・経済産業省公表、</t>
    </r>
    <r>
      <rPr>
        <sz val="10"/>
        <rFont val="Arial"/>
        <family val="2"/>
      </rPr>
      <t>R6.7.19</t>
    </r>
    <r>
      <rPr>
        <sz val="10"/>
        <rFont val="Yu Gothic"/>
        <family val="2"/>
        <charset val="128"/>
      </rPr>
      <t>一部追加・更新</t>
    </r>
    <r>
      <rPr>
        <sz val="10"/>
        <rFont val="ＭＳ ゴシック"/>
        <family val="2"/>
        <charset val="128"/>
      </rPr>
      <t>」の代替値より（</t>
    </r>
    <r>
      <rPr>
        <sz val="10"/>
        <rFont val="Arial"/>
        <family val="2"/>
      </rPr>
      <t>https://ghg-santeikohyo.env.go.jp/files/calc/r06_denki_coefficient_rev10.pdf</t>
    </r>
    <r>
      <rPr>
        <sz val="10"/>
        <rFont val="ＭＳ ゴシック"/>
        <family val="2"/>
        <charset val="128"/>
      </rPr>
      <t>）</t>
    </r>
    <rPh sb="15" eb="17">
      <t>トクテイ</t>
    </rPh>
    <rPh sb="17" eb="20">
      <t>ハイシュツシャ</t>
    </rPh>
    <rPh sb="21" eb="23">
      <t>オンシツ</t>
    </rPh>
    <rPh sb="23" eb="25">
      <t>コウカ</t>
    </rPh>
    <rPh sb="27" eb="30">
      <t>ハイシュツリョウ</t>
    </rPh>
    <rPh sb="30" eb="33">
      <t>サンテイヨウ</t>
    </rPh>
    <rPh sb="37" eb="39">
      <t>ネンド</t>
    </rPh>
    <rPh sb="39" eb="41">
      <t>ジッセキ</t>
    </rPh>
    <rPh sb="51" eb="54">
      <t>カンキョウショウ</t>
    </rPh>
    <rPh sb="55" eb="60">
      <t>ケイザイサンギョウショウ</t>
    </rPh>
    <rPh sb="60" eb="62">
      <t>コウヒョウ</t>
    </rPh>
    <rPh sb="70" eb="72">
      <t>イチブ</t>
    </rPh>
    <rPh sb="72" eb="74">
      <t>ツイカ</t>
    </rPh>
    <rPh sb="75" eb="77">
      <t>コウシン</t>
    </rPh>
    <phoneticPr fontId="2"/>
  </si>
  <si>
    <r>
      <rPr>
        <sz val="10"/>
        <rFont val="ＭＳ ゴシック"/>
        <family val="3"/>
        <charset val="128"/>
      </rPr>
      <t>輸送</t>
    </r>
    <r>
      <rPr>
        <sz val="10"/>
        <rFont val="Arial"/>
        <family val="2"/>
      </rPr>
      <t>1</t>
    </r>
    <phoneticPr fontId="2"/>
  </si>
  <si>
    <t>1回あたりの輸送量</t>
    <rPh sb="1" eb="2">
      <t>カイ</t>
    </rPh>
    <rPh sb="6" eb="8">
      <t>ユソウ</t>
    </rPh>
    <rPh sb="8" eb="9">
      <t>リョウ</t>
    </rPh>
    <phoneticPr fontId="2"/>
  </si>
  <si>
    <r>
      <t>t/</t>
    </r>
    <r>
      <rPr>
        <sz val="10"/>
        <color theme="1"/>
        <rFont val="ＭＳ Ｐゴシック"/>
        <family val="2"/>
        <charset val="128"/>
      </rPr>
      <t>回</t>
    </r>
    <rPh sb="2" eb="3">
      <t>カイ</t>
    </rPh>
    <phoneticPr fontId="5"/>
  </si>
  <si>
    <r>
      <rPr>
        <sz val="10"/>
        <rFont val="ＭＳ ゴシック"/>
        <family val="3"/>
        <charset val="128"/>
      </rPr>
      <t>ベール化の場合は、日本容器包装リサイクル協会（</t>
    </r>
    <r>
      <rPr>
        <sz val="10"/>
        <rFont val="Arial"/>
        <family val="2"/>
      </rPr>
      <t>2023</t>
    </r>
    <r>
      <rPr>
        <sz val="10"/>
        <rFont val="ＭＳ ゴシック"/>
        <family val="3"/>
        <charset val="128"/>
      </rPr>
      <t>）『「分別基準適合物の引き取り及び再商品化」の概要（令和5年度版）</t>
    </r>
    <r>
      <rPr>
        <sz val="10"/>
        <rFont val="Arial"/>
        <family val="2"/>
      </rPr>
      <t xml:space="preserve"> </t>
    </r>
    <r>
      <rPr>
        <sz val="10"/>
        <rFont val="ＭＳ ゴシック"/>
        <family val="3"/>
        <charset val="128"/>
      </rPr>
      <t>』（</t>
    </r>
    <r>
      <rPr>
        <sz val="10"/>
        <rFont val="Arial"/>
        <family val="3"/>
      </rPr>
      <t>https://reinscp.jcpra.or.jp/REINS-cp/R_Info/2022/pdf/setumei_pet_16.pdf</t>
    </r>
    <r>
      <rPr>
        <sz val="10"/>
        <rFont val="Yu Gothic"/>
        <family val="3"/>
        <charset val="128"/>
      </rPr>
      <t>）</t>
    </r>
    <r>
      <rPr>
        <sz val="10"/>
        <rFont val="ＭＳ ゴシック"/>
        <family val="3"/>
        <charset val="128"/>
      </rPr>
      <t>）</t>
    </r>
    <phoneticPr fontId="2"/>
  </si>
  <si>
    <t>現行の1回あたりの走行距離（中間処理施設→再商品化事業者）</t>
    <rPh sb="0" eb="2">
      <t>ゲンコウ</t>
    </rPh>
    <rPh sb="4" eb="5">
      <t>カイ</t>
    </rPh>
    <rPh sb="9" eb="13">
      <t>ソウコウキョリ</t>
    </rPh>
    <rPh sb="14" eb="16">
      <t>チュウカン</t>
    </rPh>
    <rPh sb="16" eb="18">
      <t>ショリ</t>
    </rPh>
    <rPh sb="18" eb="20">
      <t>シセツ</t>
    </rPh>
    <rPh sb="21" eb="25">
      <t>サイショウヒンカ</t>
    </rPh>
    <rPh sb="25" eb="28">
      <t>ジギョウシャ</t>
    </rPh>
    <phoneticPr fontId="2"/>
  </si>
  <si>
    <r>
      <t>km/</t>
    </r>
    <r>
      <rPr>
        <sz val="10"/>
        <rFont val="ＭＳ ゴシック"/>
        <family val="3"/>
        <charset val="128"/>
      </rPr>
      <t>回</t>
    </r>
    <rPh sb="3" eb="4">
      <t>カイ</t>
    </rPh>
    <phoneticPr fontId="5"/>
  </si>
  <si>
    <t>地図等で確認</t>
    <rPh sb="0" eb="2">
      <t>チズ</t>
    </rPh>
    <rPh sb="2" eb="3">
      <t>トウ</t>
    </rPh>
    <rPh sb="4" eb="6">
      <t>カクニン</t>
    </rPh>
    <phoneticPr fontId="2"/>
  </si>
  <si>
    <t>移行後の1回あたりの走行距離走行距離（中間処理施設→再商品化事業者）</t>
    <rPh sb="0" eb="3">
      <t>イコウゴ</t>
    </rPh>
    <rPh sb="14" eb="18">
      <t>ソウコウキョリ</t>
    </rPh>
    <rPh sb="19" eb="21">
      <t>チュウカン</t>
    </rPh>
    <rPh sb="21" eb="23">
      <t>ショリ</t>
    </rPh>
    <rPh sb="23" eb="25">
      <t>シセツ</t>
    </rPh>
    <rPh sb="26" eb="30">
      <t>サイショウヒンカ</t>
    </rPh>
    <rPh sb="30" eb="33">
      <t>ジギョウシャ</t>
    </rPh>
    <phoneticPr fontId="2"/>
  </si>
  <si>
    <r>
      <rPr>
        <sz val="10"/>
        <rFont val="ＭＳ ゴシック"/>
        <family val="3"/>
        <charset val="128"/>
      </rPr>
      <t>車両の燃費</t>
    </r>
    <rPh sb="3" eb="5">
      <t>ネンピ</t>
    </rPh>
    <phoneticPr fontId="2"/>
  </si>
  <si>
    <t>km/L</t>
    <phoneticPr fontId="2"/>
  </si>
  <si>
    <r>
      <rPr>
        <sz val="10"/>
        <color theme="1"/>
        <rFont val="ＭＳ ゴシック"/>
        <family val="3"/>
        <charset val="128"/>
      </rPr>
      <t>国土交通省「自動車の燃費基準値」トラック等（車両総重量</t>
    </r>
    <r>
      <rPr>
        <sz val="10"/>
        <color theme="1"/>
        <rFont val="Arial"/>
        <family val="2"/>
      </rPr>
      <t>3.5t</t>
    </r>
    <r>
      <rPr>
        <sz val="10"/>
        <color theme="1"/>
        <rFont val="ＭＳ ゴシック"/>
        <family val="3"/>
        <charset val="128"/>
      </rPr>
      <t>超の貨物自動車、車両総重量</t>
    </r>
    <r>
      <rPr>
        <sz val="10"/>
        <color theme="1"/>
        <rFont val="Arial"/>
        <family val="2"/>
      </rPr>
      <t>16</t>
    </r>
    <r>
      <rPr>
        <sz val="10"/>
        <color theme="1"/>
        <rFont val="ＭＳ ゴシック"/>
        <family val="3"/>
        <charset val="128"/>
      </rPr>
      <t>～</t>
    </r>
    <r>
      <rPr>
        <sz val="10"/>
        <color theme="1"/>
        <rFont val="Arial"/>
        <family val="2"/>
      </rPr>
      <t>20t</t>
    </r>
    <r>
      <rPr>
        <sz val="10"/>
        <color theme="1"/>
        <rFont val="ＭＳ ゴシック"/>
        <family val="3"/>
        <charset val="128"/>
      </rPr>
      <t>を想定）の基準燃費（</t>
    </r>
    <r>
      <rPr>
        <sz val="10"/>
        <color theme="1"/>
        <rFont val="Arial"/>
        <family val="2"/>
      </rPr>
      <t>https://www.mlit.go.jp/jidosha/content/001597663.pdf</t>
    </r>
    <r>
      <rPr>
        <sz val="10"/>
        <color theme="1"/>
        <rFont val="ＭＳ ゴシック"/>
        <family val="3"/>
        <charset val="128"/>
      </rPr>
      <t>）</t>
    </r>
    <phoneticPr fontId="2"/>
  </si>
  <si>
    <r>
      <rPr>
        <sz val="10"/>
        <rFont val="ＭＳ ゴシック"/>
        <family val="3"/>
        <charset val="128"/>
      </rPr>
      <t>軽油の</t>
    </r>
    <r>
      <rPr>
        <sz val="10"/>
        <rFont val="Arial"/>
        <family val="2"/>
      </rPr>
      <t>CO2</t>
    </r>
    <r>
      <rPr>
        <sz val="10"/>
        <rFont val="ＭＳ ゴシック"/>
        <family val="3"/>
        <charset val="128"/>
      </rPr>
      <t>排出原単位</t>
    </r>
  </si>
  <si>
    <t>kg-CO2/L</t>
  </si>
  <si>
    <r>
      <rPr>
        <sz val="10"/>
        <color theme="1"/>
        <rFont val="ＭＳ ゴシック"/>
        <family val="3"/>
        <charset val="128"/>
      </rPr>
      <t>環境省「算定・報告・公表制度における算定方法・排出係数一覧」</t>
    </r>
    <r>
      <rPr>
        <sz val="10"/>
        <color theme="1"/>
        <rFont val="Arial"/>
        <family val="2"/>
      </rPr>
      <t>https://ghg-santeikohyo.env.go.jp/files/calc/itiran_2023_rev3.pdf</t>
    </r>
    <rPh sb="0" eb="3">
      <t>カンキョウショウ</t>
    </rPh>
    <phoneticPr fontId="2"/>
  </si>
  <si>
    <r>
      <rPr>
        <sz val="10"/>
        <rFont val="ＭＳ ゴシック"/>
        <family val="3"/>
        <charset val="128"/>
      </rPr>
      <t>輸送</t>
    </r>
    <r>
      <rPr>
        <sz val="10"/>
        <rFont val="Arial"/>
        <family val="3"/>
      </rPr>
      <t>1</t>
    </r>
    <r>
      <rPr>
        <sz val="10"/>
        <rFont val="ＭＳ Ｐゴシック"/>
        <family val="3"/>
        <charset val="128"/>
      </rPr>
      <t>（残渣）</t>
    </r>
    <rPh sb="4" eb="6">
      <t>ザンサ</t>
    </rPh>
    <phoneticPr fontId="2"/>
  </si>
  <si>
    <r>
      <rPr>
        <sz val="10"/>
        <color theme="1"/>
        <rFont val="ＭＳ Ｐゴシック"/>
        <family val="2"/>
        <charset val="128"/>
      </rPr>
      <t>選別残渣輸送における</t>
    </r>
    <r>
      <rPr>
        <sz val="10"/>
        <color theme="1"/>
        <rFont val="Arial"/>
        <family val="2"/>
      </rPr>
      <t>1</t>
    </r>
    <r>
      <rPr>
        <sz val="10"/>
        <color theme="1"/>
        <rFont val="ＭＳ ゴシック"/>
        <family val="3"/>
        <charset val="128"/>
      </rPr>
      <t>回あたりの輸送量</t>
    </r>
    <rPh sb="0" eb="2">
      <t>センベツ</t>
    </rPh>
    <rPh sb="2" eb="4">
      <t>ザンサ</t>
    </rPh>
    <rPh sb="4" eb="6">
      <t>ユソウ</t>
    </rPh>
    <rPh sb="11" eb="12">
      <t>カイ</t>
    </rPh>
    <rPh sb="16" eb="19">
      <t>ユソウリョウ</t>
    </rPh>
    <phoneticPr fontId="5"/>
  </si>
  <si>
    <r>
      <t>t/</t>
    </r>
    <r>
      <rPr>
        <sz val="10"/>
        <rFont val="ＭＳ ゴシック"/>
        <family val="3"/>
        <charset val="128"/>
      </rPr>
      <t>回</t>
    </r>
    <phoneticPr fontId="5"/>
  </si>
  <si>
    <t>各自治体での実績値</t>
    <rPh sb="0" eb="1">
      <t>カク</t>
    </rPh>
    <rPh sb="1" eb="4">
      <t>ジチタイ</t>
    </rPh>
    <rPh sb="6" eb="8">
      <t>ジッセキ</t>
    </rPh>
    <rPh sb="8" eb="9">
      <t>アタイ</t>
    </rPh>
    <phoneticPr fontId="2"/>
  </si>
  <si>
    <r>
      <rPr>
        <sz val="10"/>
        <color theme="1"/>
        <rFont val="ＭＳ Ｐゴシック"/>
        <family val="2"/>
        <charset val="128"/>
      </rPr>
      <t>選別残渣輸送における</t>
    </r>
    <r>
      <rPr>
        <sz val="10"/>
        <color theme="1"/>
        <rFont val="Arial"/>
        <family val="2"/>
      </rPr>
      <t>1</t>
    </r>
    <r>
      <rPr>
        <sz val="10"/>
        <color theme="1"/>
        <rFont val="ＭＳ ゴシック"/>
        <family val="3"/>
        <charset val="128"/>
      </rPr>
      <t>回あたりの輸送距離</t>
    </r>
    <rPh sb="2" eb="4">
      <t>ザンサ</t>
    </rPh>
    <rPh sb="4" eb="6">
      <t>ユソウ</t>
    </rPh>
    <rPh sb="11" eb="12">
      <t>カイ</t>
    </rPh>
    <rPh sb="16" eb="18">
      <t>ユソウ</t>
    </rPh>
    <rPh sb="18" eb="20">
      <t>キョリ</t>
    </rPh>
    <phoneticPr fontId="5"/>
  </si>
  <si>
    <r>
      <t>km/</t>
    </r>
    <r>
      <rPr>
        <sz val="10"/>
        <color theme="1"/>
        <rFont val="ＭＳ Ｐゴシック"/>
        <family val="2"/>
        <charset val="128"/>
      </rPr>
      <t>回</t>
    </r>
    <rPh sb="3" eb="4">
      <t>カイ</t>
    </rPh>
    <phoneticPr fontId="5"/>
  </si>
  <si>
    <t>各自治体での実績値、もしくは想定する仮定値（地図等で確認）</t>
    <rPh sb="0" eb="1">
      <t>カク</t>
    </rPh>
    <rPh sb="1" eb="4">
      <t>ジチタイ</t>
    </rPh>
    <rPh sb="6" eb="8">
      <t>ジッセキ</t>
    </rPh>
    <rPh sb="8" eb="9">
      <t>アタイ</t>
    </rPh>
    <rPh sb="22" eb="25">
      <t>チズトウ</t>
    </rPh>
    <rPh sb="26" eb="28">
      <t>カクニン</t>
    </rPh>
    <phoneticPr fontId="2"/>
  </si>
  <si>
    <t>新規製造・再生処理</t>
    <phoneticPr fontId="2"/>
  </si>
  <si>
    <r>
      <rPr>
        <sz val="10"/>
        <color theme="1"/>
        <rFont val="ＭＳ Ｐゴシック"/>
        <family val="2"/>
        <charset val="128"/>
      </rPr>
      <t>現行の再生処理による</t>
    </r>
    <r>
      <rPr>
        <sz val="10"/>
        <color theme="1"/>
        <rFont val="Arial"/>
        <family val="2"/>
        <charset val="128"/>
      </rPr>
      <t>CO2</t>
    </r>
    <r>
      <rPr>
        <sz val="10"/>
        <color theme="1"/>
        <rFont val="ＭＳ Ｐゴシック"/>
        <family val="2"/>
        <charset val="128"/>
      </rPr>
      <t>排出量原単位</t>
    </r>
    <rPh sb="0" eb="2">
      <t>ゲンコウ</t>
    </rPh>
    <phoneticPr fontId="5"/>
  </si>
  <si>
    <t>tCO2/t</t>
    <phoneticPr fontId="5"/>
  </si>
  <si>
    <r>
      <rPr>
        <sz val="10"/>
        <color theme="1"/>
        <rFont val="ＭＳ Ｐゴシック"/>
        <family val="2"/>
        <charset val="128"/>
      </rPr>
      <t>現行のバージン材</t>
    </r>
    <r>
      <rPr>
        <sz val="10"/>
        <color theme="1"/>
        <rFont val="Arial"/>
        <family val="2"/>
        <charset val="128"/>
      </rPr>
      <t>CO2</t>
    </r>
    <r>
      <rPr>
        <sz val="10"/>
        <color theme="1"/>
        <rFont val="ＭＳ Ｐゴシック"/>
        <family val="2"/>
        <charset val="128"/>
      </rPr>
      <t>排出量原単位</t>
    </r>
    <rPh sb="0" eb="2">
      <t>ゲンコウ</t>
    </rPh>
    <phoneticPr fontId="5"/>
  </si>
  <si>
    <t>削減効果のためマイナスとして入力</t>
    <rPh sb="0" eb="4">
      <t>サクゲンコウカ</t>
    </rPh>
    <rPh sb="14" eb="16">
      <t>ニュウリョク</t>
    </rPh>
    <phoneticPr fontId="2"/>
  </si>
  <si>
    <t>仮定値算定シート、削減効果のためマイナスとして入力</t>
    <rPh sb="0" eb="2">
      <t>カテイ</t>
    </rPh>
    <rPh sb="2" eb="3">
      <t>アタイ</t>
    </rPh>
    <rPh sb="3" eb="5">
      <t>サンテイ</t>
    </rPh>
    <phoneticPr fontId="2"/>
  </si>
  <si>
    <t>現行の代替率</t>
    <rPh sb="0" eb="2">
      <t>ゲンコウ</t>
    </rPh>
    <rPh sb="3" eb="6">
      <t>ダイタイリツ</t>
    </rPh>
    <phoneticPr fontId="5"/>
  </si>
  <si>
    <r>
      <rPr>
        <sz val="10"/>
        <color theme="1"/>
        <rFont val="ＭＳ Ｐゴシック"/>
        <family val="2"/>
        <charset val="128"/>
      </rPr>
      <t>ケミカルリサイクルの場合は100を</t>
    </r>
    <r>
      <rPr>
        <sz val="10"/>
        <color theme="1"/>
        <rFont val="Arial"/>
        <family val="2"/>
      </rPr>
      <t>I37</t>
    </r>
    <r>
      <rPr>
        <sz val="10"/>
        <color theme="1"/>
        <rFont val="ＭＳ Ｐゴシック"/>
        <family val="2"/>
        <charset val="128"/>
      </rPr>
      <t>セルに入力</t>
    </r>
    <rPh sb="10" eb="12">
      <t>バアイ</t>
    </rPh>
    <rPh sb="23" eb="25">
      <t>ニュウリョク</t>
    </rPh>
    <phoneticPr fontId="2"/>
  </si>
  <si>
    <t>海洋プラスチック問題対応協議会 「プラスチック製容器包装再商品化手法およびエネルギーリカバリーの環境負荷評価（LCA）」（https://www.nikkakyo.org/system/files/JaIME%20LCA%20report_0.pdf）の代替率の単純平均値</t>
    <rPh sb="127" eb="129">
      <t>ダイタイ</t>
    </rPh>
    <rPh sb="129" eb="130">
      <t>リツ</t>
    </rPh>
    <rPh sb="131" eb="135">
      <t>タンジュンヘイキン</t>
    </rPh>
    <rPh sb="135" eb="136">
      <t>アタイ</t>
    </rPh>
    <phoneticPr fontId="2"/>
  </si>
  <si>
    <r>
      <rPr>
        <sz val="10"/>
        <color theme="1"/>
        <rFont val="ＭＳ Ｐゴシック"/>
        <family val="2"/>
        <charset val="128"/>
      </rPr>
      <t>移行後の再生処理による</t>
    </r>
    <r>
      <rPr>
        <sz val="10"/>
        <color theme="1"/>
        <rFont val="Arial"/>
        <family val="2"/>
        <charset val="128"/>
      </rPr>
      <t>CO2</t>
    </r>
    <r>
      <rPr>
        <sz val="10"/>
        <color theme="1"/>
        <rFont val="ＭＳ Ｐゴシック"/>
        <family val="2"/>
        <charset val="128"/>
      </rPr>
      <t>排出量原単位</t>
    </r>
    <rPh sb="0" eb="3">
      <t>イコウゴ</t>
    </rPh>
    <phoneticPr fontId="5"/>
  </si>
  <si>
    <r>
      <rPr>
        <sz val="10"/>
        <color theme="1"/>
        <rFont val="ＭＳ Ｐゴシック"/>
        <family val="2"/>
        <charset val="128"/>
      </rPr>
      <t>移行後のバージン材</t>
    </r>
    <r>
      <rPr>
        <sz val="10"/>
        <color theme="1"/>
        <rFont val="Arial"/>
        <family val="2"/>
        <charset val="128"/>
      </rPr>
      <t>CO2</t>
    </r>
    <r>
      <rPr>
        <sz val="10"/>
        <color theme="1"/>
        <rFont val="ＭＳ Ｐゴシック"/>
        <family val="2"/>
        <charset val="128"/>
      </rPr>
      <t>排出量原単位</t>
    </r>
    <rPh sb="0" eb="3">
      <t>イコウゴ</t>
    </rPh>
    <phoneticPr fontId="5"/>
  </si>
  <si>
    <t>移行後の代替率</t>
    <rPh sb="0" eb="3">
      <t>イコウゴ</t>
    </rPh>
    <rPh sb="4" eb="7">
      <t>ダイタイリツ</t>
    </rPh>
    <phoneticPr fontId="5"/>
  </si>
  <si>
    <r>
      <rPr>
        <sz val="10"/>
        <rFont val="ＭＳ ゴシック"/>
        <family val="3"/>
        <charset val="128"/>
      </rPr>
      <t>輸送</t>
    </r>
    <r>
      <rPr>
        <sz val="10"/>
        <rFont val="Arial"/>
        <family val="2"/>
      </rPr>
      <t>2</t>
    </r>
    <rPh sb="0" eb="2">
      <t>ユソウ</t>
    </rPh>
    <phoneticPr fontId="2"/>
  </si>
  <si>
    <r>
      <rPr>
        <sz val="10"/>
        <color theme="1"/>
        <rFont val="ＭＳ Ｐゴシック"/>
        <family val="2"/>
        <charset val="128"/>
      </rPr>
      <t>現行の再商品化残渣輸送における</t>
    </r>
    <r>
      <rPr>
        <sz val="10"/>
        <color theme="1"/>
        <rFont val="Arial"/>
        <family val="2"/>
      </rPr>
      <t>1</t>
    </r>
    <r>
      <rPr>
        <sz val="10"/>
        <color theme="1"/>
        <rFont val="ＭＳ ゴシック"/>
        <family val="3"/>
        <charset val="128"/>
      </rPr>
      <t>回あたりの輸送量</t>
    </r>
    <rPh sb="0" eb="2">
      <t>ゲンコウ</t>
    </rPh>
    <rPh sb="3" eb="7">
      <t>サイショウヒンカ</t>
    </rPh>
    <rPh sb="7" eb="9">
      <t>ザンサ</t>
    </rPh>
    <rPh sb="9" eb="11">
      <t>ユソウ</t>
    </rPh>
    <rPh sb="16" eb="17">
      <t>カイ</t>
    </rPh>
    <rPh sb="21" eb="24">
      <t>ユソウリョウ</t>
    </rPh>
    <phoneticPr fontId="5"/>
  </si>
  <si>
    <r>
      <rPr>
        <sz val="10"/>
        <color theme="1"/>
        <rFont val="ＭＳ Ｐゴシック"/>
        <family val="2"/>
        <charset val="128"/>
      </rPr>
      <t>現行の再商品化残渣輸送における</t>
    </r>
    <r>
      <rPr>
        <sz val="10"/>
        <color theme="1"/>
        <rFont val="Arial"/>
        <family val="2"/>
      </rPr>
      <t>1</t>
    </r>
    <r>
      <rPr>
        <sz val="10"/>
        <color theme="1"/>
        <rFont val="ＭＳ ゴシック"/>
        <family val="3"/>
        <charset val="128"/>
      </rPr>
      <t>回あたりの輸送距離</t>
    </r>
    <rPh sb="0" eb="2">
      <t>ゲンコウ</t>
    </rPh>
    <rPh sb="3" eb="7">
      <t>サイショウヒンカ</t>
    </rPh>
    <rPh sb="7" eb="9">
      <t>ザンサ</t>
    </rPh>
    <rPh sb="9" eb="11">
      <t>ユソウ</t>
    </rPh>
    <rPh sb="16" eb="17">
      <t>カイ</t>
    </rPh>
    <rPh sb="21" eb="23">
      <t>ユソウ</t>
    </rPh>
    <rPh sb="23" eb="25">
      <t>キョリ</t>
    </rPh>
    <phoneticPr fontId="5"/>
  </si>
  <si>
    <t>各自治体での実績値・想定値</t>
    <rPh sb="0" eb="1">
      <t>カク</t>
    </rPh>
    <rPh sb="1" eb="4">
      <t>ジチタイ</t>
    </rPh>
    <phoneticPr fontId="2"/>
  </si>
  <si>
    <r>
      <rPr>
        <sz val="10"/>
        <color theme="1"/>
        <rFont val="ＭＳ Ｐゴシック"/>
        <family val="2"/>
        <charset val="128"/>
      </rPr>
      <t>移行後の再商品化残渣輸送における</t>
    </r>
    <r>
      <rPr>
        <sz val="10"/>
        <color theme="1"/>
        <rFont val="Arial"/>
        <family val="2"/>
      </rPr>
      <t>1</t>
    </r>
    <r>
      <rPr>
        <sz val="10"/>
        <color theme="1"/>
        <rFont val="ＭＳ ゴシック"/>
        <family val="3"/>
        <charset val="128"/>
      </rPr>
      <t>回あたりの輸送量</t>
    </r>
    <rPh sb="0" eb="3">
      <t>イコウゴ</t>
    </rPh>
    <rPh sb="4" eb="8">
      <t>サイショウヒンカ</t>
    </rPh>
    <rPh sb="8" eb="10">
      <t>ザンサ</t>
    </rPh>
    <rPh sb="10" eb="12">
      <t>ユソウ</t>
    </rPh>
    <rPh sb="17" eb="18">
      <t>カイ</t>
    </rPh>
    <rPh sb="22" eb="25">
      <t>ユソウリョウ</t>
    </rPh>
    <phoneticPr fontId="5"/>
  </si>
  <si>
    <t>想定する輸送量仮定値</t>
    <rPh sb="4" eb="7">
      <t>ユソウリョウ</t>
    </rPh>
    <rPh sb="7" eb="9">
      <t>カテイ</t>
    </rPh>
    <phoneticPr fontId="2"/>
  </si>
  <si>
    <r>
      <rPr>
        <sz val="10"/>
        <color theme="1"/>
        <rFont val="ＭＳ Ｐゴシック"/>
        <family val="2"/>
        <charset val="128"/>
      </rPr>
      <t>移行後の再商品化残渣輸送における</t>
    </r>
    <r>
      <rPr>
        <sz val="10"/>
        <color theme="1"/>
        <rFont val="Arial"/>
        <family val="2"/>
      </rPr>
      <t>1</t>
    </r>
    <r>
      <rPr>
        <sz val="10"/>
        <color theme="1"/>
        <rFont val="ＭＳ ゴシック"/>
        <family val="3"/>
        <charset val="128"/>
      </rPr>
      <t>回あたりの輸送距離</t>
    </r>
    <rPh sb="8" eb="10">
      <t>ザンサ</t>
    </rPh>
    <rPh sb="10" eb="12">
      <t>ユソウ</t>
    </rPh>
    <rPh sb="17" eb="18">
      <t>カイ</t>
    </rPh>
    <rPh sb="22" eb="24">
      <t>ユソウ</t>
    </rPh>
    <rPh sb="24" eb="26">
      <t>キョリ</t>
    </rPh>
    <phoneticPr fontId="5"/>
  </si>
  <si>
    <t>想定する仮定値（地図等で確認）</t>
    <rPh sb="8" eb="11">
      <t>チズトウ</t>
    </rPh>
    <rPh sb="12" eb="14">
      <t>カクニン</t>
    </rPh>
    <phoneticPr fontId="2"/>
  </si>
  <si>
    <r>
      <rPr>
        <sz val="10"/>
        <rFont val="ＭＳ ゴシック"/>
        <family val="3"/>
        <charset val="128"/>
      </rPr>
      <t>輸送</t>
    </r>
    <r>
      <rPr>
        <sz val="10"/>
        <rFont val="Arial"/>
        <family val="2"/>
      </rPr>
      <t>2</t>
    </r>
    <phoneticPr fontId="2"/>
  </si>
  <si>
    <t>可燃ごみ処理工程のCO2排出原単位</t>
    <rPh sb="0" eb="2">
      <t>カネン</t>
    </rPh>
    <rPh sb="4" eb="6">
      <t>ショリ</t>
    </rPh>
    <rPh sb="6" eb="8">
      <t>コウテイ</t>
    </rPh>
    <rPh sb="12" eb="14">
      <t>ハイシュツ</t>
    </rPh>
    <rPh sb="14" eb="17">
      <t>ハラタンイ</t>
    </rPh>
    <phoneticPr fontId="2"/>
  </si>
  <si>
    <r>
      <rPr>
        <sz val="10"/>
        <color theme="1"/>
        <rFont val="ＭＳ ゴシック"/>
        <family val="2"/>
        <charset val="128"/>
      </rPr>
      <t>単純焼却と仮定。海洋プラスチック問題対応協議会（</t>
    </r>
    <r>
      <rPr>
        <sz val="10"/>
        <color theme="1"/>
        <rFont val="Arial"/>
        <family val="2"/>
      </rPr>
      <t>2019</t>
    </r>
    <r>
      <rPr>
        <sz val="10"/>
        <color theme="1"/>
        <rFont val="ＭＳ ゴシック"/>
        <family val="2"/>
        <charset val="128"/>
      </rPr>
      <t>）「プラスチック製容器包装再商品化手法およびエネルギーリカバリーの環境負荷評価（</t>
    </r>
    <r>
      <rPr>
        <sz val="10"/>
        <color theme="1"/>
        <rFont val="Arial"/>
        <family val="2"/>
      </rPr>
      <t>LCA</t>
    </r>
    <r>
      <rPr>
        <sz val="10"/>
        <color theme="1"/>
        <rFont val="ＭＳ ゴシック"/>
        <family val="2"/>
        <charset val="128"/>
      </rPr>
      <t>）」</t>
    </r>
    <rPh sb="0" eb="4">
      <t>タンジュンショウキャク</t>
    </rPh>
    <rPh sb="5" eb="7">
      <t>カテイ</t>
    </rPh>
    <phoneticPr fontId="2"/>
  </si>
  <si>
    <t>選別残渣処理工程のCO2排出原単位</t>
    <rPh sb="0" eb="2">
      <t>センベツ</t>
    </rPh>
    <rPh sb="2" eb="4">
      <t>ザンサ</t>
    </rPh>
    <rPh sb="4" eb="6">
      <t>ショリ</t>
    </rPh>
    <rPh sb="6" eb="8">
      <t>コウテイ</t>
    </rPh>
    <rPh sb="12" eb="14">
      <t>ハイシュツ</t>
    </rPh>
    <rPh sb="14" eb="17">
      <t>ハラタンイ</t>
    </rPh>
    <phoneticPr fontId="2"/>
  </si>
  <si>
    <t>再商品化残渣処理工程のCO2排出原単位</t>
    <rPh sb="0" eb="4">
      <t>サイショウヒンカ</t>
    </rPh>
    <rPh sb="4" eb="6">
      <t>ザンサ</t>
    </rPh>
    <rPh sb="6" eb="8">
      <t>ショリ</t>
    </rPh>
    <rPh sb="8" eb="10">
      <t>コウテイ</t>
    </rPh>
    <rPh sb="14" eb="16">
      <t>ハイシュツ</t>
    </rPh>
    <rPh sb="16" eb="19">
      <t>ハラタンイ</t>
    </rPh>
    <phoneticPr fontId="2"/>
  </si>
  <si>
    <r>
      <rPr>
        <sz val="10"/>
        <rFont val="ＭＳ ゴシック"/>
        <family val="3"/>
        <charset val="128"/>
      </rPr>
      <t>輸送</t>
    </r>
    <r>
      <rPr>
        <sz val="10"/>
        <rFont val="Arial"/>
        <family val="2"/>
      </rPr>
      <t>3</t>
    </r>
    <rPh sb="0" eb="2">
      <t>ユソウ</t>
    </rPh>
    <phoneticPr fontId="2"/>
  </si>
  <si>
    <r>
      <rPr>
        <sz val="10"/>
        <color theme="1"/>
        <rFont val="ＭＳ Ｐゴシック"/>
        <family val="2"/>
        <charset val="128"/>
      </rPr>
      <t>可燃ごみ・選別残渣由来の焼却灰輸送における</t>
    </r>
    <r>
      <rPr>
        <sz val="10"/>
        <color theme="1"/>
        <rFont val="Arial"/>
        <family val="2"/>
      </rPr>
      <t>1</t>
    </r>
    <r>
      <rPr>
        <sz val="10"/>
        <color theme="1"/>
        <rFont val="ＭＳ ゴシック"/>
        <family val="3"/>
        <charset val="128"/>
      </rPr>
      <t>回あたりの輸送量</t>
    </r>
    <rPh sb="0" eb="2">
      <t>カネン</t>
    </rPh>
    <rPh sb="5" eb="7">
      <t>センベツ</t>
    </rPh>
    <rPh sb="7" eb="9">
      <t>ザンサ</t>
    </rPh>
    <rPh sb="9" eb="11">
      <t>ユライ</t>
    </rPh>
    <rPh sb="12" eb="14">
      <t>ショウキャク</t>
    </rPh>
    <rPh sb="14" eb="15">
      <t>ハイ</t>
    </rPh>
    <rPh sb="15" eb="17">
      <t>ユソウ</t>
    </rPh>
    <rPh sb="22" eb="23">
      <t>カイ</t>
    </rPh>
    <rPh sb="27" eb="30">
      <t>ユソウリョウ</t>
    </rPh>
    <phoneticPr fontId="5"/>
  </si>
  <si>
    <r>
      <rPr>
        <sz val="10"/>
        <color theme="1"/>
        <rFont val="ＭＳ Ｐゴシック"/>
        <family val="2"/>
        <charset val="128"/>
      </rPr>
      <t>可燃ごみ・選別残渣由来の焼却灰残渣輸送における</t>
    </r>
    <r>
      <rPr>
        <sz val="10"/>
        <color theme="1"/>
        <rFont val="Arial"/>
        <family val="2"/>
      </rPr>
      <t>1</t>
    </r>
    <r>
      <rPr>
        <sz val="10"/>
        <color theme="1"/>
        <rFont val="ＭＳ ゴシック"/>
        <family val="3"/>
        <charset val="128"/>
      </rPr>
      <t>回あたりの輸送距離</t>
    </r>
    <rPh sb="5" eb="7">
      <t>センベツ</t>
    </rPh>
    <rPh sb="7" eb="9">
      <t>ザンサ</t>
    </rPh>
    <rPh sb="12" eb="14">
      <t>ショウキャク</t>
    </rPh>
    <rPh sb="14" eb="15">
      <t>ハイ</t>
    </rPh>
    <rPh sb="15" eb="17">
      <t>ザンサ</t>
    </rPh>
    <rPh sb="17" eb="19">
      <t>ユソウ</t>
    </rPh>
    <rPh sb="24" eb="25">
      <t>カイ</t>
    </rPh>
    <rPh sb="29" eb="31">
      <t>ユソウ</t>
    </rPh>
    <rPh sb="31" eb="33">
      <t>キョリ</t>
    </rPh>
    <phoneticPr fontId="5"/>
  </si>
  <si>
    <r>
      <rPr>
        <sz val="10"/>
        <color theme="1"/>
        <rFont val="ＭＳ Ｐゴシック"/>
        <family val="2"/>
        <charset val="128"/>
      </rPr>
      <t>再商品化残渣由来の焼却灰輸送における</t>
    </r>
    <r>
      <rPr>
        <sz val="10"/>
        <color theme="1"/>
        <rFont val="Arial"/>
        <family val="2"/>
      </rPr>
      <t>1</t>
    </r>
    <r>
      <rPr>
        <sz val="10"/>
        <color theme="1"/>
        <rFont val="ＭＳ ゴシック"/>
        <family val="3"/>
        <charset val="128"/>
      </rPr>
      <t>回あたりの輸送量</t>
    </r>
    <rPh sb="0" eb="4">
      <t>サイショウヒンカ</t>
    </rPh>
    <rPh sb="4" eb="6">
      <t>ザンサ</t>
    </rPh>
    <rPh sb="6" eb="8">
      <t>ユライ</t>
    </rPh>
    <rPh sb="9" eb="11">
      <t>ショウキャク</t>
    </rPh>
    <rPh sb="11" eb="12">
      <t>ハイ</t>
    </rPh>
    <rPh sb="12" eb="14">
      <t>ユソウ</t>
    </rPh>
    <rPh sb="19" eb="20">
      <t>カイ</t>
    </rPh>
    <rPh sb="24" eb="27">
      <t>ユソウリョウ</t>
    </rPh>
    <phoneticPr fontId="5"/>
  </si>
  <si>
    <r>
      <rPr>
        <sz val="10"/>
        <color theme="1"/>
        <rFont val="ＭＳ Ｐゴシック"/>
        <family val="2"/>
        <charset val="128"/>
      </rPr>
      <t>再商品化残渣由来の焼却灰残渣輸送における</t>
    </r>
    <r>
      <rPr>
        <sz val="10"/>
        <color theme="1"/>
        <rFont val="Arial"/>
        <family val="2"/>
      </rPr>
      <t>1</t>
    </r>
    <r>
      <rPr>
        <sz val="10"/>
        <color theme="1"/>
        <rFont val="ＭＳ ゴシック"/>
        <family val="3"/>
        <charset val="128"/>
      </rPr>
      <t>回あたりの輸送距離</t>
    </r>
    <rPh sb="9" eb="11">
      <t>ショウキャク</t>
    </rPh>
    <rPh sb="11" eb="12">
      <t>ハイ</t>
    </rPh>
    <rPh sb="12" eb="14">
      <t>ザンサ</t>
    </rPh>
    <rPh sb="14" eb="16">
      <t>ユソウ</t>
    </rPh>
    <rPh sb="21" eb="22">
      <t>カイ</t>
    </rPh>
    <rPh sb="26" eb="28">
      <t>ユソウ</t>
    </rPh>
    <rPh sb="28" eb="30">
      <t>キョリ</t>
    </rPh>
    <phoneticPr fontId="5"/>
  </si>
  <si>
    <r>
      <rPr>
        <sz val="10"/>
        <color theme="1"/>
        <rFont val="ＭＳ Ｐゴシック"/>
        <family val="2"/>
        <charset val="128"/>
      </rPr>
      <t>再商品化残渣由来移行後の焼却灰残渣輸送における</t>
    </r>
    <r>
      <rPr>
        <sz val="10"/>
        <color theme="1"/>
        <rFont val="Arial"/>
        <family val="2"/>
      </rPr>
      <t>1</t>
    </r>
    <r>
      <rPr>
        <sz val="10"/>
        <color theme="1"/>
        <rFont val="ＭＳ ゴシック"/>
        <family val="3"/>
        <charset val="128"/>
      </rPr>
      <t>回あたりの輸送量</t>
    </r>
    <rPh sb="0" eb="4">
      <t>サイショウヒンカ</t>
    </rPh>
    <rPh sb="8" eb="11">
      <t>イコウゴ</t>
    </rPh>
    <rPh sb="12" eb="14">
      <t>ショウキャク</t>
    </rPh>
    <rPh sb="14" eb="15">
      <t>ハイ</t>
    </rPh>
    <rPh sb="15" eb="17">
      <t>ザンサ</t>
    </rPh>
    <rPh sb="17" eb="19">
      <t>ユソウ</t>
    </rPh>
    <rPh sb="24" eb="25">
      <t>カイ</t>
    </rPh>
    <rPh sb="29" eb="32">
      <t>ユソウリョウ</t>
    </rPh>
    <phoneticPr fontId="5"/>
  </si>
  <si>
    <r>
      <rPr>
        <sz val="10"/>
        <color theme="1"/>
        <rFont val="ＭＳ Ｐゴシック"/>
        <family val="2"/>
        <charset val="128"/>
      </rPr>
      <t>再商品化残渣残渣由来移行後の焼却灰残渣輸送における</t>
    </r>
    <r>
      <rPr>
        <sz val="10"/>
        <color theme="1"/>
        <rFont val="Arial"/>
        <family val="2"/>
      </rPr>
      <t>1</t>
    </r>
    <r>
      <rPr>
        <sz val="10"/>
        <color theme="1"/>
        <rFont val="ＭＳ ゴシック"/>
        <family val="3"/>
        <charset val="128"/>
      </rPr>
      <t>回あたりの輸送距離</t>
    </r>
    <rPh sb="17" eb="19">
      <t>ザンサ</t>
    </rPh>
    <rPh sb="19" eb="21">
      <t>ユソウ</t>
    </rPh>
    <rPh sb="26" eb="27">
      <t>カイ</t>
    </rPh>
    <rPh sb="31" eb="33">
      <t>ユソウ</t>
    </rPh>
    <rPh sb="33" eb="35">
      <t>キョリ</t>
    </rPh>
    <phoneticPr fontId="5"/>
  </si>
  <si>
    <t>車両（可燃ごみ・選別残渣輸送）の燃費</t>
    <rPh sb="3" eb="5">
      <t>カネン</t>
    </rPh>
    <rPh sb="8" eb="10">
      <t>センベツ</t>
    </rPh>
    <rPh sb="10" eb="12">
      <t>ザンサ</t>
    </rPh>
    <rPh sb="12" eb="14">
      <t>ユソウ</t>
    </rPh>
    <rPh sb="16" eb="18">
      <t>ネンピ</t>
    </rPh>
    <phoneticPr fontId="2"/>
  </si>
  <si>
    <t>車両（再商品化残渣輸送）の燃費</t>
    <rPh sb="3" eb="7">
      <t>サイショウヒンカ</t>
    </rPh>
    <rPh sb="7" eb="9">
      <t>ザンサ</t>
    </rPh>
    <rPh sb="9" eb="11">
      <t>ユソウ</t>
    </rPh>
    <rPh sb="13" eb="15">
      <t>ネンピ</t>
    </rPh>
    <phoneticPr fontId="2"/>
  </si>
  <si>
    <t>可燃ごみの収集運搬費等</t>
    <phoneticPr fontId="5"/>
  </si>
  <si>
    <t>円/年</t>
    <rPh sb="0" eb="1">
      <t>エン</t>
    </rPh>
    <rPh sb="2" eb="3">
      <t>ネン</t>
    </rPh>
    <phoneticPr fontId="5"/>
  </si>
  <si>
    <t>各自治体での実績値・想定値。直営の場合や直営と委託両方の場合は総額をI56セルに記載する</t>
    <rPh sb="0" eb="1">
      <t>カク</t>
    </rPh>
    <rPh sb="1" eb="4">
      <t>ジチタイ</t>
    </rPh>
    <rPh sb="14" eb="16">
      <t>チョクエイ</t>
    </rPh>
    <rPh sb="17" eb="19">
      <t>バアイ</t>
    </rPh>
    <rPh sb="20" eb="22">
      <t>チョクエイ</t>
    </rPh>
    <rPh sb="23" eb="25">
      <t>イタク</t>
    </rPh>
    <rPh sb="25" eb="27">
      <t>リョウホウ</t>
    </rPh>
    <rPh sb="28" eb="30">
      <t>バアイ</t>
    </rPh>
    <rPh sb="31" eb="33">
      <t>ソウガク</t>
    </rPh>
    <rPh sb="40" eb="42">
      <t>キサイ</t>
    </rPh>
    <phoneticPr fontId="2"/>
  </si>
  <si>
    <t>容器包装プラの収集運搬費等</t>
    <rPh sb="0" eb="4">
      <t>ヨウキホウソウ</t>
    </rPh>
    <phoneticPr fontId="5"/>
  </si>
  <si>
    <t>各自治体での実績値・想定値。直営の場合や直営と委託両方の場合は総額をI56セルに記載する</t>
    <rPh sb="0" eb="1">
      <t>カク</t>
    </rPh>
    <rPh sb="1" eb="4">
      <t>ジチタイ</t>
    </rPh>
    <phoneticPr fontId="2"/>
  </si>
  <si>
    <t>一括回収物等の収集運搬費等</t>
    <rPh sb="0" eb="2">
      <t>イッカツ</t>
    </rPh>
    <rPh sb="2" eb="5">
      <t>カイシュウブツ</t>
    </rPh>
    <rPh sb="5" eb="6">
      <t>トウ</t>
    </rPh>
    <phoneticPr fontId="5"/>
  </si>
  <si>
    <t>現行の選別処理単価</t>
    <rPh sb="0" eb="2">
      <t>ゲンコウ</t>
    </rPh>
    <rPh sb="5" eb="7">
      <t>ショリ</t>
    </rPh>
    <rPh sb="7" eb="9">
      <t>タンカ</t>
    </rPh>
    <phoneticPr fontId="5"/>
  </si>
  <si>
    <r>
      <rPr>
        <sz val="10"/>
        <color theme="1"/>
        <rFont val="ＭＳ Ｐゴシック"/>
        <family val="2"/>
        <charset val="128"/>
      </rPr>
      <t>円</t>
    </r>
    <r>
      <rPr>
        <sz val="10"/>
        <color theme="1"/>
        <rFont val="Arial"/>
        <family val="2"/>
      </rPr>
      <t>/</t>
    </r>
    <r>
      <rPr>
        <sz val="10"/>
        <color theme="1"/>
        <rFont val="ＭＳ Ｐゴシック"/>
        <family val="2"/>
        <charset val="128"/>
      </rPr>
      <t>ｔ</t>
    </r>
    <rPh sb="0" eb="1">
      <t>エン</t>
    </rPh>
    <phoneticPr fontId="5"/>
  </si>
  <si>
    <t>農林水産省 食品容器包装のリサイクルに関する懇談会（第5回）資料6「自治体における食品の容器包装リサイクルシステムの構築状況調査」（https://www.maff.go.jp/j/study/shokuhin-youki/pdf/05siryo_06.pdf）（2）各自治体の選別残渣の発生率の容リプラ（P.5）の平均値</t>
    <phoneticPr fontId="2"/>
  </si>
  <si>
    <t>現行の施設保管管理経費等その他費用</t>
    <rPh sb="0" eb="2">
      <t>ゲンコウ</t>
    </rPh>
    <phoneticPr fontId="5"/>
  </si>
  <si>
    <r>
      <rPr>
        <sz val="10"/>
        <color theme="1"/>
        <rFont val="ＭＳ Ｐゴシック"/>
        <family val="2"/>
        <charset val="128"/>
      </rPr>
      <t>円</t>
    </r>
    <r>
      <rPr>
        <sz val="10"/>
        <color theme="1"/>
        <rFont val="Arial"/>
        <family val="2"/>
      </rPr>
      <t>/</t>
    </r>
    <r>
      <rPr>
        <sz val="10"/>
        <color theme="1"/>
        <rFont val="ＭＳ Ｐゴシック"/>
        <family val="2"/>
        <charset val="128"/>
      </rPr>
      <t>年</t>
    </r>
    <rPh sb="0" eb="1">
      <t>エン</t>
    </rPh>
    <rPh sb="2" eb="3">
      <t>ネン</t>
    </rPh>
    <phoneticPr fontId="5"/>
  </si>
  <si>
    <t>移行後の選別処理単価</t>
    <rPh sb="0" eb="3">
      <t>イコウゴ</t>
    </rPh>
    <rPh sb="6" eb="8">
      <t>ショリ</t>
    </rPh>
    <rPh sb="8" eb="10">
      <t>タンカ</t>
    </rPh>
    <phoneticPr fontId="5"/>
  </si>
  <si>
    <t>移行後の施設保管管理経費等その他費用</t>
    <rPh sb="0" eb="3">
      <t>イコウゴ</t>
    </rPh>
    <phoneticPr fontId="5"/>
  </si>
  <si>
    <t>現行の選別残渣輸送に関する費用</t>
    <rPh sb="0" eb="2">
      <t>ゲンコウ</t>
    </rPh>
    <rPh sb="5" eb="7">
      <t>ザンサ</t>
    </rPh>
    <rPh sb="7" eb="9">
      <t>ユソウ</t>
    </rPh>
    <rPh sb="10" eb="11">
      <t>カン</t>
    </rPh>
    <rPh sb="13" eb="15">
      <t>ヒヨウ</t>
    </rPh>
    <phoneticPr fontId="5"/>
  </si>
  <si>
    <t>仮定値シート</t>
    <rPh sb="0" eb="3">
      <t>カテイアタイ</t>
    </rPh>
    <phoneticPr fontId="2"/>
  </si>
  <si>
    <t>移行後の選別残渣輸送に関する費用</t>
    <rPh sb="0" eb="3">
      <t>イコウゴ</t>
    </rPh>
    <rPh sb="6" eb="8">
      <t>ザンサ</t>
    </rPh>
    <rPh sb="8" eb="10">
      <t>ユソウ</t>
    </rPh>
    <rPh sb="11" eb="12">
      <t>カン</t>
    </rPh>
    <rPh sb="14" eb="16">
      <t>ヒヨウ</t>
    </rPh>
    <phoneticPr fontId="5"/>
  </si>
  <si>
    <t>現行の容器包装再生処理単価</t>
    <rPh sb="0" eb="2">
      <t>ゲンコウ</t>
    </rPh>
    <rPh sb="3" eb="7">
      <t>ヨウキホウソウ</t>
    </rPh>
    <rPh sb="7" eb="9">
      <t>サイセイ</t>
    </rPh>
    <rPh sb="9" eb="11">
      <t>ショリ</t>
    </rPh>
    <rPh sb="11" eb="13">
      <t>タンカ</t>
    </rPh>
    <phoneticPr fontId="5"/>
  </si>
  <si>
    <t>自治体負担率（容器包装）</t>
    <phoneticPr fontId="5"/>
  </si>
  <si>
    <t>日本容器包装リサイクル協会「特定事業者責任比率および市町村負担比率」</t>
    <phoneticPr fontId="2"/>
  </si>
  <si>
    <t>移行後の容器包装再生処理単価</t>
    <rPh sb="0" eb="3">
      <t>イコウゴ</t>
    </rPh>
    <rPh sb="4" eb="8">
      <t>ヨウキホウソウ</t>
    </rPh>
    <rPh sb="8" eb="10">
      <t>サイセイ</t>
    </rPh>
    <rPh sb="10" eb="12">
      <t>ショリ</t>
    </rPh>
    <rPh sb="12" eb="14">
      <t>タンカ</t>
    </rPh>
    <phoneticPr fontId="5"/>
  </si>
  <si>
    <t>移行後の製品再生処理単価</t>
    <rPh sb="4" eb="6">
      <t>セイヒン</t>
    </rPh>
    <phoneticPr fontId="5"/>
  </si>
  <si>
    <t>自治体負担率（製品）</t>
    <rPh sb="7" eb="9">
      <t>セイヒン</t>
    </rPh>
    <phoneticPr fontId="5"/>
  </si>
  <si>
    <t>環境省「プラスチックに係る資源循環の促進等に関する法律について」</t>
    <phoneticPr fontId="2"/>
  </si>
  <si>
    <t>焼却処理単価</t>
    <rPh sb="0" eb="2">
      <t>ショウキャク</t>
    </rPh>
    <rPh sb="2" eb="4">
      <t>ショリ</t>
    </rPh>
    <rPh sb="4" eb="6">
      <t>タンカ</t>
    </rPh>
    <phoneticPr fontId="5"/>
  </si>
  <si>
    <t>現行の可燃ごみの由来の焼却残渣輸送に関する費用</t>
    <rPh sb="0" eb="2">
      <t>ゲンコウ</t>
    </rPh>
    <rPh sb="3" eb="5">
      <t>カネン</t>
    </rPh>
    <rPh sb="8" eb="10">
      <t>ユライ</t>
    </rPh>
    <rPh sb="11" eb="13">
      <t>ショウキャク</t>
    </rPh>
    <rPh sb="13" eb="15">
      <t>ザンサ</t>
    </rPh>
    <rPh sb="15" eb="17">
      <t>ユソウ</t>
    </rPh>
    <rPh sb="18" eb="19">
      <t>カン</t>
    </rPh>
    <rPh sb="21" eb="23">
      <t>ヒヨウ</t>
    </rPh>
    <phoneticPr fontId="5"/>
  </si>
  <si>
    <t>現行の容器包装由来の焼却残渣輸送に関する費用</t>
    <rPh sb="0" eb="2">
      <t>ゲンコウ</t>
    </rPh>
    <rPh sb="3" eb="7">
      <t>ヨウキホウソウ</t>
    </rPh>
    <rPh sb="7" eb="9">
      <t>ユライ</t>
    </rPh>
    <rPh sb="10" eb="12">
      <t>ショウキャク</t>
    </rPh>
    <rPh sb="12" eb="14">
      <t>ザンサ</t>
    </rPh>
    <rPh sb="14" eb="16">
      <t>ユソウ</t>
    </rPh>
    <rPh sb="17" eb="18">
      <t>カン</t>
    </rPh>
    <rPh sb="20" eb="22">
      <t>ヒヨウ</t>
    </rPh>
    <phoneticPr fontId="5"/>
  </si>
  <si>
    <t>移行後の可燃ごみ由来の焼却残渣輸送に関する費用</t>
    <rPh sb="0" eb="3">
      <t>イコウゴ</t>
    </rPh>
    <rPh sb="8" eb="10">
      <t>ユライ</t>
    </rPh>
    <rPh sb="11" eb="13">
      <t>ショウキャク</t>
    </rPh>
    <rPh sb="13" eb="15">
      <t>ザンサ</t>
    </rPh>
    <rPh sb="15" eb="17">
      <t>ユソウ</t>
    </rPh>
    <rPh sb="18" eb="19">
      <t>カン</t>
    </rPh>
    <rPh sb="21" eb="23">
      <t>ヒヨウ</t>
    </rPh>
    <phoneticPr fontId="5"/>
  </si>
  <si>
    <t>移行後の一括回収プラ由来の焼却残渣輸送に関する費用</t>
    <rPh sb="0" eb="3">
      <t>イコウゴ</t>
    </rPh>
    <rPh sb="4" eb="6">
      <t>イッカツ</t>
    </rPh>
    <rPh sb="6" eb="8">
      <t>カイシュウ</t>
    </rPh>
    <rPh sb="10" eb="12">
      <t>ユライ</t>
    </rPh>
    <rPh sb="13" eb="15">
      <t>ショウキャク</t>
    </rPh>
    <rPh sb="15" eb="17">
      <t>ザンサ</t>
    </rPh>
    <rPh sb="17" eb="19">
      <t>ユソウ</t>
    </rPh>
    <rPh sb="20" eb="21">
      <t>カン</t>
    </rPh>
    <rPh sb="23" eb="25">
      <t>ヒヨウ</t>
    </rPh>
    <phoneticPr fontId="5"/>
  </si>
  <si>
    <t>現行の埋立処理単価</t>
    <rPh sb="0" eb="2">
      <t>ゲンコウ</t>
    </rPh>
    <rPh sb="3" eb="5">
      <t>ウメタテ</t>
    </rPh>
    <rPh sb="5" eb="7">
      <t>ショリ</t>
    </rPh>
    <rPh sb="7" eb="9">
      <t>タンカ</t>
    </rPh>
    <phoneticPr fontId="5"/>
  </si>
  <si>
    <t>移行後の埋立処理単価</t>
    <rPh sb="0" eb="3">
      <t>イコウゴ</t>
    </rPh>
    <rPh sb="4" eb="6">
      <t>ウメタテ</t>
    </rPh>
    <rPh sb="6" eb="8">
      <t>ショリ</t>
    </rPh>
    <rPh sb="8" eb="10">
      <t>タンカ</t>
    </rPh>
    <phoneticPr fontId="5"/>
  </si>
  <si>
    <r>
      <rPr>
        <sz val="11"/>
        <color theme="1"/>
        <rFont val="ＭＳ ゴシック"/>
        <family val="3"/>
        <charset val="128"/>
      </rPr>
      <t>モデル</t>
    </r>
    <phoneticPr fontId="2"/>
  </si>
  <si>
    <r>
      <rPr>
        <b/>
        <sz val="11"/>
        <color theme="1"/>
        <rFont val="ＭＳ ゴシック"/>
        <family val="3"/>
        <charset val="128"/>
      </rPr>
      <t>現行モデル</t>
    </r>
    <rPh sb="0" eb="2">
      <t>ゲンコウ</t>
    </rPh>
    <phoneticPr fontId="2"/>
  </si>
  <si>
    <r>
      <rPr>
        <b/>
        <sz val="11"/>
        <color theme="1"/>
        <rFont val="ＭＳ ゴシック"/>
        <family val="3"/>
        <charset val="128"/>
      </rPr>
      <t>移行後モデル</t>
    </r>
    <rPh sb="0" eb="3">
      <t>イコウゴ</t>
    </rPh>
    <phoneticPr fontId="2"/>
  </si>
  <si>
    <r>
      <rPr>
        <sz val="11"/>
        <color theme="1"/>
        <rFont val="ＭＳ ゴシック"/>
        <family val="3"/>
        <charset val="128"/>
      </rPr>
      <t>分析パターン</t>
    </r>
    <rPh sb="0" eb="2">
      <t>ブンセキ</t>
    </rPh>
    <phoneticPr fontId="2"/>
  </si>
  <si>
    <r>
      <rPr>
        <b/>
        <sz val="11"/>
        <color theme="1"/>
        <rFont val="ＭＳ ゴシック"/>
        <family val="3"/>
        <charset val="128"/>
      </rPr>
      <t>可燃ごみ</t>
    </r>
    <rPh sb="0" eb="2">
      <t>カネン</t>
    </rPh>
    <phoneticPr fontId="2"/>
  </si>
  <si>
    <r>
      <rPr>
        <b/>
        <sz val="11"/>
        <color theme="1"/>
        <rFont val="ＭＳ ゴシック"/>
        <family val="3"/>
        <charset val="128"/>
      </rPr>
      <t>容器包装</t>
    </r>
    <rPh sb="0" eb="4">
      <t>ヨウキホウソウ</t>
    </rPh>
    <phoneticPr fontId="2"/>
  </si>
  <si>
    <r>
      <rPr>
        <b/>
        <sz val="11"/>
        <color theme="1"/>
        <rFont val="ＭＳ ゴシック"/>
        <family val="3"/>
        <charset val="128"/>
      </rPr>
      <t>一括回収</t>
    </r>
    <rPh sb="0" eb="4">
      <t>イッカツカイシュウ</t>
    </rPh>
    <phoneticPr fontId="2"/>
  </si>
  <si>
    <r>
      <rPr>
        <sz val="11"/>
        <color theme="1"/>
        <rFont val="ＭＳ ゴシック"/>
        <family val="3"/>
        <charset val="128"/>
      </rPr>
      <t>収集・運搬</t>
    </r>
    <rPh sb="0" eb="2">
      <t>シュウシュウ</t>
    </rPh>
    <rPh sb="3" eb="5">
      <t>ウンパン</t>
    </rPh>
    <phoneticPr fontId="2"/>
  </si>
  <si>
    <r>
      <t>t/</t>
    </r>
    <r>
      <rPr>
        <sz val="11"/>
        <color theme="1"/>
        <rFont val="ＭＳ ゴシック"/>
        <family val="3"/>
        <charset val="128"/>
      </rPr>
      <t>年</t>
    </r>
    <rPh sb="2" eb="3">
      <t>ネン</t>
    </rPh>
    <phoneticPr fontId="2"/>
  </si>
  <si>
    <r>
      <rPr>
        <sz val="11"/>
        <color theme="1"/>
        <rFont val="ＭＳ ゴシック"/>
        <family val="3"/>
        <charset val="128"/>
      </rPr>
      <t>選別・ベール化</t>
    </r>
    <rPh sb="0" eb="2">
      <t>センベツ</t>
    </rPh>
    <rPh sb="6" eb="7">
      <t>カ</t>
    </rPh>
    <phoneticPr fontId="2"/>
  </si>
  <si>
    <r>
      <rPr>
        <sz val="11"/>
        <color theme="1"/>
        <rFont val="ＭＳ ゴシック"/>
        <family val="3"/>
        <charset val="128"/>
      </rPr>
      <t>輸送</t>
    </r>
    <r>
      <rPr>
        <sz val="11"/>
        <color theme="1"/>
        <rFont val="Arial"/>
        <family val="2"/>
      </rPr>
      <t>1</t>
    </r>
    <rPh sb="0" eb="2">
      <t>ユソウ</t>
    </rPh>
    <phoneticPr fontId="2"/>
  </si>
  <si>
    <r>
      <rPr>
        <sz val="11"/>
        <color theme="1"/>
        <rFont val="ＭＳ ゴシック"/>
        <family val="3"/>
        <charset val="128"/>
      </rPr>
      <t>輸送</t>
    </r>
    <r>
      <rPr>
        <sz val="11"/>
        <color theme="1"/>
        <rFont val="Arial"/>
        <family val="2"/>
      </rPr>
      <t>1</t>
    </r>
    <r>
      <rPr>
        <sz val="11"/>
        <color theme="1"/>
        <rFont val="ＭＳ ゴシック"/>
        <family val="3"/>
        <charset val="128"/>
      </rPr>
      <t>（残渣）</t>
    </r>
    <rPh sb="0" eb="2">
      <t>ユソウ</t>
    </rPh>
    <rPh sb="4" eb="6">
      <t>ザンサ</t>
    </rPh>
    <phoneticPr fontId="2"/>
  </si>
  <si>
    <t>再生処理量</t>
    <rPh sb="0" eb="2">
      <t>サイセイ</t>
    </rPh>
    <rPh sb="2" eb="5">
      <t>ショリリョウ</t>
    </rPh>
    <phoneticPr fontId="2"/>
  </si>
  <si>
    <r>
      <rPr>
        <sz val="11"/>
        <color theme="1"/>
        <rFont val="ＭＳ ゴシック"/>
        <family val="3"/>
        <charset val="128"/>
      </rPr>
      <t>輸送</t>
    </r>
    <r>
      <rPr>
        <sz val="11"/>
        <color theme="1"/>
        <rFont val="Arial"/>
        <family val="2"/>
      </rPr>
      <t>2</t>
    </r>
    <rPh sb="0" eb="2">
      <t>ユソウ</t>
    </rPh>
    <phoneticPr fontId="2"/>
  </si>
  <si>
    <t>焼却（可燃ごみ・選別残渣）投入量</t>
    <phoneticPr fontId="2"/>
  </si>
  <si>
    <t>焼却（再商品化残渣）投入量</t>
    <rPh sb="3" eb="7">
      <t>サイショウヒンカ</t>
    </rPh>
    <rPh sb="7" eb="9">
      <t>ザンサ</t>
    </rPh>
    <phoneticPr fontId="2"/>
  </si>
  <si>
    <r>
      <rPr>
        <sz val="11"/>
        <color theme="1"/>
        <rFont val="ＭＳ ゴシック"/>
        <family val="3"/>
        <charset val="128"/>
      </rPr>
      <t>輸送</t>
    </r>
    <r>
      <rPr>
        <sz val="11"/>
        <color theme="1"/>
        <rFont val="Arial"/>
        <family val="2"/>
      </rPr>
      <t>3</t>
    </r>
    <r>
      <rPr>
        <sz val="11"/>
        <color theme="1"/>
        <rFont val="ＭＳ Ｐゴシック"/>
        <family val="3"/>
        <charset val="128"/>
      </rPr>
      <t>・埋立</t>
    </r>
    <rPh sb="0" eb="2">
      <t>ユソウ</t>
    </rPh>
    <rPh sb="4" eb="5">
      <t>ウ</t>
    </rPh>
    <rPh sb="5" eb="6">
      <t>タ</t>
    </rPh>
    <phoneticPr fontId="2"/>
  </si>
  <si>
    <r>
      <rPr>
        <sz val="11"/>
        <color theme="1"/>
        <rFont val="ＭＳ ゴシック"/>
        <family val="3"/>
        <charset val="128"/>
      </rPr>
      <t>＜算出根拠＞</t>
    </r>
    <rPh sb="1" eb="3">
      <t>サンシュツ</t>
    </rPh>
    <rPh sb="3" eb="5">
      <t>コンキョ</t>
    </rPh>
    <phoneticPr fontId="2"/>
  </si>
  <si>
    <r>
      <rPr>
        <sz val="11"/>
        <color theme="1"/>
        <rFont val="ＭＳ ゴシック"/>
        <family val="3"/>
        <charset val="128"/>
      </rPr>
      <t>工程</t>
    </r>
    <rPh sb="0" eb="2">
      <t>コウテイ</t>
    </rPh>
    <phoneticPr fontId="2"/>
  </si>
  <si>
    <r>
      <rPr>
        <sz val="11"/>
        <color theme="1"/>
        <rFont val="ＭＳ ゴシック"/>
        <family val="3"/>
        <charset val="128"/>
      </rPr>
      <t>項目</t>
    </r>
    <rPh sb="0" eb="2">
      <t>コウモク</t>
    </rPh>
    <phoneticPr fontId="2"/>
  </si>
  <si>
    <r>
      <rPr>
        <sz val="11"/>
        <color theme="1"/>
        <rFont val="ＭＳ ゴシック"/>
        <family val="3"/>
        <charset val="128"/>
      </rPr>
      <t>単位</t>
    </r>
    <rPh sb="0" eb="2">
      <t>タンイ</t>
    </rPh>
    <phoneticPr fontId="2"/>
  </si>
  <si>
    <r>
      <rPr>
        <sz val="11"/>
        <color theme="1"/>
        <rFont val="ＭＳ ゴシック"/>
        <family val="3"/>
        <charset val="128"/>
      </rPr>
      <t>容器包装</t>
    </r>
    <rPh sb="0" eb="4">
      <t>ヨウキホウソウ</t>
    </rPh>
    <phoneticPr fontId="2"/>
  </si>
  <si>
    <r>
      <rPr>
        <sz val="11"/>
        <color theme="1"/>
        <rFont val="ＭＳ ゴシック"/>
        <family val="3"/>
        <charset val="128"/>
      </rPr>
      <t>可燃ごみ</t>
    </r>
    <rPh sb="0" eb="2">
      <t>カネン</t>
    </rPh>
    <phoneticPr fontId="2"/>
  </si>
  <si>
    <r>
      <rPr>
        <sz val="11"/>
        <color theme="1"/>
        <rFont val="ＭＳ ゴシック"/>
        <family val="3"/>
        <charset val="128"/>
      </rPr>
      <t>一括回収</t>
    </r>
    <rPh sb="0" eb="4">
      <t>イッカツカイシュウ</t>
    </rPh>
    <phoneticPr fontId="2"/>
  </si>
  <si>
    <r>
      <rPr>
        <sz val="11"/>
        <color theme="1"/>
        <rFont val="ＭＳ ゴシック"/>
        <family val="3"/>
        <charset val="128"/>
      </rPr>
      <t>備考</t>
    </r>
    <rPh sb="0" eb="2">
      <t>ビコウ</t>
    </rPh>
    <phoneticPr fontId="2"/>
  </si>
  <si>
    <t>年間の可燃ごみ量</t>
  </si>
  <si>
    <r>
      <t>t/</t>
    </r>
    <r>
      <rPr>
        <sz val="11"/>
        <color theme="1"/>
        <rFont val="ＭＳ Ｐゴシック"/>
        <family val="2"/>
        <charset val="128"/>
      </rPr>
      <t>年</t>
    </r>
    <rPh sb="2" eb="3">
      <t>ネン</t>
    </rPh>
    <phoneticPr fontId="2"/>
  </si>
  <si>
    <t>可燃ごみ中のプラスチック比率</t>
  </si>
  <si>
    <t>%</t>
    <phoneticPr fontId="2"/>
  </si>
  <si>
    <t>現行モデル可燃ごみ中のプラスチック量</t>
    <rPh sb="0" eb="2">
      <t>ゲンコウ</t>
    </rPh>
    <phoneticPr fontId="2"/>
  </si>
  <si>
    <r>
      <t>t/</t>
    </r>
    <r>
      <rPr>
        <sz val="11"/>
        <color theme="1"/>
        <rFont val="ＭＳ Ｐゴシック"/>
        <family val="3"/>
        <charset val="128"/>
      </rPr>
      <t>年</t>
    </r>
  </si>
  <si>
    <t>現行モデル年間の容器包装収集量</t>
    <phoneticPr fontId="2"/>
  </si>
  <si>
    <r>
      <t>t/</t>
    </r>
    <r>
      <rPr>
        <sz val="11"/>
        <color theme="1"/>
        <rFont val="ＭＳ Ｐゴシック"/>
        <family val="3"/>
        <charset val="128"/>
      </rPr>
      <t>年</t>
    </r>
    <phoneticPr fontId="2"/>
  </si>
  <si>
    <t>移行後モデル可燃ごみ中のプラスチック量</t>
    <rPh sb="0" eb="3">
      <t>イコウゴ</t>
    </rPh>
    <phoneticPr fontId="2"/>
  </si>
  <si>
    <t>移行後モデル年間の一括回収プラ収集量</t>
    <rPh sb="0" eb="3">
      <t>イコウゴ</t>
    </rPh>
    <rPh sb="9" eb="11">
      <t>イッカツ</t>
    </rPh>
    <rPh sb="11" eb="13">
      <t>カイシュウ</t>
    </rPh>
    <phoneticPr fontId="2"/>
  </si>
  <si>
    <t>一括回収プラ中の容器包装比率</t>
    <phoneticPr fontId="2"/>
  </si>
  <si>
    <t>%</t>
  </si>
  <si>
    <t>一括回収プラ中の製品比率</t>
    <rPh sb="8" eb="10">
      <t>セイヒン</t>
    </rPh>
    <phoneticPr fontId="2"/>
  </si>
  <si>
    <t>一括回収実施後の容器包装量</t>
    <phoneticPr fontId="2"/>
  </si>
  <si>
    <t>一括回収実施後の製品量</t>
    <phoneticPr fontId="2"/>
  </si>
  <si>
    <t>収集・運搬</t>
    <rPh sb="0" eb="2">
      <t>シュウシュウ</t>
    </rPh>
    <rPh sb="3" eb="5">
      <t>ウンパン</t>
    </rPh>
    <phoneticPr fontId="2"/>
  </si>
  <si>
    <r>
      <t>t/</t>
    </r>
    <r>
      <rPr>
        <b/>
        <sz val="11"/>
        <color theme="1"/>
        <rFont val="Yu Gothic"/>
        <family val="2"/>
        <charset val="128"/>
      </rPr>
      <t>年</t>
    </r>
    <phoneticPr fontId="2"/>
  </si>
  <si>
    <t>現行と移行後の「可燃ごみ＋容器包装（一括回収）」が一致していることをご確認ください</t>
    <rPh sb="0" eb="2">
      <t>ゲンコウ</t>
    </rPh>
    <rPh sb="3" eb="6">
      <t>イコウゴ</t>
    </rPh>
    <rPh sb="8" eb="10">
      <t>カネン</t>
    </rPh>
    <rPh sb="13" eb="17">
      <t>ヨウキホウソウ</t>
    </rPh>
    <rPh sb="18" eb="20">
      <t>イッカツ</t>
    </rPh>
    <rPh sb="20" eb="22">
      <t>カイシュウ</t>
    </rPh>
    <rPh sb="25" eb="27">
      <t>イッチ</t>
    </rPh>
    <rPh sb="35" eb="37">
      <t>カクニン</t>
    </rPh>
    <phoneticPr fontId="2"/>
  </si>
  <si>
    <t>選別・ベール化工程投入量</t>
    <rPh sb="7" eb="9">
      <t>コウテイ</t>
    </rPh>
    <rPh sb="9" eb="11">
      <t>トウニュウ</t>
    </rPh>
    <phoneticPr fontId="2"/>
  </si>
  <si>
    <t>容器包装選別・ベール化工程の残渣率</t>
    <rPh sb="0" eb="2">
      <t>ヨウキ</t>
    </rPh>
    <rPh sb="2" eb="4">
      <t>ホウソウ</t>
    </rPh>
    <phoneticPr fontId="2"/>
  </si>
  <si>
    <t>容器包装のベール輸送量</t>
    <rPh sb="0" eb="2">
      <t>ヨウキ</t>
    </rPh>
    <rPh sb="2" eb="4">
      <t>ホウソウ</t>
    </rPh>
    <rPh sb="8" eb="11">
      <t>ユソウリョウ</t>
    </rPh>
    <phoneticPr fontId="2"/>
  </si>
  <si>
    <t>製品選別・ベール化工程の残渣率</t>
    <rPh sb="0" eb="2">
      <t>セイヒン</t>
    </rPh>
    <phoneticPr fontId="2"/>
  </si>
  <si>
    <t>製品のベール輸送量</t>
    <rPh sb="0" eb="2">
      <t>セイヒン</t>
    </rPh>
    <rPh sb="6" eb="9">
      <t>ユソウリョウ</t>
    </rPh>
    <phoneticPr fontId="2"/>
  </si>
  <si>
    <t>輸送1・ベール輸送量</t>
    <phoneticPr fontId="2"/>
  </si>
  <si>
    <t>輸送1・選別残渣量</t>
    <rPh sb="0" eb="2">
      <t>ユソウ</t>
    </rPh>
    <phoneticPr fontId="2"/>
  </si>
  <si>
    <r>
      <rPr>
        <sz val="11"/>
        <color theme="1"/>
        <rFont val="ＭＳ ゴシック"/>
        <family val="3"/>
        <charset val="128"/>
      </rPr>
      <t>再商品化工程中の容器包装</t>
    </r>
    <r>
      <rPr>
        <sz val="11"/>
        <color theme="1"/>
        <rFont val="Yu Gothic"/>
        <family val="2"/>
        <charset val="128"/>
      </rPr>
      <t>量</t>
    </r>
    <rPh sb="0" eb="4">
      <t>サイショウヒンカ</t>
    </rPh>
    <rPh sb="4" eb="6">
      <t>コウテイ</t>
    </rPh>
    <rPh sb="6" eb="7">
      <t>ナカ</t>
    </rPh>
    <rPh sb="8" eb="12">
      <t>ヨウキホウソウ</t>
    </rPh>
    <rPh sb="12" eb="13">
      <t>リョウ</t>
    </rPh>
    <phoneticPr fontId="2"/>
  </si>
  <si>
    <r>
      <rPr>
        <sz val="11"/>
        <color theme="1"/>
        <rFont val="ＭＳ ゴシック"/>
        <family val="3"/>
        <charset val="128"/>
      </rPr>
      <t>再商品化工程中の製品</t>
    </r>
    <r>
      <rPr>
        <sz val="11"/>
        <color theme="1"/>
        <rFont val="Yu Gothic"/>
        <family val="2"/>
        <charset val="128"/>
      </rPr>
      <t>量</t>
    </r>
    <rPh sb="0" eb="4">
      <t>サイショウヒンカ</t>
    </rPh>
    <rPh sb="4" eb="6">
      <t>コウテイ</t>
    </rPh>
    <rPh sb="6" eb="7">
      <t>ナカ</t>
    </rPh>
    <rPh sb="8" eb="10">
      <t>セイヒン</t>
    </rPh>
    <rPh sb="10" eb="11">
      <t>リョウ</t>
    </rPh>
    <phoneticPr fontId="2"/>
  </si>
  <si>
    <t>再商品化工程の残渣率</t>
  </si>
  <si>
    <t>再生処理量</t>
    <rPh sb="0" eb="2">
      <t>サイセイ</t>
    </rPh>
    <rPh sb="2" eb="4">
      <t>ショリ</t>
    </rPh>
    <rPh sb="4" eb="5">
      <t>リョウ</t>
    </rPh>
    <phoneticPr fontId="2"/>
  </si>
  <si>
    <t>輸送2・再商品化残渣量</t>
    <rPh sb="0" eb="2">
      <t>ユソウ</t>
    </rPh>
    <rPh sb="4" eb="8">
      <t>サイショウヒンカ</t>
    </rPh>
    <phoneticPr fontId="2"/>
  </si>
  <si>
    <t>焼却（可燃ごみ・選別残渣）投入量</t>
    <rPh sb="0" eb="2">
      <t>ショウキャク</t>
    </rPh>
    <rPh sb="3" eb="5">
      <t>カネン</t>
    </rPh>
    <rPh sb="8" eb="10">
      <t>センベツ</t>
    </rPh>
    <rPh sb="10" eb="12">
      <t>ザンサ</t>
    </rPh>
    <rPh sb="13" eb="16">
      <t>トウニュウリョウ</t>
    </rPh>
    <phoneticPr fontId="2"/>
  </si>
  <si>
    <t>焼却残渣率</t>
    <rPh sb="0" eb="2">
      <t>ショウキャク</t>
    </rPh>
    <rPh sb="2" eb="5">
      <t>ザンサリツ</t>
    </rPh>
    <phoneticPr fontId="2"/>
  </si>
  <si>
    <t>焼却残渣量（再商品化残渣）・輸送3・埋立量</t>
    <rPh sb="0" eb="2">
      <t>ショウキャク</t>
    </rPh>
    <rPh sb="2" eb="4">
      <t>ザンサ</t>
    </rPh>
    <rPh sb="4" eb="5">
      <t>リョウ</t>
    </rPh>
    <rPh sb="6" eb="10">
      <t>サイショウヒンカ</t>
    </rPh>
    <rPh sb="10" eb="12">
      <t>ザンサ</t>
    </rPh>
    <rPh sb="14" eb="16">
      <t>ユソウ</t>
    </rPh>
    <rPh sb="18" eb="19">
      <t>ウ</t>
    </rPh>
    <rPh sb="19" eb="20">
      <t>タ</t>
    </rPh>
    <rPh sb="20" eb="21">
      <t>リョウ</t>
    </rPh>
    <phoneticPr fontId="2"/>
  </si>
  <si>
    <t>焼却残渣量（可燃ごみ・選別残渣）・輸送3・埋立量</t>
    <rPh sb="0" eb="2">
      <t>ショウキャク</t>
    </rPh>
    <rPh sb="2" eb="4">
      <t>ザンサ</t>
    </rPh>
    <rPh sb="4" eb="5">
      <t>リョウ</t>
    </rPh>
    <rPh sb="17" eb="19">
      <t>ユソウ</t>
    </rPh>
    <rPh sb="21" eb="22">
      <t>ウ</t>
    </rPh>
    <rPh sb="22" eb="23">
      <t>タ</t>
    </rPh>
    <rPh sb="23" eb="24">
      <t>リョウ</t>
    </rPh>
    <phoneticPr fontId="2"/>
  </si>
  <si>
    <r>
      <t>CO2</t>
    </r>
    <r>
      <rPr>
        <b/>
        <sz val="14"/>
        <color theme="1"/>
        <rFont val="ＭＳ ゴシック"/>
        <family val="3"/>
        <charset val="128"/>
      </rPr>
      <t>計算</t>
    </r>
    <rPh sb="3" eb="5">
      <t>ケイサン</t>
    </rPh>
    <phoneticPr fontId="2"/>
  </si>
  <si>
    <r>
      <t>CO2</t>
    </r>
    <r>
      <rPr>
        <sz val="11"/>
        <color theme="1"/>
        <rFont val="ＭＳ ゴシック"/>
        <family val="3"/>
        <charset val="128"/>
      </rPr>
      <t>排出量</t>
    </r>
    <rPh sb="3" eb="6">
      <t>ハイシュツリョウ</t>
    </rPh>
    <phoneticPr fontId="2"/>
  </si>
  <si>
    <r>
      <t>t-CO2/</t>
    </r>
    <r>
      <rPr>
        <sz val="11"/>
        <color theme="1"/>
        <rFont val="ＭＳ ゴシック"/>
        <family val="3"/>
        <charset val="128"/>
      </rPr>
      <t>年</t>
    </r>
    <rPh sb="6" eb="7">
      <t>ネン</t>
    </rPh>
    <phoneticPr fontId="1"/>
  </si>
  <si>
    <r>
      <rPr>
        <sz val="11"/>
        <color theme="1"/>
        <rFont val="ＭＳ ゴシック"/>
        <family val="3"/>
        <charset val="128"/>
      </rPr>
      <t>収集・運搬</t>
    </r>
  </si>
  <si>
    <r>
      <rPr>
        <sz val="11"/>
        <color theme="1"/>
        <rFont val="ＭＳ ゴシック"/>
        <family val="3"/>
        <charset val="128"/>
      </rPr>
      <t>選別・ベール化</t>
    </r>
  </si>
  <si>
    <r>
      <rPr>
        <sz val="11"/>
        <color theme="1"/>
        <rFont val="ＭＳ ゴシック"/>
        <family val="3"/>
        <charset val="128"/>
      </rPr>
      <t>輸送</t>
    </r>
    <r>
      <rPr>
        <sz val="11"/>
        <color theme="1"/>
        <rFont val="Arial"/>
        <family val="2"/>
      </rPr>
      <t>1</t>
    </r>
  </si>
  <si>
    <r>
      <rPr>
        <sz val="11"/>
        <color theme="1"/>
        <rFont val="ＭＳ ゴシック"/>
        <family val="3"/>
        <charset val="128"/>
      </rPr>
      <t>再生処理</t>
    </r>
    <rPh sb="0" eb="2">
      <t>サイセイ</t>
    </rPh>
    <phoneticPr fontId="2"/>
  </si>
  <si>
    <r>
      <rPr>
        <sz val="11"/>
        <color theme="1"/>
        <rFont val="ＭＳ ゴシック"/>
        <family val="3"/>
        <charset val="128"/>
      </rPr>
      <t>新規製造</t>
    </r>
    <rPh sb="0" eb="2">
      <t>シンキ</t>
    </rPh>
    <rPh sb="2" eb="4">
      <t>セイゾウ</t>
    </rPh>
    <phoneticPr fontId="2"/>
  </si>
  <si>
    <r>
      <rPr>
        <sz val="11"/>
        <color theme="1"/>
        <rFont val="ＭＳ ゴシック"/>
        <family val="3"/>
        <charset val="128"/>
      </rPr>
      <t>輸送</t>
    </r>
    <r>
      <rPr>
        <sz val="11"/>
        <color theme="1"/>
        <rFont val="Arial"/>
        <family val="2"/>
      </rPr>
      <t>2</t>
    </r>
  </si>
  <si>
    <r>
      <rPr>
        <sz val="11"/>
        <rFont val="ＭＳ ゴシック"/>
        <family val="3"/>
        <charset val="128"/>
      </rPr>
      <t>焼却</t>
    </r>
    <r>
      <rPr>
        <sz val="11"/>
        <rFont val="ＭＳ Ｐゴシック"/>
        <family val="3"/>
        <charset val="128"/>
      </rPr>
      <t>・埋立</t>
    </r>
    <rPh sb="0" eb="2">
      <t>ショウキャク</t>
    </rPh>
    <rPh sb="3" eb="5">
      <t>ウメタテ</t>
    </rPh>
    <phoneticPr fontId="2"/>
  </si>
  <si>
    <r>
      <rPr>
        <sz val="11"/>
        <color theme="1"/>
        <rFont val="ＭＳ ゴシック"/>
        <family val="3"/>
        <charset val="128"/>
      </rPr>
      <t>輸送</t>
    </r>
    <r>
      <rPr>
        <sz val="11"/>
        <color theme="1"/>
        <rFont val="Arial"/>
        <family val="2"/>
      </rPr>
      <t>3</t>
    </r>
  </si>
  <si>
    <r>
      <rPr>
        <sz val="11"/>
        <color theme="1"/>
        <rFont val="ＭＳ ゴシック"/>
        <family val="3"/>
        <charset val="128"/>
      </rPr>
      <t>埋立（※製品化・焼却の原単位に含む）</t>
    </r>
    <rPh sb="0" eb="2">
      <t>ウメタテ</t>
    </rPh>
    <phoneticPr fontId="2"/>
  </si>
  <si>
    <t>総走行距離</t>
    <rPh sb="0" eb="5">
      <t>ソウソウコウキョリ</t>
    </rPh>
    <phoneticPr fontId="2"/>
  </si>
  <si>
    <r>
      <t>km/</t>
    </r>
    <r>
      <rPr>
        <sz val="11"/>
        <color theme="1"/>
        <rFont val="ＭＳ ゴシック"/>
        <family val="3"/>
        <charset val="128"/>
      </rPr>
      <t>年</t>
    </r>
  </si>
  <si>
    <t>プラスチックの割合</t>
    <rPh sb="7" eb="9">
      <t>ワリアイ</t>
    </rPh>
    <phoneticPr fontId="2"/>
  </si>
  <si>
    <t>総走行距離におけるプラスチック分の走行距離</t>
    <rPh sb="0" eb="5">
      <t>ソウソウコウキョリ</t>
    </rPh>
    <rPh sb="15" eb="16">
      <t>ブン</t>
    </rPh>
    <rPh sb="17" eb="21">
      <t>ソウコウキョリ</t>
    </rPh>
    <phoneticPr fontId="2"/>
  </si>
  <si>
    <r>
      <rPr>
        <sz val="11"/>
        <color theme="1"/>
        <rFont val="ＭＳ ゴシック"/>
        <family val="3"/>
        <charset val="128"/>
      </rPr>
      <t>車両の燃費</t>
    </r>
    <rPh sb="0" eb="2">
      <t>シャリョウ</t>
    </rPh>
    <rPh sb="3" eb="5">
      <t>ネンピ</t>
    </rPh>
    <phoneticPr fontId="2"/>
  </si>
  <si>
    <t>km/L</t>
  </si>
  <si>
    <r>
      <rPr>
        <sz val="11"/>
        <color theme="1"/>
        <rFont val="ＭＳ ゴシック"/>
        <family val="3"/>
        <charset val="128"/>
      </rPr>
      <t>軽油の</t>
    </r>
    <r>
      <rPr>
        <sz val="11"/>
        <color theme="1"/>
        <rFont val="Arial"/>
        <family val="2"/>
      </rPr>
      <t>CO2</t>
    </r>
    <r>
      <rPr>
        <sz val="11"/>
        <color theme="1"/>
        <rFont val="ＭＳ ゴシック"/>
        <family val="3"/>
        <charset val="128"/>
      </rPr>
      <t>排出原単位</t>
    </r>
    <rPh sb="0" eb="2">
      <t>ケイユ</t>
    </rPh>
    <rPh sb="6" eb="8">
      <t>ハイシュツ</t>
    </rPh>
    <rPh sb="8" eb="11">
      <t>ゲンタンイ</t>
    </rPh>
    <phoneticPr fontId="2"/>
  </si>
  <si>
    <r>
      <rPr>
        <b/>
        <sz val="11"/>
        <color theme="1"/>
        <rFont val="ＭＳ ゴシック"/>
        <family val="3"/>
        <charset val="128"/>
      </rPr>
      <t>収集・運搬</t>
    </r>
    <rPh sb="0" eb="2">
      <t>シュウシュウ</t>
    </rPh>
    <rPh sb="3" eb="5">
      <t>ウンパン</t>
    </rPh>
    <phoneticPr fontId="2"/>
  </si>
  <si>
    <r>
      <t>t-CO2/</t>
    </r>
    <r>
      <rPr>
        <b/>
        <sz val="10"/>
        <color theme="1"/>
        <rFont val="ＭＳ ゴシック"/>
        <family val="3"/>
        <charset val="128"/>
      </rPr>
      <t>年</t>
    </r>
    <rPh sb="6" eb="7">
      <t>ネン</t>
    </rPh>
    <phoneticPr fontId="1"/>
  </si>
  <si>
    <t>年間消費電力量</t>
    <rPh sb="0" eb="4">
      <t>ネンカンショウヒ</t>
    </rPh>
    <rPh sb="4" eb="6">
      <t>デンリョク</t>
    </rPh>
    <rPh sb="6" eb="7">
      <t>リョウ</t>
    </rPh>
    <phoneticPr fontId="2"/>
  </si>
  <si>
    <r>
      <t>kWh/</t>
    </r>
    <r>
      <rPr>
        <sz val="11"/>
        <color theme="1"/>
        <rFont val="ＭＳ ゴシック"/>
        <family val="3"/>
        <charset val="128"/>
      </rPr>
      <t>年</t>
    </r>
    <rPh sb="4" eb="5">
      <t>ネン</t>
    </rPh>
    <phoneticPr fontId="2"/>
  </si>
  <si>
    <r>
      <rPr>
        <sz val="11"/>
        <color theme="1"/>
        <rFont val="ＭＳ ゴシック"/>
        <family val="3"/>
        <charset val="128"/>
      </rPr>
      <t>消費電力量あたりの</t>
    </r>
    <r>
      <rPr>
        <sz val="11"/>
        <color theme="1"/>
        <rFont val="Arial"/>
        <family val="2"/>
      </rPr>
      <t>CO2</t>
    </r>
    <r>
      <rPr>
        <sz val="11"/>
        <color theme="1"/>
        <rFont val="ＭＳ ゴシック"/>
        <family val="3"/>
        <charset val="128"/>
      </rPr>
      <t>排出原単位</t>
    </r>
    <rPh sb="0" eb="5">
      <t>ショウヒデンリョクリョウ</t>
    </rPh>
    <rPh sb="12" eb="14">
      <t>ハイシュツ</t>
    </rPh>
    <rPh sb="14" eb="17">
      <t>ゲンタンイ</t>
    </rPh>
    <phoneticPr fontId="2"/>
  </si>
  <si>
    <t>t-CO2/kWh</t>
    <phoneticPr fontId="2"/>
  </si>
  <si>
    <r>
      <rPr>
        <b/>
        <sz val="11"/>
        <color theme="1"/>
        <rFont val="ＭＳ ゴシック"/>
        <family val="3"/>
        <charset val="128"/>
      </rPr>
      <t>選別・ベール化</t>
    </r>
    <rPh sb="0" eb="2">
      <t>センベツ</t>
    </rPh>
    <rPh sb="6" eb="7">
      <t>カ</t>
    </rPh>
    <phoneticPr fontId="2"/>
  </si>
  <si>
    <r>
      <rPr>
        <sz val="11"/>
        <color theme="1"/>
        <rFont val="ＭＳ ゴシック"/>
        <family val="3"/>
        <charset val="128"/>
      </rPr>
      <t>走行距離</t>
    </r>
    <rPh sb="0" eb="4">
      <t>ソウコウキョリ</t>
    </rPh>
    <phoneticPr fontId="2"/>
  </si>
  <si>
    <t>輸送1（ベール輸送）</t>
    <rPh sb="0" eb="2">
      <t>ユソウ</t>
    </rPh>
    <rPh sb="7" eb="9">
      <t>ユソウ</t>
    </rPh>
    <phoneticPr fontId="2"/>
  </si>
  <si>
    <r>
      <t>t-CO2/</t>
    </r>
    <r>
      <rPr>
        <b/>
        <sz val="11"/>
        <color theme="1"/>
        <rFont val="ＭＳ ゴシック"/>
        <family val="3"/>
        <charset val="128"/>
      </rPr>
      <t>年</t>
    </r>
    <phoneticPr fontId="1"/>
  </si>
  <si>
    <r>
      <rPr>
        <sz val="11"/>
        <color theme="1"/>
        <rFont val="ＭＳ ゴシック"/>
        <family val="3"/>
        <charset val="128"/>
      </rPr>
      <t>走行距離（残渣）</t>
    </r>
    <rPh sb="0" eb="2">
      <t>ソウコウ</t>
    </rPh>
    <rPh sb="2" eb="4">
      <t>キョリ</t>
    </rPh>
    <rPh sb="5" eb="7">
      <t>ザンサ</t>
    </rPh>
    <phoneticPr fontId="2"/>
  </si>
  <si>
    <t>輸送1（選別残渣輸送）</t>
    <rPh sb="0" eb="2">
      <t>ユソウ</t>
    </rPh>
    <rPh sb="4" eb="6">
      <t>センベツ</t>
    </rPh>
    <rPh sb="6" eb="8">
      <t>ザンサ</t>
    </rPh>
    <rPh sb="8" eb="10">
      <t>ユソウ</t>
    </rPh>
    <phoneticPr fontId="2"/>
  </si>
  <si>
    <r>
      <t>t/</t>
    </r>
    <r>
      <rPr>
        <sz val="10"/>
        <color theme="1"/>
        <rFont val="ＭＳ ゴシック"/>
        <family val="3"/>
        <charset val="128"/>
      </rPr>
      <t>年</t>
    </r>
    <rPh sb="2" eb="3">
      <t>ネン</t>
    </rPh>
    <phoneticPr fontId="1"/>
  </si>
  <si>
    <r>
      <rPr>
        <sz val="11"/>
        <color theme="1"/>
        <rFont val="ＭＳ Ｐゴシック"/>
        <family val="2"/>
        <charset val="128"/>
      </rPr>
      <t>再生処理による</t>
    </r>
    <r>
      <rPr>
        <sz val="11"/>
        <color theme="1"/>
        <rFont val="Arial"/>
        <family val="2"/>
      </rPr>
      <t>CO2</t>
    </r>
    <r>
      <rPr>
        <sz val="11"/>
        <color theme="1"/>
        <rFont val="ＭＳ Ｐゴシック"/>
        <family val="2"/>
        <charset val="128"/>
      </rPr>
      <t>排出量原単位</t>
    </r>
    <rPh sb="0" eb="2">
      <t>サイセイ</t>
    </rPh>
    <rPh sb="2" eb="4">
      <t>ショリ</t>
    </rPh>
    <rPh sb="10" eb="13">
      <t>ハイシュツリョウ</t>
    </rPh>
    <rPh sb="13" eb="16">
      <t>ハラタンイ</t>
    </rPh>
    <phoneticPr fontId="2"/>
  </si>
  <si>
    <r>
      <rPr>
        <sz val="11"/>
        <color theme="1"/>
        <rFont val="ＭＳ Ｐゴシック"/>
        <family val="2"/>
        <charset val="128"/>
      </rPr>
      <t>ｔ</t>
    </r>
    <r>
      <rPr>
        <sz val="11"/>
        <color theme="1"/>
        <rFont val="Arial"/>
        <family val="2"/>
      </rPr>
      <t>CO2/t</t>
    </r>
    <phoneticPr fontId="1"/>
  </si>
  <si>
    <r>
      <rPr>
        <b/>
        <sz val="11"/>
        <color theme="1"/>
        <rFont val="ＭＳ ゴシック"/>
        <family val="3"/>
        <charset val="128"/>
      </rPr>
      <t>再生処理</t>
    </r>
    <rPh sb="0" eb="4">
      <t>サイセイショリ</t>
    </rPh>
    <phoneticPr fontId="2"/>
  </si>
  <si>
    <r>
      <rPr>
        <sz val="11"/>
        <color theme="1"/>
        <rFont val="ＭＳ Ｐゴシック"/>
        <family val="2"/>
        <charset val="128"/>
      </rPr>
      <t>バージン材削減分</t>
    </r>
    <r>
      <rPr>
        <sz val="11"/>
        <color theme="1"/>
        <rFont val="Arial"/>
        <family val="2"/>
        <charset val="128"/>
      </rPr>
      <t>CO2</t>
    </r>
    <r>
      <rPr>
        <sz val="11"/>
        <color theme="1"/>
        <rFont val="ＭＳ Ｐゴシック"/>
        <family val="2"/>
        <charset val="128"/>
      </rPr>
      <t>排出量原単位</t>
    </r>
    <phoneticPr fontId="2"/>
  </si>
  <si>
    <t>代替率</t>
    <rPh sb="0" eb="3">
      <t>ダイタイリツ</t>
    </rPh>
    <phoneticPr fontId="2"/>
  </si>
  <si>
    <t>%</t>
    <phoneticPr fontId="1"/>
  </si>
  <si>
    <r>
      <rPr>
        <b/>
        <sz val="11"/>
        <color theme="1"/>
        <rFont val="ＭＳ ゴシック"/>
        <family val="3"/>
        <charset val="128"/>
      </rPr>
      <t>新規製造</t>
    </r>
    <rPh sb="0" eb="2">
      <t>シンキ</t>
    </rPh>
    <rPh sb="2" eb="4">
      <t>セイゾウ</t>
    </rPh>
    <phoneticPr fontId="2"/>
  </si>
  <si>
    <t>代替率を含めた計算となっています</t>
    <rPh sb="0" eb="3">
      <t>ダイタイリツ</t>
    </rPh>
    <rPh sb="4" eb="5">
      <t>フク</t>
    </rPh>
    <rPh sb="7" eb="9">
      <t>ケイサン</t>
    </rPh>
    <phoneticPr fontId="2"/>
  </si>
  <si>
    <r>
      <rPr>
        <b/>
        <sz val="11"/>
        <color theme="1"/>
        <rFont val="ＭＳ ゴシック"/>
        <family val="3"/>
        <charset val="128"/>
      </rPr>
      <t>輸送</t>
    </r>
    <r>
      <rPr>
        <b/>
        <sz val="11"/>
        <color theme="1"/>
        <rFont val="Arial"/>
        <family val="2"/>
      </rPr>
      <t>2</t>
    </r>
    <r>
      <rPr>
        <b/>
        <sz val="11"/>
        <color theme="1"/>
        <rFont val="Yu Gothic"/>
        <family val="2"/>
        <charset val="128"/>
      </rPr>
      <t>（再商品化残渣輸送）</t>
    </r>
    <rPh sb="0" eb="2">
      <t>ユソウ</t>
    </rPh>
    <rPh sb="4" eb="8">
      <t>サイショウヒンカ</t>
    </rPh>
    <rPh sb="8" eb="10">
      <t>ザンサ</t>
    </rPh>
    <rPh sb="10" eb="12">
      <t>ユソウ</t>
    </rPh>
    <phoneticPr fontId="2"/>
  </si>
  <si>
    <t>可燃ごみ処理工程の投入量</t>
    <rPh sb="0" eb="2">
      <t>カネン</t>
    </rPh>
    <rPh sb="4" eb="6">
      <t>ショリ</t>
    </rPh>
    <rPh sb="6" eb="8">
      <t>コウテイ</t>
    </rPh>
    <rPh sb="9" eb="12">
      <t>トウニュウリョウ</t>
    </rPh>
    <phoneticPr fontId="2"/>
  </si>
  <si>
    <r>
      <rPr>
        <sz val="11"/>
        <color theme="1"/>
        <rFont val="ＭＳ ゴシック"/>
        <family val="3"/>
        <charset val="128"/>
      </rPr>
      <t>可燃ごみ処理工程の</t>
    </r>
    <r>
      <rPr>
        <sz val="11"/>
        <color theme="1"/>
        <rFont val="Arial"/>
        <family val="2"/>
      </rPr>
      <t>CO2</t>
    </r>
    <r>
      <rPr>
        <sz val="11"/>
        <color theme="1"/>
        <rFont val="ＭＳ ゴシック"/>
        <family val="3"/>
        <charset val="128"/>
      </rPr>
      <t>排出原単位</t>
    </r>
    <rPh sb="0" eb="2">
      <t>カネン</t>
    </rPh>
    <rPh sb="4" eb="6">
      <t>ショリ</t>
    </rPh>
    <rPh sb="6" eb="8">
      <t>コウテイ</t>
    </rPh>
    <rPh sb="12" eb="14">
      <t>ハイシュツ</t>
    </rPh>
    <rPh sb="14" eb="17">
      <t>ハラタンイ</t>
    </rPh>
    <phoneticPr fontId="2"/>
  </si>
  <si>
    <r>
      <rPr>
        <sz val="11"/>
        <color theme="1"/>
        <rFont val="ＭＳ ゴシック"/>
        <family val="3"/>
        <charset val="128"/>
      </rPr>
      <t>可燃ごみ処理工程の</t>
    </r>
    <r>
      <rPr>
        <sz val="11"/>
        <color theme="1"/>
        <rFont val="Arial"/>
        <family val="2"/>
      </rPr>
      <t>CO2</t>
    </r>
    <r>
      <rPr>
        <sz val="11"/>
        <color theme="1"/>
        <rFont val="ＭＳ ゴシック"/>
        <family val="3"/>
        <charset val="128"/>
      </rPr>
      <t>排出量</t>
    </r>
    <rPh sb="0" eb="2">
      <t>カネン</t>
    </rPh>
    <rPh sb="4" eb="6">
      <t>ショリ</t>
    </rPh>
    <rPh sb="6" eb="8">
      <t>コウテイ</t>
    </rPh>
    <rPh sb="14" eb="15">
      <t>リョウ</t>
    </rPh>
    <phoneticPr fontId="2"/>
  </si>
  <si>
    <r>
      <t>tCO2/</t>
    </r>
    <r>
      <rPr>
        <sz val="11"/>
        <color theme="1"/>
        <rFont val="ＭＳ Ｐゴシック"/>
        <family val="2"/>
        <charset val="128"/>
      </rPr>
      <t>年</t>
    </r>
    <rPh sb="5" eb="6">
      <t>ネン</t>
    </rPh>
    <phoneticPr fontId="2"/>
  </si>
  <si>
    <t>選別残渣処理工程の投入量</t>
    <rPh sb="0" eb="2">
      <t>センベツ</t>
    </rPh>
    <rPh sb="2" eb="4">
      <t>ザンサ</t>
    </rPh>
    <rPh sb="4" eb="6">
      <t>ショリ</t>
    </rPh>
    <rPh sb="6" eb="8">
      <t>コウテイ</t>
    </rPh>
    <rPh sb="9" eb="12">
      <t>トウニュウリョウ</t>
    </rPh>
    <phoneticPr fontId="2"/>
  </si>
  <si>
    <r>
      <rPr>
        <sz val="11"/>
        <color theme="1"/>
        <rFont val="ＭＳ ゴシック"/>
        <family val="3"/>
        <charset val="128"/>
      </rPr>
      <t>選別残渣処理工程の</t>
    </r>
    <r>
      <rPr>
        <sz val="11"/>
        <color theme="1"/>
        <rFont val="Arial"/>
        <family val="2"/>
      </rPr>
      <t>CO2</t>
    </r>
    <r>
      <rPr>
        <sz val="11"/>
        <color theme="1"/>
        <rFont val="ＭＳ ゴシック"/>
        <family val="3"/>
        <charset val="128"/>
      </rPr>
      <t>排出原単位</t>
    </r>
    <rPh sb="0" eb="2">
      <t>センベツ</t>
    </rPh>
    <rPh sb="2" eb="4">
      <t>ザンサ</t>
    </rPh>
    <rPh sb="4" eb="6">
      <t>ショリ</t>
    </rPh>
    <rPh sb="6" eb="8">
      <t>コウテイ</t>
    </rPh>
    <rPh sb="12" eb="14">
      <t>ハイシュツ</t>
    </rPh>
    <rPh sb="14" eb="17">
      <t>ハラタンイ</t>
    </rPh>
    <phoneticPr fontId="2"/>
  </si>
  <si>
    <r>
      <rPr>
        <sz val="11"/>
        <color theme="1"/>
        <rFont val="ＭＳ ゴシック"/>
        <family val="3"/>
        <charset val="128"/>
      </rPr>
      <t>選別残渣処理工程の</t>
    </r>
    <r>
      <rPr>
        <sz val="11"/>
        <color theme="1"/>
        <rFont val="Arial"/>
        <family val="3"/>
      </rPr>
      <t>CO2</t>
    </r>
    <r>
      <rPr>
        <sz val="11"/>
        <color theme="1"/>
        <rFont val="Yu Gothic"/>
        <family val="3"/>
        <charset val="128"/>
      </rPr>
      <t>排出量</t>
    </r>
    <rPh sb="0" eb="2">
      <t>センベツ</t>
    </rPh>
    <rPh sb="2" eb="4">
      <t>ザンサ</t>
    </rPh>
    <rPh sb="4" eb="6">
      <t>ショリ</t>
    </rPh>
    <rPh sb="6" eb="8">
      <t>コウテイ</t>
    </rPh>
    <phoneticPr fontId="2"/>
  </si>
  <si>
    <t>再商品化残渣処理工程の投入量</t>
    <rPh sb="0" eb="4">
      <t>サイショウヒンカ</t>
    </rPh>
    <rPh sb="4" eb="6">
      <t>ザンサ</t>
    </rPh>
    <rPh sb="6" eb="8">
      <t>ショリ</t>
    </rPh>
    <rPh sb="8" eb="10">
      <t>コウテイ</t>
    </rPh>
    <rPh sb="11" eb="14">
      <t>トウニュウリョウ</t>
    </rPh>
    <phoneticPr fontId="2"/>
  </si>
  <si>
    <r>
      <rPr>
        <sz val="11"/>
        <color theme="1"/>
        <rFont val="ＭＳ ゴシック"/>
        <family val="3"/>
        <charset val="128"/>
      </rPr>
      <t>再商品化残渣処理工程の</t>
    </r>
    <r>
      <rPr>
        <sz val="11"/>
        <color theme="1"/>
        <rFont val="Arial"/>
        <family val="2"/>
      </rPr>
      <t>CO2</t>
    </r>
    <r>
      <rPr>
        <sz val="11"/>
        <color theme="1"/>
        <rFont val="ＭＳ ゴシック"/>
        <family val="3"/>
        <charset val="128"/>
      </rPr>
      <t>排出原単位</t>
    </r>
    <rPh sb="0" eb="4">
      <t>サイショウヒンカ</t>
    </rPh>
    <rPh sb="4" eb="6">
      <t>ザンサ</t>
    </rPh>
    <rPh sb="6" eb="8">
      <t>ショリ</t>
    </rPh>
    <rPh sb="8" eb="10">
      <t>コウテイ</t>
    </rPh>
    <rPh sb="14" eb="16">
      <t>ハイシュツ</t>
    </rPh>
    <rPh sb="16" eb="19">
      <t>ハラタンイ</t>
    </rPh>
    <phoneticPr fontId="2"/>
  </si>
  <si>
    <r>
      <rPr>
        <sz val="11"/>
        <color theme="1"/>
        <rFont val="ＭＳ ゴシック"/>
        <family val="3"/>
        <charset val="128"/>
      </rPr>
      <t>再商品化残渣処理工程の</t>
    </r>
    <r>
      <rPr>
        <sz val="11"/>
        <color theme="1"/>
        <rFont val="Arial"/>
        <family val="2"/>
      </rPr>
      <t>CO2</t>
    </r>
    <r>
      <rPr>
        <sz val="11"/>
        <color theme="1"/>
        <rFont val="ＭＳ ゴシック"/>
        <family val="2"/>
        <charset val="128"/>
      </rPr>
      <t>排出量</t>
    </r>
    <rPh sb="0" eb="4">
      <t>サイショウヒンカ</t>
    </rPh>
    <rPh sb="4" eb="6">
      <t>ザンサ</t>
    </rPh>
    <rPh sb="6" eb="8">
      <t>ショリ</t>
    </rPh>
    <rPh sb="8" eb="10">
      <t>コウテイ</t>
    </rPh>
    <phoneticPr fontId="2"/>
  </si>
  <si>
    <r>
      <rPr>
        <b/>
        <sz val="11"/>
        <color theme="1"/>
        <rFont val="ＭＳ ゴシック"/>
        <family val="3"/>
        <charset val="128"/>
      </rPr>
      <t>焼却</t>
    </r>
    <r>
      <rPr>
        <b/>
        <sz val="11"/>
        <color theme="1"/>
        <rFont val="Yu Gothic"/>
        <family val="2"/>
        <charset val="128"/>
      </rPr>
      <t>・埋立</t>
    </r>
    <rPh sb="0" eb="2">
      <t>ショウキャク</t>
    </rPh>
    <rPh sb="3" eb="5">
      <t>ウメタテ</t>
    </rPh>
    <phoneticPr fontId="2"/>
  </si>
  <si>
    <r>
      <rPr>
        <sz val="11"/>
        <color theme="1"/>
        <rFont val="ＭＳ ゴシック"/>
        <family val="3"/>
        <charset val="128"/>
      </rPr>
      <t>走行距離</t>
    </r>
    <r>
      <rPr>
        <sz val="11"/>
        <color theme="1"/>
        <rFont val="Yu Gothic"/>
        <family val="2"/>
        <charset val="128"/>
      </rPr>
      <t>（可燃ごみ由来）</t>
    </r>
    <rPh sb="0" eb="4">
      <t>ソウコウキョリ</t>
    </rPh>
    <rPh sb="5" eb="7">
      <t>カネン</t>
    </rPh>
    <rPh sb="9" eb="11">
      <t>ユライ</t>
    </rPh>
    <phoneticPr fontId="2"/>
  </si>
  <si>
    <r>
      <rPr>
        <sz val="11"/>
        <color theme="1"/>
        <rFont val="ＭＳ ゴシック"/>
        <family val="3"/>
        <charset val="128"/>
      </rPr>
      <t>可燃ごみ由来の焼却残渣輸送の</t>
    </r>
    <r>
      <rPr>
        <sz val="11"/>
        <color theme="1"/>
        <rFont val="Arial"/>
        <family val="3"/>
      </rPr>
      <t>CO2</t>
    </r>
    <r>
      <rPr>
        <sz val="11"/>
        <color theme="1"/>
        <rFont val="ＭＳ Ｐゴシック"/>
        <family val="3"/>
        <charset val="128"/>
      </rPr>
      <t>排出量</t>
    </r>
    <rPh sb="0" eb="2">
      <t>カネン</t>
    </rPh>
    <rPh sb="4" eb="6">
      <t>ユライ</t>
    </rPh>
    <rPh sb="7" eb="9">
      <t>ショウキャク</t>
    </rPh>
    <rPh sb="9" eb="11">
      <t>ザンサ</t>
    </rPh>
    <rPh sb="11" eb="13">
      <t>ユソウ</t>
    </rPh>
    <rPh sb="17" eb="20">
      <t>ハイシュツリョウ</t>
    </rPh>
    <phoneticPr fontId="2"/>
  </si>
  <si>
    <r>
      <rPr>
        <sz val="11"/>
        <color theme="1"/>
        <rFont val="ＭＳ ゴシック"/>
        <family val="3"/>
        <charset val="128"/>
      </rPr>
      <t>走行距離</t>
    </r>
    <r>
      <rPr>
        <sz val="11"/>
        <color theme="1"/>
        <rFont val="Yu Gothic"/>
        <family val="2"/>
        <charset val="128"/>
      </rPr>
      <t>（選別残渣由来）</t>
    </r>
    <rPh sb="0" eb="4">
      <t>ソウコウキョリ</t>
    </rPh>
    <rPh sb="5" eb="7">
      <t>センベツ</t>
    </rPh>
    <rPh sb="7" eb="9">
      <t>ザンサ</t>
    </rPh>
    <phoneticPr fontId="2"/>
  </si>
  <si>
    <r>
      <rPr>
        <sz val="11"/>
        <color theme="1"/>
        <rFont val="ＭＳ ゴシック"/>
        <family val="3"/>
        <charset val="128"/>
      </rPr>
      <t>選別残渣処理由来の焼却残渣輸送の</t>
    </r>
    <r>
      <rPr>
        <sz val="11"/>
        <color theme="1"/>
        <rFont val="Arial"/>
        <family val="3"/>
      </rPr>
      <t>CO2</t>
    </r>
    <r>
      <rPr>
        <sz val="11"/>
        <color theme="1"/>
        <rFont val="ＭＳ Ｐゴシック"/>
        <family val="3"/>
        <charset val="128"/>
      </rPr>
      <t>排出量</t>
    </r>
    <rPh sb="0" eb="2">
      <t>センベツ</t>
    </rPh>
    <rPh sb="2" eb="4">
      <t>ザンサ</t>
    </rPh>
    <rPh sb="4" eb="6">
      <t>ショリ</t>
    </rPh>
    <rPh sb="6" eb="8">
      <t>ユライ</t>
    </rPh>
    <rPh sb="9" eb="11">
      <t>ショウキャク</t>
    </rPh>
    <rPh sb="11" eb="13">
      <t>ザンサ</t>
    </rPh>
    <rPh sb="13" eb="15">
      <t>ユソウ</t>
    </rPh>
    <rPh sb="19" eb="22">
      <t>ハイシュツリョウ</t>
    </rPh>
    <phoneticPr fontId="2"/>
  </si>
  <si>
    <r>
      <rPr>
        <sz val="11"/>
        <color theme="1"/>
        <rFont val="ＭＳ ゴシック"/>
        <family val="3"/>
        <charset val="128"/>
      </rPr>
      <t>走行距離</t>
    </r>
    <r>
      <rPr>
        <sz val="11"/>
        <color theme="1"/>
        <rFont val="Yu Gothic"/>
        <family val="2"/>
        <charset val="128"/>
      </rPr>
      <t>（再商品化残渣由来）</t>
    </r>
    <rPh sb="0" eb="4">
      <t>ソウコウキョリ</t>
    </rPh>
    <rPh sb="5" eb="9">
      <t>サイショウヒンカ</t>
    </rPh>
    <rPh sb="9" eb="11">
      <t>ザンサ</t>
    </rPh>
    <rPh sb="11" eb="13">
      <t>ユライ</t>
    </rPh>
    <phoneticPr fontId="2"/>
  </si>
  <si>
    <r>
      <rPr>
        <sz val="11"/>
        <color theme="1"/>
        <rFont val="ＭＳ ゴシック"/>
        <family val="3"/>
        <charset val="128"/>
      </rPr>
      <t>再商品化残渣処理由来の焼却残渣輸送の</t>
    </r>
    <r>
      <rPr>
        <sz val="11"/>
        <color theme="1"/>
        <rFont val="Arial"/>
        <family val="3"/>
      </rPr>
      <t>CO2</t>
    </r>
    <r>
      <rPr>
        <sz val="11"/>
        <color theme="1"/>
        <rFont val="ＭＳ Ｐゴシック"/>
        <family val="3"/>
        <charset val="128"/>
      </rPr>
      <t>排出量</t>
    </r>
    <rPh sb="0" eb="4">
      <t>サイショウヒンカ</t>
    </rPh>
    <rPh sb="4" eb="6">
      <t>ザンサ</t>
    </rPh>
    <rPh sb="6" eb="8">
      <t>ショリ</t>
    </rPh>
    <rPh sb="8" eb="10">
      <t>ユライ</t>
    </rPh>
    <rPh sb="11" eb="13">
      <t>ショウキャク</t>
    </rPh>
    <rPh sb="13" eb="15">
      <t>ザンサ</t>
    </rPh>
    <rPh sb="15" eb="17">
      <t>ユソウ</t>
    </rPh>
    <rPh sb="21" eb="24">
      <t>ハイシュツリョウ</t>
    </rPh>
    <phoneticPr fontId="2"/>
  </si>
  <si>
    <r>
      <rPr>
        <b/>
        <sz val="11"/>
        <color theme="1"/>
        <rFont val="ＭＳ ゴシック"/>
        <family val="3"/>
        <charset val="128"/>
      </rPr>
      <t>輸送</t>
    </r>
    <r>
      <rPr>
        <b/>
        <sz val="11"/>
        <color theme="1"/>
        <rFont val="Arial"/>
        <family val="2"/>
      </rPr>
      <t>3</t>
    </r>
    <rPh sb="0" eb="2">
      <t>ユソウ</t>
    </rPh>
    <phoneticPr fontId="2"/>
  </si>
  <si>
    <r>
      <t>tCO2/</t>
    </r>
    <r>
      <rPr>
        <b/>
        <sz val="11"/>
        <color theme="1"/>
        <rFont val="ＭＳ Ｐゴシック"/>
        <family val="2"/>
        <charset val="128"/>
      </rPr>
      <t>年</t>
    </r>
    <rPh sb="5" eb="6">
      <t>ネン</t>
    </rPh>
    <phoneticPr fontId="2"/>
  </si>
  <si>
    <r>
      <rPr>
        <b/>
        <sz val="11"/>
        <color theme="1"/>
        <rFont val="ＭＳ ゴシック"/>
        <family val="3"/>
        <charset val="128"/>
      </rPr>
      <t>合計</t>
    </r>
    <rPh sb="0" eb="2">
      <t>ゴウケイ</t>
    </rPh>
    <phoneticPr fontId="2"/>
  </si>
  <si>
    <t>コスト計算</t>
    <rPh sb="3" eb="5">
      <t>ケイサン</t>
    </rPh>
    <phoneticPr fontId="2"/>
  </si>
  <si>
    <r>
      <rPr>
        <sz val="11"/>
        <color theme="1"/>
        <rFont val="ＭＳ ゴシック"/>
        <family val="3"/>
        <charset val="128"/>
      </rPr>
      <t>千円</t>
    </r>
    <r>
      <rPr>
        <sz val="11"/>
        <color theme="1"/>
        <rFont val="Arial"/>
        <family val="2"/>
      </rPr>
      <t>/</t>
    </r>
    <r>
      <rPr>
        <sz val="11"/>
        <color theme="1"/>
        <rFont val="ＭＳ ゴシック"/>
        <family val="3"/>
        <charset val="128"/>
      </rPr>
      <t>年</t>
    </r>
    <rPh sb="0" eb="1">
      <t>セン</t>
    </rPh>
    <rPh sb="1" eb="2">
      <t>エン</t>
    </rPh>
    <rPh sb="3" eb="4">
      <t>ネン</t>
    </rPh>
    <phoneticPr fontId="2"/>
  </si>
  <si>
    <r>
      <rPr>
        <sz val="11"/>
        <color theme="1"/>
        <rFont val="ＭＳ ゴシック"/>
        <family val="3"/>
        <charset val="128"/>
      </rPr>
      <t>焼却</t>
    </r>
    <rPh sb="0" eb="2">
      <t>ショウキャク</t>
    </rPh>
    <phoneticPr fontId="2"/>
  </si>
  <si>
    <r>
      <rPr>
        <sz val="11"/>
        <color theme="1"/>
        <rFont val="ＭＳ ゴシック"/>
        <family val="3"/>
        <charset val="128"/>
      </rPr>
      <t>埋立</t>
    </r>
    <rPh sb="0" eb="2">
      <t>ウメタテ</t>
    </rPh>
    <phoneticPr fontId="2"/>
  </si>
  <si>
    <t>可燃ごみの収集運搬費</t>
    <rPh sb="0" eb="2">
      <t>カネン</t>
    </rPh>
    <rPh sb="5" eb="7">
      <t>シュウシュウ</t>
    </rPh>
    <rPh sb="7" eb="9">
      <t>ウンパン</t>
    </rPh>
    <rPh sb="9" eb="10">
      <t>ヒ</t>
    </rPh>
    <phoneticPr fontId="2"/>
  </si>
  <si>
    <t>円/年</t>
    <rPh sb="0" eb="1">
      <t>エン</t>
    </rPh>
    <rPh sb="2" eb="3">
      <t>ネン</t>
    </rPh>
    <phoneticPr fontId="2"/>
  </si>
  <si>
    <t>可燃ごみ中のプラスチック比率</t>
    <phoneticPr fontId="2"/>
  </si>
  <si>
    <t>分別収集物の収集運搬費</t>
    <rPh sb="0" eb="2">
      <t>ブンベツ</t>
    </rPh>
    <rPh sb="2" eb="5">
      <t>シュウシュウブツ</t>
    </rPh>
    <rPh sb="6" eb="8">
      <t>シュウシュウ</t>
    </rPh>
    <rPh sb="8" eb="10">
      <t>ウンパン</t>
    </rPh>
    <rPh sb="10" eb="11">
      <t>ヒ</t>
    </rPh>
    <phoneticPr fontId="2"/>
  </si>
  <si>
    <r>
      <rPr>
        <b/>
        <sz val="11"/>
        <color theme="1"/>
        <rFont val="ＭＳ ゴシック"/>
        <family val="3"/>
        <charset val="128"/>
      </rPr>
      <t>千円</t>
    </r>
    <r>
      <rPr>
        <b/>
        <sz val="11"/>
        <color theme="1"/>
        <rFont val="Arial"/>
        <family val="2"/>
      </rPr>
      <t>/</t>
    </r>
    <r>
      <rPr>
        <b/>
        <sz val="11"/>
        <color theme="1"/>
        <rFont val="ＭＳ ゴシック"/>
        <family val="3"/>
        <charset val="128"/>
      </rPr>
      <t>年</t>
    </r>
    <rPh sb="0" eb="1">
      <t>セン</t>
    </rPh>
    <rPh sb="1" eb="2">
      <t>エン</t>
    </rPh>
    <rPh sb="3" eb="4">
      <t>ネン</t>
    </rPh>
    <phoneticPr fontId="2"/>
  </si>
  <si>
    <t>選別・ベール化工程投入量</t>
    <rPh sb="0" eb="2">
      <t>センベツ</t>
    </rPh>
    <rPh sb="6" eb="7">
      <t>カ</t>
    </rPh>
    <rPh sb="7" eb="9">
      <t>コウテイ</t>
    </rPh>
    <rPh sb="9" eb="12">
      <t>トウニュウリョウ</t>
    </rPh>
    <phoneticPr fontId="2"/>
  </si>
  <si>
    <r>
      <rPr>
        <sz val="11"/>
        <color theme="1"/>
        <rFont val="Arial"/>
        <family val="3"/>
      </rPr>
      <t>t/</t>
    </r>
    <r>
      <rPr>
        <sz val="11"/>
        <color theme="1"/>
        <rFont val="ＭＳ Ｐゴシック"/>
        <family val="3"/>
        <charset val="128"/>
      </rPr>
      <t>年</t>
    </r>
    <rPh sb="2" eb="3">
      <t>ネン</t>
    </rPh>
    <phoneticPr fontId="2"/>
  </si>
  <si>
    <t>選別処理単価</t>
    <rPh sb="0" eb="2">
      <t>センベツ</t>
    </rPh>
    <rPh sb="2" eb="4">
      <t>ショリ</t>
    </rPh>
    <rPh sb="4" eb="6">
      <t>タンカ</t>
    </rPh>
    <phoneticPr fontId="2"/>
  </si>
  <si>
    <r>
      <rPr>
        <sz val="11"/>
        <color theme="1"/>
        <rFont val="ＭＳ ゴシック"/>
        <family val="3"/>
        <charset val="128"/>
      </rPr>
      <t>円/</t>
    </r>
    <r>
      <rPr>
        <sz val="11"/>
        <color theme="1"/>
        <rFont val="Arial"/>
        <family val="3"/>
      </rPr>
      <t>t</t>
    </r>
    <rPh sb="0" eb="1">
      <t>エン</t>
    </rPh>
    <phoneticPr fontId="2"/>
  </si>
  <si>
    <t>施設保管管理経費等その他費用</t>
    <rPh sb="12" eb="14">
      <t>ヒヨウ</t>
    </rPh>
    <phoneticPr fontId="2"/>
  </si>
  <si>
    <r>
      <rPr>
        <b/>
        <sz val="11"/>
        <color theme="1"/>
        <rFont val="ＭＳ ゴシック"/>
        <family val="3"/>
        <charset val="128"/>
      </rPr>
      <t>千円</t>
    </r>
    <r>
      <rPr>
        <b/>
        <sz val="11"/>
        <color theme="1"/>
        <rFont val="Arial"/>
        <family val="2"/>
      </rPr>
      <t>/</t>
    </r>
    <r>
      <rPr>
        <b/>
        <sz val="11"/>
        <color theme="1"/>
        <rFont val="ＭＳ ゴシック"/>
        <family val="3"/>
        <charset val="128"/>
      </rPr>
      <t>年</t>
    </r>
  </si>
  <si>
    <t>選別残渣輸送に関する費用</t>
    <rPh sb="0" eb="2">
      <t>センベツ</t>
    </rPh>
    <rPh sb="2" eb="6">
      <t>ザンサユソウ</t>
    </rPh>
    <rPh sb="7" eb="8">
      <t>カン</t>
    </rPh>
    <rPh sb="10" eb="12">
      <t>ヒヨウ</t>
    </rPh>
    <phoneticPr fontId="2"/>
  </si>
  <si>
    <r>
      <rPr>
        <sz val="11"/>
        <color theme="1"/>
        <rFont val="ＭＳ ゴシック"/>
        <family val="3"/>
        <charset val="128"/>
      </rPr>
      <t>円</t>
    </r>
  </si>
  <si>
    <r>
      <rPr>
        <b/>
        <sz val="11"/>
        <color theme="1"/>
        <rFont val="ＭＳ ゴシック"/>
        <family val="3"/>
        <charset val="128"/>
      </rPr>
      <t>輸送</t>
    </r>
    <r>
      <rPr>
        <b/>
        <sz val="11"/>
        <color theme="1"/>
        <rFont val="Arial"/>
        <family val="2"/>
      </rPr>
      <t>1</t>
    </r>
    <r>
      <rPr>
        <b/>
        <sz val="11"/>
        <color theme="1"/>
        <rFont val="Yu Gothic"/>
        <family val="2"/>
        <charset val="128"/>
      </rPr>
      <t>（選別残渣輸送）</t>
    </r>
    <rPh sb="0" eb="2">
      <t>ユソウ</t>
    </rPh>
    <rPh sb="4" eb="6">
      <t>センベツ</t>
    </rPh>
    <rPh sb="6" eb="8">
      <t>ザンサ</t>
    </rPh>
    <rPh sb="8" eb="10">
      <t>ユソウ</t>
    </rPh>
    <phoneticPr fontId="2"/>
  </si>
  <si>
    <t>ベール輸送・再商品化残渣処理は再商品化単価に含まれている前提です</t>
    <rPh sb="3" eb="5">
      <t>ユソウ</t>
    </rPh>
    <rPh sb="6" eb="10">
      <t>サイショウヒンカ</t>
    </rPh>
    <rPh sb="10" eb="12">
      <t>ザンサ</t>
    </rPh>
    <rPh sb="12" eb="14">
      <t>ショリ</t>
    </rPh>
    <rPh sb="15" eb="19">
      <t>サイショウヒンカ</t>
    </rPh>
    <rPh sb="19" eb="21">
      <t>タンカ</t>
    </rPh>
    <rPh sb="22" eb="23">
      <t>フク</t>
    </rPh>
    <rPh sb="28" eb="30">
      <t>ゼンテイ</t>
    </rPh>
    <phoneticPr fontId="2"/>
  </si>
  <si>
    <t>容器包装工程投入量</t>
    <rPh sb="0" eb="4">
      <t>ヨウキホウソウ</t>
    </rPh>
    <rPh sb="4" eb="6">
      <t>コウテイ</t>
    </rPh>
    <rPh sb="6" eb="9">
      <t>トウニュウリョウ</t>
    </rPh>
    <phoneticPr fontId="2"/>
  </si>
  <si>
    <t>容器包装処理単価</t>
    <rPh sb="0" eb="4">
      <t>ヨウキホウソウ</t>
    </rPh>
    <rPh sb="4" eb="8">
      <t>ショリタンカ</t>
    </rPh>
    <phoneticPr fontId="2"/>
  </si>
  <si>
    <r>
      <rPr>
        <sz val="11"/>
        <color theme="1"/>
        <rFont val="ＭＳ ゴシック"/>
        <family val="3"/>
        <charset val="128"/>
      </rPr>
      <t>円</t>
    </r>
    <r>
      <rPr>
        <sz val="11"/>
        <color theme="1"/>
        <rFont val="Arial"/>
        <family val="2"/>
      </rPr>
      <t>/t</t>
    </r>
  </si>
  <si>
    <t>自治体負担割合</t>
    <rPh sb="0" eb="3">
      <t>ジチタイ</t>
    </rPh>
    <rPh sb="3" eb="7">
      <t>フタンワリアイ</t>
    </rPh>
    <phoneticPr fontId="2"/>
  </si>
  <si>
    <t>容器包装処理費用</t>
    <rPh sb="0" eb="4">
      <t>ヨウキホウソウ</t>
    </rPh>
    <rPh sb="4" eb="6">
      <t>ショリ</t>
    </rPh>
    <rPh sb="6" eb="8">
      <t>ヒヨウ</t>
    </rPh>
    <phoneticPr fontId="2"/>
  </si>
  <si>
    <r>
      <rPr>
        <sz val="11"/>
        <color theme="1"/>
        <rFont val="ＭＳ ゴシック"/>
        <family val="3"/>
        <charset val="128"/>
      </rPr>
      <t>円</t>
    </r>
    <r>
      <rPr>
        <sz val="11"/>
        <color theme="1"/>
        <rFont val="Arial"/>
        <family val="2"/>
      </rPr>
      <t>/</t>
    </r>
    <r>
      <rPr>
        <sz val="11"/>
        <color theme="1"/>
        <rFont val="ＭＳ ゴシック"/>
        <family val="3"/>
        <charset val="128"/>
      </rPr>
      <t>年</t>
    </r>
    <rPh sb="2" eb="3">
      <t>ネン</t>
    </rPh>
    <phoneticPr fontId="2"/>
  </si>
  <si>
    <t>製品工程投入量</t>
    <rPh sb="2" eb="4">
      <t>コウテイ</t>
    </rPh>
    <rPh sb="4" eb="7">
      <t>トウニュウリョウ</t>
    </rPh>
    <phoneticPr fontId="2"/>
  </si>
  <si>
    <t>製品処理単価</t>
    <rPh sb="2" eb="6">
      <t>ショリタンカ</t>
    </rPh>
    <phoneticPr fontId="2"/>
  </si>
  <si>
    <t>製品処理費用</t>
    <rPh sb="2" eb="4">
      <t>ショリ</t>
    </rPh>
    <rPh sb="4" eb="6">
      <t>ヒヨウ</t>
    </rPh>
    <phoneticPr fontId="2"/>
  </si>
  <si>
    <t>輸送2は再商品化単価に含まれている前提です</t>
    <rPh sb="0" eb="2">
      <t>ユソウ</t>
    </rPh>
    <rPh sb="4" eb="8">
      <t>サイショウヒンカ</t>
    </rPh>
    <rPh sb="8" eb="10">
      <t>タンカ</t>
    </rPh>
    <rPh sb="11" eb="12">
      <t>フク</t>
    </rPh>
    <rPh sb="17" eb="19">
      <t>ゼンテイ</t>
    </rPh>
    <phoneticPr fontId="2"/>
  </si>
  <si>
    <r>
      <rPr>
        <sz val="11"/>
        <color theme="1"/>
        <rFont val="ＭＳ ゴシック"/>
        <family val="3"/>
        <charset val="128"/>
      </rPr>
      <t>工程投入量（可燃ごみ）</t>
    </r>
    <rPh sb="0" eb="5">
      <t>コウテイトウニュウリョウ</t>
    </rPh>
    <rPh sb="6" eb="8">
      <t>カネン</t>
    </rPh>
    <phoneticPr fontId="2"/>
  </si>
  <si>
    <t>工程投入量（選別残渣）</t>
    <rPh sb="0" eb="5">
      <t>コウテイトウニュウリョウ</t>
    </rPh>
    <rPh sb="6" eb="8">
      <t>センベツ</t>
    </rPh>
    <rPh sb="8" eb="10">
      <t>ザンサ</t>
    </rPh>
    <phoneticPr fontId="2"/>
  </si>
  <si>
    <t>焼却処理単価</t>
    <rPh sb="0" eb="2">
      <t>ショウキャク</t>
    </rPh>
    <rPh sb="2" eb="4">
      <t>ショリ</t>
    </rPh>
    <rPh sb="4" eb="6">
      <t>タンカ</t>
    </rPh>
    <phoneticPr fontId="2"/>
  </si>
  <si>
    <r>
      <rPr>
        <b/>
        <sz val="11"/>
        <color theme="1"/>
        <rFont val="ＭＳ ゴシック"/>
        <family val="3"/>
        <charset val="128"/>
      </rPr>
      <t>焼却</t>
    </r>
    <rPh sb="0" eb="2">
      <t>ショウキャク</t>
    </rPh>
    <phoneticPr fontId="2"/>
  </si>
  <si>
    <t>焼却残渣に関する費用</t>
    <rPh sb="0" eb="2">
      <t>ショウキャク</t>
    </rPh>
    <rPh sb="2" eb="4">
      <t>ザンサ</t>
    </rPh>
    <rPh sb="5" eb="6">
      <t>カン</t>
    </rPh>
    <rPh sb="8" eb="10">
      <t>ヒヨウ</t>
    </rPh>
    <phoneticPr fontId="2"/>
  </si>
  <si>
    <r>
      <rPr>
        <sz val="11"/>
        <color theme="1"/>
        <rFont val="ＭＳ ゴシック"/>
        <family val="3"/>
        <charset val="128"/>
      </rPr>
      <t>工程投入量</t>
    </r>
    <rPh sb="0" eb="5">
      <t>コウテイトウニュウリョウ</t>
    </rPh>
    <phoneticPr fontId="2"/>
  </si>
  <si>
    <r>
      <rPr>
        <sz val="11"/>
        <color theme="1"/>
        <rFont val="ＭＳ ゴシック"/>
        <family val="3"/>
        <charset val="128"/>
      </rPr>
      <t>埋立処理単価</t>
    </r>
    <rPh sb="0" eb="2">
      <t>ウメタテ</t>
    </rPh>
    <rPh sb="2" eb="4">
      <t>ショリ</t>
    </rPh>
    <rPh sb="4" eb="6">
      <t>タンカ</t>
    </rPh>
    <phoneticPr fontId="2"/>
  </si>
  <si>
    <r>
      <rPr>
        <b/>
        <sz val="11"/>
        <color theme="1"/>
        <rFont val="ＭＳ ゴシック"/>
        <family val="3"/>
        <charset val="128"/>
      </rPr>
      <t>埋立</t>
    </r>
    <rPh sb="0" eb="2">
      <t>ウメタテ</t>
    </rPh>
    <phoneticPr fontId="2"/>
  </si>
  <si>
    <r>
      <rPr>
        <b/>
        <sz val="11"/>
        <color theme="1"/>
        <rFont val="ＭＳ ゴシック"/>
        <family val="3"/>
        <charset val="128"/>
      </rPr>
      <t>合計（千円）</t>
    </r>
    <rPh sb="0" eb="2">
      <t>ゴウケイ</t>
    </rPh>
    <rPh sb="3" eb="4">
      <t>セン</t>
    </rPh>
    <rPh sb="4" eb="5">
      <t>エン</t>
    </rPh>
    <phoneticPr fontId="2"/>
  </si>
  <si>
    <t>年間の一括回収プラスチック収集量</t>
    <phoneticPr fontId="2"/>
  </si>
  <si>
    <t>現行で容器包装の分別収集を行っていない自治体</t>
    <rPh sb="0" eb="2">
      <t>ゲンコウ</t>
    </rPh>
    <rPh sb="3" eb="5">
      <t>ヨウキ</t>
    </rPh>
    <rPh sb="5" eb="7">
      <t>ホウソウ</t>
    </rPh>
    <rPh sb="8" eb="10">
      <t>ブンベツ</t>
    </rPh>
    <rPh sb="10" eb="12">
      <t>シュウシュウ</t>
    </rPh>
    <rPh sb="13" eb="14">
      <t>オコナ</t>
    </rPh>
    <rPh sb="19" eb="22">
      <t>ジチタイ</t>
    </rPh>
    <phoneticPr fontId="2"/>
  </si>
  <si>
    <t>備考</t>
    <rPh sb="0" eb="2">
      <t>ビコウ</t>
    </rPh>
    <phoneticPr fontId="2"/>
  </si>
  <si>
    <t>現行で容器包装の分別収集を行っている自治体</t>
    <rPh sb="0" eb="2">
      <t>ゲンコウ</t>
    </rPh>
    <rPh sb="3" eb="7">
      <t>ヨウキホウソウ</t>
    </rPh>
    <rPh sb="8" eb="10">
      <t>ブンベツ</t>
    </rPh>
    <rPh sb="10" eb="12">
      <t>シュウシュウ</t>
    </rPh>
    <rPh sb="13" eb="14">
      <t>オコナ</t>
    </rPh>
    <rPh sb="18" eb="21">
      <t>ジチタイ</t>
    </rPh>
    <phoneticPr fontId="2"/>
  </si>
  <si>
    <t>(1)</t>
    <phoneticPr fontId="2"/>
  </si>
  <si>
    <t>年間の可燃ごみ収集量</t>
    <rPh sb="0" eb="2">
      <t>ネンカン</t>
    </rPh>
    <rPh sb="3" eb="5">
      <t>カネン</t>
    </rPh>
    <rPh sb="7" eb="10">
      <t>シュウシュウリョウ</t>
    </rPh>
    <phoneticPr fontId="2"/>
  </si>
  <si>
    <r>
      <rPr>
        <sz val="11"/>
        <color theme="1"/>
        <rFont val="ＭＳ Ｐゴシック"/>
        <family val="2"/>
        <charset val="128"/>
      </rPr>
      <t>「パラメータ」シート</t>
    </r>
    <r>
      <rPr>
        <sz val="11"/>
        <color theme="1"/>
        <rFont val="Arial"/>
        <family val="2"/>
      </rPr>
      <t>H</t>
    </r>
    <r>
      <rPr>
        <sz val="11"/>
        <color theme="1"/>
        <rFont val="Arial"/>
        <family val="2"/>
        <charset val="128"/>
      </rPr>
      <t>5</t>
    </r>
    <r>
      <rPr>
        <sz val="11"/>
        <color theme="1"/>
        <rFont val="Yu Gothic"/>
        <family val="2"/>
        <charset val="128"/>
      </rPr>
      <t>セル参照</t>
    </r>
    <rPh sb="0" eb="2">
      <t>ジュウリョウ</t>
    </rPh>
    <phoneticPr fontId="2"/>
  </si>
  <si>
    <t>(5)</t>
    <phoneticPr fontId="2"/>
  </si>
  <si>
    <t>年間の容器包装収集量</t>
    <rPh sb="0" eb="2">
      <t>ネンカン</t>
    </rPh>
    <rPh sb="3" eb="7">
      <t>ヨウキホウソウ</t>
    </rPh>
    <rPh sb="7" eb="10">
      <t>シュウシュウリョウ</t>
    </rPh>
    <phoneticPr fontId="2"/>
  </si>
  <si>
    <r>
      <rPr>
        <sz val="11"/>
        <color theme="1"/>
        <rFont val="ＭＳ Ｐゴシック"/>
        <family val="2"/>
        <charset val="128"/>
      </rPr>
      <t>「パラメータ」シート</t>
    </r>
    <r>
      <rPr>
        <sz val="11"/>
        <color theme="1"/>
        <rFont val="Arial"/>
        <family val="2"/>
      </rPr>
      <t>H7</t>
    </r>
    <r>
      <rPr>
        <sz val="11"/>
        <color theme="1"/>
        <rFont val="Yu Gothic"/>
        <family val="2"/>
        <charset val="128"/>
      </rPr>
      <t>セル参照</t>
    </r>
    <rPh sb="0" eb="2">
      <t>ジュウリョウ</t>
    </rPh>
    <phoneticPr fontId="2"/>
  </si>
  <si>
    <t>(2)</t>
    <phoneticPr fontId="2"/>
  </si>
  <si>
    <t>現行の可燃ごみ中のプラスチック比率</t>
  </si>
  <si>
    <r>
      <rPr>
        <sz val="11"/>
        <color theme="1"/>
        <rFont val="ＭＳ Ｐゴシック"/>
        <family val="2"/>
        <charset val="128"/>
      </rPr>
      <t>「パラメータ」シート</t>
    </r>
    <r>
      <rPr>
        <sz val="11"/>
        <color theme="1"/>
        <rFont val="Arial"/>
        <family val="2"/>
      </rPr>
      <t>H6</t>
    </r>
    <r>
      <rPr>
        <sz val="11"/>
        <color theme="1"/>
        <rFont val="Yu Gothic"/>
        <family val="2"/>
        <charset val="128"/>
      </rPr>
      <t>セル参照</t>
    </r>
    <rPh sb="0" eb="2">
      <t>ジュウリョウ</t>
    </rPh>
    <phoneticPr fontId="2"/>
  </si>
  <si>
    <t>(6)</t>
    <phoneticPr fontId="2"/>
  </si>
  <si>
    <t>一括回収時の容器包装比率</t>
    <rPh sb="0" eb="2">
      <t>イッカツ</t>
    </rPh>
    <rPh sb="2" eb="5">
      <t>カイシュウジ</t>
    </rPh>
    <rPh sb="6" eb="10">
      <t>ヨウキホウソウ</t>
    </rPh>
    <rPh sb="10" eb="12">
      <t>ヒリツ</t>
    </rPh>
    <phoneticPr fontId="2"/>
  </si>
  <si>
    <r>
      <rPr>
        <sz val="11"/>
        <color theme="1"/>
        <rFont val="ＭＳ Ｐゴシック"/>
        <family val="2"/>
        <charset val="128"/>
      </rPr>
      <t>「パラメータ」シート</t>
    </r>
    <r>
      <rPr>
        <sz val="11"/>
        <color theme="1"/>
        <rFont val="Arial"/>
        <family val="2"/>
      </rPr>
      <t>H12</t>
    </r>
    <r>
      <rPr>
        <sz val="11"/>
        <color theme="1"/>
        <rFont val="Yu Gothic"/>
        <family val="2"/>
        <charset val="128"/>
      </rPr>
      <t>セル参照</t>
    </r>
    <rPh sb="0" eb="2">
      <t>ジュウリョウ</t>
    </rPh>
    <phoneticPr fontId="2"/>
  </si>
  <si>
    <t>(3)</t>
    <phoneticPr fontId="2"/>
  </si>
  <si>
    <t>分別協力率</t>
    <rPh sb="0" eb="2">
      <t>ブンベツ</t>
    </rPh>
    <rPh sb="2" eb="5">
      <t>キョウリョクリツ</t>
    </rPh>
    <phoneticPr fontId="2"/>
  </si>
  <si>
    <t>自治体想定値</t>
    <rPh sb="0" eb="3">
      <t>ジチタイ</t>
    </rPh>
    <rPh sb="3" eb="5">
      <t>ソウテイ</t>
    </rPh>
    <rPh sb="5" eb="6">
      <t>アタイ</t>
    </rPh>
    <phoneticPr fontId="2"/>
  </si>
  <si>
    <t>(7)</t>
    <phoneticPr fontId="2"/>
  </si>
  <si>
    <t>一括回収時の製品比率</t>
    <rPh sb="0" eb="2">
      <t>イッカツ</t>
    </rPh>
    <rPh sb="2" eb="5">
      <t>カイシュウジ</t>
    </rPh>
    <rPh sb="6" eb="8">
      <t>セイヒン</t>
    </rPh>
    <rPh sb="8" eb="10">
      <t>ヒリツ</t>
    </rPh>
    <phoneticPr fontId="2"/>
  </si>
  <si>
    <r>
      <rPr>
        <sz val="11"/>
        <color theme="1"/>
        <rFont val="ＭＳ Ｐゴシック"/>
        <family val="2"/>
        <charset val="128"/>
      </rPr>
      <t>「パラメータ」シート</t>
    </r>
    <r>
      <rPr>
        <sz val="11"/>
        <color theme="1"/>
        <rFont val="Arial"/>
        <family val="2"/>
      </rPr>
      <t>H13</t>
    </r>
    <r>
      <rPr>
        <sz val="11"/>
        <color theme="1"/>
        <rFont val="Yu Gothic"/>
        <family val="2"/>
        <charset val="128"/>
      </rPr>
      <t>セル参照</t>
    </r>
    <rPh sb="0" eb="2">
      <t>ジュウリョウ</t>
    </rPh>
    <phoneticPr fontId="2"/>
  </si>
  <si>
    <t>(4)</t>
    <phoneticPr fontId="2"/>
  </si>
  <si>
    <t>「パラメータ」シートK11セルに入力</t>
    <rPh sb="16" eb="18">
      <t>ニュウリョク</t>
    </rPh>
    <phoneticPr fontId="2"/>
  </si>
  <si>
    <t>(8)</t>
    <phoneticPr fontId="2"/>
  </si>
  <si>
    <t>一括回収時の製品量</t>
    <rPh sb="0" eb="2">
      <t>イッカツ</t>
    </rPh>
    <rPh sb="2" eb="5">
      <t>カイシュウジ</t>
    </rPh>
    <rPh sb="6" eb="8">
      <t>セイヒン</t>
    </rPh>
    <rPh sb="8" eb="9">
      <t>リョウ</t>
    </rPh>
    <phoneticPr fontId="2"/>
  </si>
  <si>
    <t>(5)÷(6)×(7)</t>
    <phoneticPr fontId="2"/>
  </si>
  <si>
    <t>(9)</t>
    <phoneticPr fontId="2"/>
  </si>
  <si>
    <t>一括回収実施後の容器包装プラ選別・ベール化工程の残渣率</t>
    <phoneticPr fontId="2"/>
  </si>
  <si>
    <t>「数量（ルート1）」シートN25セル参照</t>
    <rPh sb="1" eb="3">
      <t>スウリョウ</t>
    </rPh>
    <rPh sb="18" eb="20">
      <t>サンショウ</t>
    </rPh>
    <phoneticPr fontId="2"/>
  </si>
  <si>
    <t>(2)</t>
  </si>
  <si>
    <r>
      <t>(1)</t>
    </r>
    <r>
      <rPr>
        <sz val="11"/>
        <color theme="1"/>
        <rFont val="ＭＳ Ｐゴシック"/>
        <family val="2"/>
        <charset val="128"/>
      </rPr>
      <t>に含まれる不適合物の量</t>
    </r>
    <rPh sb="4" eb="5">
      <t>フク</t>
    </rPh>
    <rPh sb="8" eb="11">
      <t>フテキゴウ</t>
    </rPh>
    <rPh sb="11" eb="12">
      <t>ブツ</t>
    </rPh>
    <rPh sb="13" eb="14">
      <t>リョウ</t>
    </rPh>
    <phoneticPr fontId="2"/>
  </si>
  <si>
    <t>汚れが付着したもの等、各自治体の選別対象物の量</t>
    <rPh sb="0" eb="1">
      <t>ヨゴ</t>
    </rPh>
    <rPh sb="3" eb="5">
      <t>フチャク</t>
    </rPh>
    <rPh sb="9" eb="10">
      <t>トウ</t>
    </rPh>
    <rPh sb="11" eb="12">
      <t>カク</t>
    </rPh>
    <rPh sb="12" eb="15">
      <t>ジチタイ</t>
    </rPh>
    <rPh sb="16" eb="18">
      <t>センベツ</t>
    </rPh>
    <rPh sb="18" eb="20">
      <t>タイショウ</t>
    </rPh>
    <rPh sb="20" eb="21">
      <t>ブツ</t>
    </rPh>
    <rPh sb="22" eb="23">
      <t>リョウ</t>
    </rPh>
    <phoneticPr fontId="2"/>
  </si>
  <si>
    <t>(3)</t>
  </si>
  <si>
    <t>残渣率</t>
    <rPh sb="0" eb="3">
      <t>ザンサリツ</t>
    </rPh>
    <phoneticPr fontId="2"/>
  </si>
  <si>
    <t>「パラメータ」シートK14セルに入力</t>
    <rPh sb="16" eb="18">
      <t>ニュウリョク</t>
    </rPh>
    <phoneticPr fontId="2"/>
  </si>
  <si>
    <t>一括回収実施後の製品選別・ベール化工程の残渣率</t>
    <phoneticPr fontId="2"/>
  </si>
  <si>
    <t>「数量（ルート1）」シートN26セル参照</t>
    <rPh sb="1" eb="3">
      <t>スウリョウ</t>
    </rPh>
    <rPh sb="18" eb="20">
      <t>サンショウ</t>
    </rPh>
    <phoneticPr fontId="2"/>
  </si>
  <si>
    <r>
      <t>汚れが付着したもの等、各自治体の選別対象物の量（</t>
    </r>
    <r>
      <rPr>
        <b/>
        <u/>
        <sz val="11"/>
        <color theme="1"/>
        <rFont val="ＭＳ Ｐゴシック"/>
        <family val="3"/>
        <charset val="128"/>
      </rPr>
      <t>想定値の入力</t>
    </r>
    <r>
      <rPr>
        <sz val="11"/>
        <color theme="1"/>
        <rFont val="ＭＳ Ｐゴシック"/>
        <family val="2"/>
        <charset val="128"/>
      </rPr>
      <t>）</t>
    </r>
    <rPh sb="0" eb="1">
      <t>ヨゴ</t>
    </rPh>
    <rPh sb="3" eb="5">
      <t>フチャク</t>
    </rPh>
    <rPh sb="9" eb="10">
      <t>トウ</t>
    </rPh>
    <rPh sb="11" eb="12">
      <t>カク</t>
    </rPh>
    <rPh sb="12" eb="15">
      <t>ジチタイ</t>
    </rPh>
    <rPh sb="16" eb="18">
      <t>センベツ</t>
    </rPh>
    <rPh sb="18" eb="20">
      <t>タイショウ</t>
    </rPh>
    <rPh sb="20" eb="21">
      <t>ブツ</t>
    </rPh>
    <rPh sb="22" eb="23">
      <t>リョウ</t>
    </rPh>
    <rPh sb="24" eb="26">
      <t>ソウテイ</t>
    </rPh>
    <rPh sb="26" eb="27">
      <t>アタイ</t>
    </rPh>
    <rPh sb="28" eb="30">
      <t>ニュウリョク</t>
    </rPh>
    <phoneticPr fontId="2"/>
  </si>
  <si>
    <t>「パラメータ」シートK15セルに入力</t>
    <rPh sb="16" eb="18">
      <t>ニュウリョク</t>
    </rPh>
    <phoneticPr fontId="2"/>
  </si>
  <si>
    <t>現行の選別・ベール化工程における年間消費電力量</t>
    <phoneticPr fontId="2"/>
  </si>
  <si>
    <t>「数量（ルート1）」シートK28セル参照</t>
    <rPh sb="1" eb="3">
      <t>スウリョウ</t>
    </rPh>
    <rPh sb="18" eb="20">
      <t>サンショウ</t>
    </rPh>
    <phoneticPr fontId="2"/>
  </si>
  <si>
    <t>破袋機の処理能力</t>
    <rPh sb="0" eb="1">
      <t>ヤブ</t>
    </rPh>
    <rPh sb="1" eb="2">
      <t>フクロ</t>
    </rPh>
    <rPh sb="2" eb="3">
      <t>キ</t>
    </rPh>
    <rPh sb="4" eb="6">
      <t>ショリ</t>
    </rPh>
    <rPh sb="6" eb="8">
      <t>ノウリョク</t>
    </rPh>
    <phoneticPr fontId="2"/>
  </si>
  <si>
    <t>t/h</t>
    <phoneticPr fontId="2"/>
  </si>
  <si>
    <r>
      <t>(1)</t>
    </r>
    <r>
      <rPr>
        <sz val="11"/>
        <color theme="1"/>
        <rFont val="ＭＳ Ｐゴシック"/>
        <family val="2"/>
        <charset val="128"/>
      </rPr>
      <t>×（モデル事業での自治体実績を基に算定したパラメータ）</t>
    </r>
    <rPh sb="8" eb="10">
      <t>ジギョウ</t>
    </rPh>
    <rPh sb="12" eb="15">
      <t>ジチタイ</t>
    </rPh>
    <rPh sb="15" eb="17">
      <t>ジッセキ</t>
    </rPh>
    <rPh sb="18" eb="19">
      <t>モト</t>
    </rPh>
    <rPh sb="20" eb="22">
      <t>サンテイ</t>
    </rPh>
    <phoneticPr fontId="2"/>
  </si>
  <si>
    <t>破袋機の定格出力</t>
    <rPh sb="0" eb="1">
      <t>ヤブ</t>
    </rPh>
    <rPh sb="1" eb="2">
      <t>フクロ</t>
    </rPh>
    <rPh sb="2" eb="3">
      <t>キ</t>
    </rPh>
    <rPh sb="4" eb="6">
      <t>テイカク</t>
    </rPh>
    <rPh sb="6" eb="8">
      <t>シュツリョク</t>
    </rPh>
    <phoneticPr fontId="2"/>
  </si>
  <si>
    <t>kW</t>
    <phoneticPr fontId="2"/>
  </si>
  <si>
    <r>
      <t>(2)×</t>
    </r>
    <r>
      <rPr>
        <sz val="11"/>
        <color theme="1"/>
        <rFont val="ＭＳ Ｐゴシック"/>
        <family val="2"/>
        <charset val="128"/>
      </rPr>
      <t>（モデル事業での自治体実績を基に算定したパラメータ）</t>
    </r>
    <phoneticPr fontId="2"/>
  </si>
  <si>
    <t>(4)</t>
  </si>
  <si>
    <t>破袋機の年間処理時間</t>
    <rPh sb="0" eb="1">
      <t>ヤブ</t>
    </rPh>
    <rPh sb="1" eb="2">
      <t>フクロ</t>
    </rPh>
    <rPh sb="2" eb="3">
      <t>キ</t>
    </rPh>
    <rPh sb="4" eb="10">
      <t>ネンカンショリジカン</t>
    </rPh>
    <phoneticPr fontId="2"/>
  </si>
  <si>
    <r>
      <t>h/</t>
    </r>
    <r>
      <rPr>
        <sz val="11"/>
        <color theme="1"/>
        <rFont val="ＭＳ Ｐゴシック"/>
        <family val="2"/>
        <charset val="128"/>
      </rPr>
      <t>年</t>
    </r>
    <rPh sb="2" eb="3">
      <t>ネン</t>
    </rPh>
    <phoneticPr fontId="2"/>
  </si>
  <si>
    <r>
      <t>(1)÷(2)</t>
    </r>
    <r>
      <rPr>
        <sz val="11"/>
        <color theme="1"/>
        <rFont val="Yu Gothic"/>
        <family val="2"/>
        <charset val="128"/>
      </rPr>
      <t>、実態等必要に応じて適宜修正</t>
    </r>
    <rPh sb="8" eb="10">
      <t>ジッタイ</t>
    </rPh>
    <rPh sb="10" eb="11">
      <t>トウ</t>
    </rPh>
    <rPh sb="11" eb="13">
      <t>ヒツヨウ</t>
    </rPh>
    <rPh sb="14" eb="15">
      <t>オウ</t>
    </rPh>
    <rPh sb="17" eb="19">
      <t>テキギ</t>
    </rPh>
    <rPh sb="19" eb="21">
      <t>シュウセイ</t>
    </rPh>
    <phoneticPr fontId="2"/>
  </si>
  <si>
    <t>(5)</t>
  </si>
  <si>
    <t>破袋機の年間消費電力量</t>
    <rPh sb="0" eb="1">
      <t>ヤブ</t>
    </rPh>
    <rPh sb="1" eb="2">
      <t>フクロ</t>
    </rPh>
    <rPh sb="2" eb="3">
      <t>キ</t>
    </rPh>
    <rPh sb="4" eb="6">
      <t>ネンカン</t>
    </rPh>
    <rPh sb="6" eb="8">
      <t>ショウヒ</t>
    </rPh>
    <rPh sb="8" eb="10">
      <t>デンリョク</t>
    </rPh>
    <rPh sb="10" eb="11">
      <t>リョウ</t>
    </rPh>
    <phoneticPr fontId="2"/>
  </si>
  <si>
    <r>
      <t>kWh/</t>
    </r>
    <r>
      <rPr>
        <sz val="11"/>
        <color theme="1"/>
        <rFont val="ＭＳ Ｐゴシック"/>
        <family val="2"/>
        <charset val="128"/>
      </rPr>
      <t>年</t>
    </r>
    <rPh sb="4" eb="5">
      <t>ネン</t>
    </rPh>
    <phoneticPr fontId="2"/>
  </si>
  <si>
    <t>(3)×(4)</t>
    <phoneticPr fontId="2"/>
  </si>
  <si>
    <t>(6)</t>
  </si>
  <si>
    <t>圧縮機の処理能力</t>
    <rPh sb="0" eb="2">
      <t>アッシュク</t>
    </rPh>
    <rPh sb="2" eb="3">
      <t>キ</t>
    </rPh>
    <rPh sb="4" eb="6">
      <t>ショリ</t>
    </rPh>
    <rPh sb="6" eb="8">
      <t>ノウリョク</t>
    </rPh>
    <phoneticPr fontId="2"/>
  </si>
  <si>
    <t>(7)</t>
  </si>
  <si>
    <t>圧縮機の定格出力</t>
    <phoneticPr fontId="2"/>
  </si>
  <si>
    <r>
      <t>(6)×</t>
    </r>
    <r>
      <rPr>
        <sz val="11"/>
        <color theme="1"/>
        <rFont val="ＭＳ Ｐゴシック"/>
        <family val="2"/>
        <charset val="128"/>
      </rPr>
      <t>（モデル事業での自治体実績を基に算定したパラメータ）</t>
    </r>
    <phoneticPr fontId="2"/>
  </si>
  <si>
    <t>(8)</t>
  </si>
  <si>
    <t>圧縮機の年間処理時間</t>
    <rPh sb="0" eb="2">
      <t>アッシュク</t>
    </rPh>
    <rPh sb="2" eb="3">
      <t>キ</t>
    </rPh>
    <rPh sb="4" eb="10">
      <t>ネンカンショリジカン</t>
    </rPh>
    <phoneticPr fontId="2"/>
  </si>
  <si>
    <r>
      <t>(1)÷(6)</t>
    </r>
    <r>
      <rPr>
        <sz val="11"/>
        <color theme="1"/>
        <rFont val="ＭＳ Ｐゴシック"/>
        <family val="2"/>
        <charset val="128"/>
      </rPr>
      <t>、実態等必要に応じて適宜修正</t>
    </r>
    <phoneticPr fontId="2"/>
  </si>
  <si>
    <t>(9)</t>
  </si>
  <si>
    <t>圧縮機の年間消費電力量</t>
    <rPh sb="0" eb="2">
      <t>アッシュク</t>
    </rPh>
    <rPh sb="2" eb="3">
      <t>キ</t>
    </rPh>
    <rPh sb="4" eb="6">
      <t>ネンカン</t>
    </rPh>
    <rPh sb="6" eb="8">
      <t>ショウヒ</t>
    </rPh>
    <rPh sb="8" eb="10">
      <t>デンリョク</t>
    </rPh>
    <rPh sb="10" eb="11">
      <t>リョウ</t>
    </rPh>
    <phoneticPr fontId="2"/>
  </si>
  <si>
    <t>(7)×(8)</t>
    <phoneticPr fontId="2"/>
  </si>
  <si>
    <t>(10)</t>
  </si>
  <si>
    <t>選別コンベアの処理能力</t>
    <rPh sb="0" eb="2">
      <t>センベツ</t>
    </rPh>
    <rPh sb="7" eb="9">
      <t>ショリ</t>
    </rPh>
    <rPh sb="9" eb="11">
      <t>ノウリョク</t>
    </rPh>
    <phoneticPr fontId="2"/>
  </si>
  <si>
    <t>(11)</t>
  </si>
  <si>
    <t>選別コンベアの定格出力</t>
    <rPh sb="0" eb="2">
      <t>センベツ</t>
    </rPh>
    <phoneticPr fontId="2"/>
  </si>
  <si>
    <r>
      <t>(10)×</t>
    </r>
    <r>
      <rPr>
        <sz val="11"/>
        <color theme="1"/>
        <rFont val="ＭＳ Ｐゴシック"/>
        <family val="2"/>
        <charset val="128"/>
      </rPr>
      <t>（モデル事業での自治体実績を基に算定したパラメータ）</t>
    </r>
    <phoneticPr fontId="2"/>
  </si>
  <si>
    <t>(12)</t>
  </si>
  <si>
    <t>選別コンベアの年間処理時間</t>
    <rPh sb="0" eb="2">
      <t>センベツ</t>
    </rPh>
    <rPh sb="7" eb="13">
      <t>ネンカンショリジカン</t>
    </rPh>
    <phoneticPr fontId="2"/>
  </si>
  <si>
    <r>
      <t>(1)÷(10)</t>
    </r>
    <r>
      <rPr>
        <sz val="11"/>
        <color theme="1"/>
        <rFont val="ＭＳ Ｐゴシック"/>
        <family val="2"/>
        <charset val="128"/>
      </rPr>
      <t>、実態等必要に応じて適宜修正</t>
    </r>
    <phoneticPr fontId="2"/>
  </si>
  <si>
    <t>(13)</t>
  </si>
  <si>
    <t>選別コンベアの年間消費電力量</t>
    <rPh sb="0" eb="2">
      <t>センベツ</t>
    </rPh>
    <rPh sb="7" eb="9">
      <t>ネンカン</t>
    </rPh>
    <rPh sb="9" eb="11">
      <t>ショウヒ</t>
    </rPh>
    <rPh sb="11" eb="13">
      <t>デンリョク</t>
    </rPh>
    <rPh sb="13" eb="14">
      <t>リョウ</t>
    </rPh>
    <phoneticPr fontId="2"/>
  </si>
  <si>
    <t>(11)×(12)</t>
    <phoneticPr fontId="2"/>
  </si>
  <si>
    <t>(14)</t>
  </si>
  <si>
    <t>受入供給コンベアの処理能力</t>
    <rPh sb="0" eb="2">
      <t>ウケイレ</t>
    </rPh>
    <rPh sb="2" eb="4">
      <t>キョウキュウ</t>
    </rPh>
    <rPh sb="9" eb="11">
      <t>ショリ</t>
    </rPh>
    <rPh sb="11" eb="13">
      <t>ノウリョク</t>
    </rPh>
    <phoneticPr fontId="2"/>
  </si>
  <si>
    <t>(15)</t>
  </si>
  <si>
    <t>受入供給コンベアの定格出力</t>
    <phoneticPr fontId="2"/>
  </si>
  <si>
    <r>
      <t>(14)×</t>
    </r>
    <r>
      <rPr>
        <sz val="11"/>
        <color theme="1"/>
        <rFont val="ＭＳ Ｐゴシック"/>
        <family val="2"/>
        <charset val="128"/>
      </rPr>
      <t>（モデル事業での自治体実績を基に算定したパラメータ）</t>
    </r>
    <phoneticPr fontId="2"/>
  </si>
  <si>
    <t>(16)</t>
  </si>
  <si>
    <t>受入供給コンベアの年間処理時間</t>
    <rPh sb="9" eb="15">
      <t>ネンカンショリジカン</t>
    </rPh>
    <phoneticPr fontId="2"/>
  </si>
  <si>
    <r>
      <t>(1)÷(14)</t>
    </r>
    <r>
      <rPr>
        <sz val="11"/>
        <color theme="1"/>
        <rFont val="ＭＳ Ｐゴシック"/>
        <family val="2"/>
        <charset val="128"/>
      </rPr>
      <t>、実態等必要に応じて適宜修正</t>
    </r>
    <phoneticPr fontId="2"/>
  </si>
  <si>
    <t>(17)</t>
  </si>
  <si>
    <t>受入供給コンベアの年間消費電力量</t>
    <rPh sb="9" eb="11">
      <t>ネンカン</t>
    </rPh>
    <rPh sb="11" eb="13">
      <t>ショウヒ</t>
    </rPh>
    <rPh sb="13" eb="15">
      <t>デンリョク</t>
    </rPh>
    <rPh sb="15" eb="16">
      <t>リョウ</t>
    </rPh>
    <phoneticPr fontId="2"/>
  </si>
  <si>
    <t>(15)×(16)</t>
    <phoneticPr fontId="2"/>
  </si>
  <si>
    <t>(18)</t>
  </si>
  <si>
    <t>搬送コンベアの定格出力</t>
    <rPh sb="0" eb="2">
      <t>ハンソウ</t>
    </rPh>
    <rPh sb="7" eb="9">
      <t>テイカク</t>
    </rPh>
    <rPh sb="9" eb="11">
      <t>シュツリョク</t>
    </rPh>
    <phoneticPr fontId="2"/>
  </si>
  <si>
    <t>(19)</t>
  </si>
  <si>
    <t>搬送コンベアの定格出力</t>
    <phoneticPr fontId="2"/>
  </si>
  <si>
    <r>
      <t>(18)×</t>
    </r>
    <r>
      <rPr>
        <sz val="11"/>
        <color theme="1"/>
        <rFont val="ＭＳ Ｐゴシック"/>
        <family val="2"/>
        <charset val="128"/>
      </rPr>
      <t>（モデル事業での自治体実績を基に算定したパラメータ）</t>
    </r>
    <phoneticPr fontId="2"/>
  </si>
  <si>
    <t>(20)</t>
  </si>
  <si>
    <t>搬送コンベアの年間処理時間</t>
    <rPh sb="0" eb="2">
      <t>ハンソウ</t>
    </rPh>
    <rPh sb="7" eb="13">
      <t>ネンカンショリジカン</t>
    </rPh>
    <phoneticPr fontId="2"/>
  </si>
  <si>
    <r>
      <t>(1)÷(18)</t>
    </r>
    <r>
      <rPr>
        <sz val="11"/>
        <color theme="1"/>
        <rFont val="ＭＳ Ｐゴシック"/>
        <family val="2"/>
        <charset val="128"/>
      </rPr>
      <t>、実態等必要に応じて適宜修正</t>
    </r>
    <phoneticPr fontId="2"/>
  </si>
  <si>
    <t>(21)</t>
  </si>
  <si>
    <t>搬送コンベアの年間消費電力量</t>
    <rPh sb="7" eb="9">
      <t>ネンカン</t>
    </rPh>
    <rPh sb="9" eb="11">
      <t>ショウヒ</t>
    </rPh>
    <rPh sb="11" eb="13">
      <t>デンリョク</t>
    </rPh>
    <rPh sb="13" eb="14">
      <t>リョウ</t>
    </rPh>
    <phoneticPr fontId="2"/>
  </si>
  <si>
    <t>(19)×(20)</t>
    <phoneticPr fontId="2"/>
  </si>
  <si>
    <t>(22)</t>
  </si>
  <si>
    <t>その他設備の年間消費電力量</t>
    <rPh sb="2" eb="3">
      <t>タ</t>
    </rPh>
    <rPh sb="3" eb="5">
      <t>セツビ</t>
    </rPh>
    <rPh sb="6" eb="8">
      <t>ネンカン</t>
    </rPh>
    <rPh sb="8" eb="13">
      <t>ショウヒデンリョクリョウ</t>
    </rPh>
    <phoneticPr fontId="2"/>
  </si>
  <si>
    <t>各自治体で想定される設備等の年間消費電力量を入力</t>
    <rPh sb="0" eb="4">
      <t>カクジチタイ</t>
    </rPh>
    <rPh sb="5" eb="7">
      <t>ソウテイ</t>
    </rPh>
    <rPh sb="10" eb="12">
      <t>セツビ</t>
    </rPh>
    <rPh sb="12" eb="13">
      <t>トウ</t>
    </rPh>
    <rPh sb="14" eb="16">
      <t>ネンカン</t>
    </rPh>
    <rPh sb="16" eb="18">
      <t>ショウヒ</t>
    </rPh>
    <rPh sb="18" eb="21">
      <t>デンリョクリョウ</t>
    </rPh>
    <rPh sb="22" eb="24">
      <t>ニュウリョク</t>
    </rPh>
    <phoneticPr fontId="2"/>
  </si>
  <si>
    <t>(23)</t>
  </si>
  <si>
    <t>合計消費電力量</t>
    <rPh sb="0" eb="2">
      <t>ゴウケイ</t>
    </rPh>
    <rPh sb="2" eb="7">
      <t>ショウヒデンリョクリョウ</t>
    </rPh>
    <phoneticPr fontId="2"/>
  </si>
  <si>
    <t>「パラメータ」シートK23セルに入力</t>
    <rPh sb="16" eb="18">
      <t>ニュウリョク</t>
    </rPh>
    <phoneticPr fontId="2"/>
  </si>
  <si>
    <t>移行後の選別・ベール化工程における年間消費電力量</t>
    <rPh sb="0" eb="3">
      <t>イコウゴ</t>
    </rPh>
    <phoneticPr fontId="2"/>
  </si>
  <si>
    <t>「数量（ルート1）」シートN28セル参照</t>
    <rPh sb="1" eb="3">
      <t>スウリョウ</t>
    </rPh>
    <rPh sb="18" eb="20">
      <t>サンショウ</t>
    </rPh>
    <phoneticPr fontId="2"/>
  </si>
  <si>
    <t>「パラメータ」シートK24セルに入力</t>
    <rPh sb="16" eb="18">
      <t>ニュウリョク</t>
    </rPh>
    <phoneticPr fontId="2"/>
  </si>
  <si>
    <t>再生処理によるCO2排出量原単位・バージン材CO2排出量原単位</t>
    <phoneticPr fontId="2"/>
  </si>
  <si>
    <t>マテリアルリサイクル</t>
    <phoneticPr fontId="2"/>
  </si>
  <si>
    <t>現状の再生処理によるCO2排出量</t>
    <rPh sb="0" eb="2">
      <t>ゲンジョウ</t>
    </rPh>
    <rPh sb="3" eb="5">
      <t>サイセイ</t>
    </rPh>
    <rPh sb="5" eb="7">
      <t>ショリ</t>
    </rPh>
    <rPh sb="13" eb="16">
      <t>ハイシュツリョウ</t>
    </rPh>
    <phoneticPr fontId="2"/>
  </si>
  <si>
    <t>tCO2/t</t>
    <phoneticPr fontId="2"/>
  </si>
  <si>
    <t>「パラメータ」シートK35セルに入力（出所）海洋プラスチック問題対応協議会 「プラスチック製容器包装再商品化手法およびエネルギーリカバリーの環境負荷評価（LCA）」を参考に設定</t>
    <rPh sb="16" eb="18">
      <t>ニュウリョク</t>
    </rPh>
    <rPh sb="19" eb="21">
      <t>デドコロ</t>
    </rPh>
    <rPh sb="83" eb="85">
      <t>サンコウ</t>
    </rPh>
    <rPh sb="86" eb="88">
      <t>セッテイ</t>
    </rPh>
    <phoneticPr fontId="2"/>
  </si>
  <si>
    <t>現状のバージン材CO2排出量</t>
    <rPh sb="0" eb="2">
      <t>ゲンジョウ</t>
    </rPh>
    <rPh sb="7" eb="8">
      <t>ザイ</t>
    </rPh>
    <rPh sb="11" eb="14">
      <t>ハイシュツリョウ</t>
    </rPh>
    <phoneticPr fontId="2"/>
  </si>
  <si>
    <t>「パラメータ」シートK36セルに入力（出所）海洋プラスチック問題対応協議会 「プラスチック製容器包装再商品化手法およびエネルギーリカバリーの環境負荷評価（LCA）」を参考に設定</t>
    <rPh sb="16" eb="18">
      <t>ニュウリョク</t>
    </rPh>
    <rPh sb="19" eb="21">
      <t>デドコロ</t>
    </rPh>
    <phoneticPr fontId="2"/>
  </si>
  <si>
    <t>移行後の再生処理によるCO2排出量</t>
    <rPh sb="0" eb="3">
      <t>イコウゴ</t>
    </rPh>
    <rPh sb="4" eb="6">
      <t>サイセイ</t>
    </rPh>
    <rPh sb="6" eb="8">
      <t>ショリ</t>
    </rPh>
    <rPh sb="14" eb="17">
      <t>ハイシュツリョウ</t>
    </rPh>
    <phoneticPr fontId="2"/>
  </si>
  <si>
    <t>「パラメータ」シートK38セルに入力（出所）海洋プラスチック問題対応協議会 「プラスチック製容器包装再商品化手法およびエネルギーリカバリーの環境負荷評価（LCA）」を参考に設定</t>
    <rPh sb="16" eb="18">
      <t>ニュウリョク</t>
    </rPh>
    <rPh sb="19" eb="21">
      <t>デドコロ</t>
    </rPh>
    <rPh sb="86" eb="88">
      <t>セッテイ</t>
    </rPh>
    <phoneticPr fontId="2"/>
  </si>
  <si>
    <t>移行後のバージン材CO2排出量</t>
    <rPh sb="0" eb="3">
      <t>イコウゴ</t>
    </rPh>
    <rPh sb="8" eb="9">
      <t>ザイ</t>
    </rPh>
    <rPh sb="12" eb="15">
      <t>ハイシュツリョウ</t>
    </rPh>
    <phoneticPr fontId="2"/>
  </si>
  <si>
    <t>「パラメータ」シートK39セルに入力（出所）海洋プラスチック問題対応協議会 「プラスチック製容器包装再商品化手法およびエネルギーリカバリーの環境負荷評価（LCA）」を参考に設定</t>
    <rPh sb="16" eb="18">
      <t>ニュウリョク</t>
    </rPh>
    <rPh sb="19" eb="21">
      <t>デドコロ</t>
    </rPh>
    <phoneticPr fontId="2"/>
  </si>
  <si>
    <t>ケミカルリサイクル
（油化）</t>
    <rPh sb="11" eb="13">
      <t>ユカ</t>
    </rPh>
    <phoneticPr fontId="2"/>
  </si>
  <si>
    <t>ケミカルリサイクル
（ガス化）</t>
    <rPh sb="13" eb="14">
      <t>カ</t>
    </rPh>
    <phoneticPr fontId="2"/>
  </si>
  <si>
    <t>ケミカルリサイクル
（高炉還元）</t>
    <rPh sb="11" eb="15">
      <t>コウロカンゲン</t>
    </rPh>
    <phoneticPr fontId="2"/>
  </si>
  <si>
    <t>ケミカルリサイクル
（コークス炉）</t>
    <rPh sb="15" eb="16">
      <t>ロ</t>
    </rPh>
    <phoneticPr fontId="2"/>
  </si>
  <si>
    <t>現行の選別残渣輸送に関する費用</t>
    <phoneticPr fontId="2"/>
  </si>
  <si>
    <r>
      <rPr>
        <sz val="11"/>
        <color theme="1"/>
        <rFont val="ＭＳ ゴシック"/>
        <family val="3"/>
        <charset val="128"/>
      </rPr>
      <t>年間輸送量</t>
    </r>
    <r>
      <rPr>
        <sz val="11"/>
        <color theme="1"/>
        <rFont val="ＭＳ Ｐゴシック"/>
        <family val="2"/>
        <charset val="128"/>
      </rPr>
      <t>（残渣）</t>
    </r>
    <rPh sb="0" eb="2">
      <t>ネンカン</t>
    </rPh>
    <rPh sb="2" eb="5">
      <t>ユソウリョウ</t>
    </rPh>
    <rPh sb="6" eb="8">
      <t>ザンサ</t>
    </rPh>
    <phoneticPr fontId="2"/>
  </si>
  <si>
    <r>
      <t>t/</t>
    </r>
    <r>
      <rPr>
        <sz val="11"/>
        <color theme="1"/>
        <rFont val="Arial"/>
        <family val="2"/>
        <charset val="128"/>
      </rPr>
      <t>年</t>
    </r>
    <rPh sb="2" eb="3">
      <t>ネン</t>
    </rPh>
    <phoneticPr fontId="2"/>
  </si>
  <si>
    <t>「数量（ルート1）」シートK34セル参照</t>
    <rPh sb="1" eb="3">
      <t>スウリョウ</t>
    </rPh>
    <rPh sb="18" eb="20">
      <t>サンショウ</t>
    </rPh>
    <phoneticPr fontId="2"/>
  </si>
  <si>
    <r>
      <t>1</t>
    </r>
    <r>
      <rPr>
        <sz val="11"/>
        <color theme="1"/>
        <rFont val="ＭＳ Ｐゴシック"/>
        <family val="2"/>
        <charset val="128"/>
      </rPr>
      <t>回</t>
    </r>
    <r>
      <rPr>
        <sz val="11"/>
        <color theme="1"/>
        <rFont val="ＭＳ ゴシック"/>
        <family val="3"/>
        <charset val="128"/>
      </rPr>
      <t>あたり輸送量</t>
    </r>
    <rPh sb="1" eb="2">
      <t>カイ</t>
    </rPh>
    <rPh sb="5" eb="8">
      <t>ユソウリョウ</t>
    </rPh>
    <phoneticPr fontId="2"/>
  </si>
  <si>
    <r>
      <t>t/</t>
    </r>
    <r>
      <rPr>
        <sz val="11"/>
        <color theme="1"/>
        <rFont val="ＭＳ ゴシック"/>
        <family val="3"/>
        <charset val="128"/>
      </rPr>
      <t>回</t>
    </r>
    <rPh sb="2" eb="3">
      <t>カイ</t>
    </rPh>
    <phoneticPr fontId="2"/>
  </si>
  <si>
    <t>「パラメータ（ルート1）」シートH31セル参照</t>
    <rPh sb="21" eb="23">
      <t>サンショウ</t>
    </rPh>
    <phoneticPr fontId="2"/>
  </si>
  <si>
    <r>
      <t>1</t>
    </r>
    <r>
      <rPr>
        <sz val="11"/>
        <color theme="1"/>
        <rFont val="ＭＳ ゴシック"/>
        <family val="3"/>
        <charset val="128"/>
      </rPr>
      <t>回あたり走行距離</t>
    </r>
    <rPh sb="1" eb="2">
      <t>カイ</t>
    </rPh>
    <rPh sb="5" eb="9">
      <t>ソウコウキョリ</t>
    </rPh>
    <phoneticPr fontId="2"/>
  </si>
  <si>
    <r>
      <t>km/</t>
    </r>
    <r>
      <rPr>
        <sz val="11"/>
        <color theme="1"/>
        <rFont val="ＭＳ Ｐゴシック"/>
        <family val="2"/>
        <charset val="128"/>
      </rPr>
      <t>回</t>
    </r>
    <rPh sb="3" eb="4">
      <t>カイ</t>
    </rPh>
    <phoneticPr fontId="2"/>
  </si>
  <si>
    <t>「パラメータ（ルート1）」シートH32セル参照</t>
    <rPh sb="21" eb="23">
      <t>サンショウ</t>
    </rPh>
    <phoneticPr fontId="2"/>
  </si>
  <si>
    <r>
      <rPr>
        <sz val="11"/>
        <color theme="1"/>
        <rFont val="Arial"/>
        <family val="2"/>
        <charset val="128"/>
      </rPr>
      <t>車両の燃費</t>
    </r>
    <rPh sb="0" eb="2">
      <t>シャリョウ</t>
    </rPh>
    <rPh sb="3" eb="5">
      <t>ネンピ</t>
    </rPh>
    <phoneticPr fontId="2"/>
  </si>
  <si>
    <t>「パラメータ（ルート1）」シートH33セル参照</t>
    <rPh sb="21" eb="23">
      <t>サンショウ</t>
    </rPh>
    <phoneticPr fontId="2"/>
  </si>
  <si>
    <r>
      <rPr>
        <sz val="11"/>
        <color theme="1"/>
        <rFont val="Arial"/>
        <family val="2"/>
        <charset val="128"/>
      </rPr>
      <t>燃料単価</t>
    </r>
    <rPh sb="0" eb="2">
      <t>ネンリョウ</t>
    </rPh>
    <rPh sb="2" eb="4">
      <t>タンカ</t>
    </rPh>
    <phoneticPr fontId="2"/>
  </si>
  <si>
    <t>円/L</t>
  </si>
  <si>
    <t>値を入力してください</t>
    <rPh sb="0" eb="1">
      <t>アタイ</t>
    </rPh>
    <rPh sb="2" eb="4">
      <t>ニュウリョク</t>
    </rPh>
    <phoneticPr fontId="2"/>
  </si>
  <si>
    <t>燃料費合計</t>
    <rPh sb="0" eb="5">
      <t>ネンリョウヒゴウケイ</t>
    </rPh>
    <phoneticPr fontId="2"/>
  </si>
  <si>
    <r>
      <rPr>
        <sz val="11"/>
        <color theme="1"/>
        <rFont val="ＭＳ ゴシック"/>
        <family val="3"/>
        <charset val="128"/>
      </rPr>
      <t>円</t>
    </r>
    <r>
      <rPr>
        <sz val="11"/>
        <color theme="1"/>
        <rFont val="Arial"/>
        <family val="2"/>
      </rPr>
      <t>/</t>
    </r>
    <r>
      <rPr>
        <sz val="11"/>
        <color theme="1"/>
        <rFont val="ＭＳ Ｐゴシック"/>
        <family val="2"/>
        <charset val="128"/>
      </rPr>
      <t>年</t>
    </r>
    <rPh sb="2" eb="3">
      <t>ネン</t>
    </rPh>
    <phoneticPr fontId="2"/>
  </si>
  <si>
    <r>
      <t>1</t>
    </r>
    <r>
      <rPr>
        <sz val="11"/>
        <color theme="1"/>
        <rFont val="ＭＳ ゴシック"/>
        <family val="3"/>
        <charset val="128"/>
      </rPr>
      <t>回（日）あたりの車両数</t>
    </r>
    <rPh sb="1" eb="2">
      <t>カイ</t>
    </rPh>
    <rPh sb="3" eb="4">
      <t>ニチ</t>
    </rPh>
    <rPh sb="9" eb="11">
      <t>シャリョウ</t>
    </rPh>
    <rPh sb="11" eb="12">
      <t>スウ</t>
    </rPh>
    <phoneticPr fontId="2"/>
  </si>
  <si>
    <r>
      <rPr>
        <sz val="11"/>
        <color theme="1"/>
        <rFont val="ＭＳ ゴシック"/>
        <family val="3"/>
        <charset val="128"/>
      </rPr>
      <t>台</t>
    </r>
    <r>
      <rPr>
        <sz val="11"/>
        <color theme="1"/>
        <rFont val="Arial"/>
        <family val="2"/>
      </rPr>
      <t>/</t>
    </r>
    <r>
      <rPr>
        <sz val="11"/>
        <color theme="1"/>
        <rFont val="ＭＳ Ｐゴシック"/>
        <family val="2"/>
        <charset val="128"/>
      </rPr>
      <t>回</t>
    </r>
    <rPh sb="0" eb="1">
      <t>ダイ</t>
    </rPh>
    <rPh sb="2" eb="3">
      <t>カイ</t>
    </rPh>
    <phoneticPr fontId="2"/>
  </si>
  <si>
    <r>
      <rPr>
        <sz val="11"/>
        <color theme="1"/>
        <rFont val="ＭＳ ゴシック"/>
        <family val="3"/>
        <charset val="128"/>
      </rPr>
      <t>回収頻度（年間日数）</t>
    </r>
    <rPh sb="0" eb="4">
      <t>カイシュウヒンド</t>
    </rPh>
    <rPh sb="5" eb="7">
      <t>ネンカン</t>
    </rPh>
    <rPh sb="7" eb="9">
      <t>ニッスウ</t>
    </rPh>
    <phoneticPr fontId="2"/>
  </si>
  <si>
    <r>
      <rPr>
        <sz val="11"/>
        <color theme="1"/>
        <rFont val="Arial"/>
        <family val="2"/>
        <charset val="128"/>
      </rPr>
      <t>回</t>
    </r>
    <r>
      <rPr>
        <sz val="11"/>
        <color theme="1"/>
        <rFont val="Arial"/>
        <family val="2"/>
      </rPr>
      <t>/</t>
    </r>
    <r>
      <rPr>
        <sz val="11"/>
        <color theme="1"/>
        <rFont val="Arial"/>
        <family val="2"/>
        <charset val="128"/>
      </rPr>
      <t>年</t>
    </r>
    <rPh sb="0" eb="1">
      <t>カイ</t>
    </rPh>
    <rPh sb="2" eb="3">
      <t>ネン</t>
    </rPh>
    <phoneticPr fontId="2"/>
  </si>
  <si>
    <t>(1)÷(2)、もしくは実態に合わせて直接入力</t>
    <rPh sb="12" eb="14">
      <t>ジッタイ</t>
    </rPh>
    <rPh sb="15" eb="16">
      <t>ア</t>
    </rPh>
    <rPh sb="19" eb="21">
      <t>チョクセツ</t>
    </rPh>
    <rPh sb="21" eb="23">
      <t>ニュウリョク</t>
    </rPh>
    <phoneticPr fontId="2"/>
  </si>
  <si>
    <r>
      <t>1</t>
    </r>
    <r>
      <rPr>
        <sz val="11"/>
        <color theme="1"/>
        <rFont val="Arial"/>
        <family val="2"/>
        <charset val="128"/>
      </rPr>
      <t>台あたりドライバー数</t>
    </r>
    <rPh sb="1" eb="2">
      <t>ダイ</t>
    </rPh>
    <rPh sb="10" eb="11">
      <t>スウ</t>
    </rPh>
    <phoneticPr fontId="2"/>
  </si>
  <si>
    <r>
      <rPr>
        <sz val="11"/>
        <color theme="1"/>
        <rFont val="Arial"/>
        <family val="2"/>
        <charset val="128"/>
      </rPr>
      <t>人</t>
    </r>
    <r>
      <rPr>
        <sz val="11"/>
        <color theme="1"/>
        <rFont val="Arial"/>
        <family val="2"/>
      </rPr>
      <t>/</t>
    </r>
    <r>
      <rPr>
        <sz val="11"/>
        <color theme="1"/>
        <rFont val="Arial"/>
        <family val="2"/>
        <charset val="128"/>
      </rPr>
      <t>台</t>
    </r>
    <rPh sb="0" eb="1">
      <t>ヒト</t>
    </rPh>
    <rPh sb="2" eb="3">
      <t>ダイ</t>
    </rPh>
    <phoneticPr fontId="2"/>
  </si>
  <si>
    <r>
      <rPr>
        <sz val="11"/>
        <color theme="1"/>
        <rFont val="Arial"/>
        <family val="2"/>
        <charset val="128"/>
      </rPr>
      <t>ドライバー人件費（人・日）</t>
    </r>
    <rPh sb="5" eb="8">
      <t>ジンケンヒ</t>
    </rPh>
    <rPh sb="9" eb="10">
      <t>ヒト</t>
    </rPh>
    <rPh sb="11" eb="12">
      <t>ヒ</t>
    </rPh>
    <phoneticPr fontId="2"/>
  </si>
  <si>
    <r>
      <rPr>
        <sz val="11"/>
        <color theme="1"/>
        <rFont val="Arial"/>
        <family val="2"/>
        <charset val="128"/>
      </rPr>
      <t>円</t>
    </r>
    <r>
      <rPr>
        <sz val="11"/>
        <color theme="1"/>
        <rFont val="Arial"/>
        <family val="2"/>
      </rPr>
      <t>/</t>
    </r>
    <r>
      <rPr>
        <sz val="11"/>
        <color theme="1"/>
        <rFont val="Arial"/>
        <family val="2"/>
        <charset val="128"/>
      </rPr>
      <t>人・日</t>
    </r>
    <rPh sb="0" eb="1">
      <t>エン</t>
    </rPh>
    <rPh sb="2" eb="3">
      <t>ヒト</t>
    </rPh>
    <rPh sb="4" eb="5">
      <t>ヒ</t>
    </rPh>
    <phoneticPr fontId="2"/>
  </si>
  <si>
    <r>
      <rPr>
        <sz val="9"/>
        <color theme="1"/>
        <rFont val="ＭＳ Ｐゴシック"/>
        <family val="2"/>
        <charset val="128"/>
      </rPr>
      <t>各自治体の実績値・想定値、もしくは</t>
    </r>
    <r>
      <rPr>
        <sz val="9"/>
        <color theme="1"/>
        <rFont val="Arial"/>
        <family val="2"/>
      </rPr>
      <t>e-stat&gt;</t>
    </r>
    <r>
      <rPr>
        <sz val="9"/>
        <color theme="1"/>
        <rFont val="ＭＳ Ｐゴシック"/>
        <family val="2"/>
        <charset val="128"/>
      </rPr>
      <t>賃金構造基本統計調査</t>
    </r>
    <r>
      <rPr>
        <sz val="9"/>
        <color theme="1"/>
        <rFont val="Arial"/>
        <family val="2"/>
      </rPr>
      <t>&gt;</t>
    </r>
    <r>
      <rPr>
        <sz val="9"/>
        <color theme="1"/>
        <rFont val="ＭＳ Ｐゴシック"/>
        <family val="2"/>
        <charset val="128"/>
      </rPr>
      <t>一般労働者</t>
    </r>
    <r>
      <rPr>
        <sz val="9"/>
        <color theme="1"/>
        <rFont val="Arial"/>
        <family val="2"/>
      </rPr>
      <t>&gt;</t>
    </r>
    <r>
      <rPr>
        <sz val="9"/>
        <color theme="1"/>
        <rFont val="ＭＳ Ｐゴシック"/>
        <family val="2"/>
        <charset val="128"/>
      </rPr>
      <t>産業中分類</t>
    </r>
    <r>
      <rPr>
        <sz val="9"/>
        <color theme="1"/>
        <rFont val="Arial"/>
        <family val="2"/>
      </rPr>
      <t xml:space="preserve">&gt;H </t>
    </r>
    <r>
      <rPr>
        <sz val="9"/>
        <color theme="1"/>
        <rFont val="ＭＳ Ｐゴシック"/>
        <family val="2"/>
        <charset val="128"/>
      </rPr>
      <t>運送業、郵便業＞「Ｈ４４道路貨物運送業」企業規模</t>
    </r>
    <r>
      <rPr>
        <sz val="9"/>
        <color theme="1"/>
        <rFont val="Arial"/>
        <family val="2"/>
      </rPr>
      <t>10</t>
    </r>
    <r>
      <rPr>
        <sz val="9"/>
        <color theme="1"/>
        <rFont val="ＭＳ Ｐゴシック"/>
        <family val="2"/>
        <charset val="128"/>
      </rPr>
      <t>人以上での「所定内給与額」</t>
    </r>
    <r>
      <rPr>
        <sz val="9"/>
        <color theme="1"/>
        <rFont val="Arial"/>
        <family val="2"/>
      </rPr>
      <t>/</t>
    </r>
    <r>
      <rPr>
        <sz val="9"/>
        <color theme="1"/>
        <rFont val="ＭＳ Ｐゴシック"/>
        <family val="2"/>
        <charset val="128"/>
      </rPr>
      <t>「所定内実労働時間数」</t>
    </r>
    <rPh sb="9" eb="11">
      <t>ソウテイ</t>
    </rPh>
    <rPh sb="11" eb="12">
      <t>アタイ</t>
    </rPh>
    <phoneticPr fontId="2"/>
  </si>
  <si>
    <r>
      <rPr>
        <sz val="11"/>
        <color theme="1"/>
        <rFont val="Arial"/>
        <family val="2"/>
        <charset val="128"/>
      </rPr>
      <t>人件費</t>
    </r>
    <rPh sb="0" eb="3">
      <t>ジンケンヒ</t>
    </rPh>
    <phoneticPr fontId="2"/>
  </si>
  <si>
    <t>円/年</t>
    <rPh sb="2" eb="3">
      <t>ネン</t>
    </rPh>
    <phoneticPr fontId="2"/>
  </si>
  <si>
    <t>「パラメータ」シートK66セルに入力</t>
    <rPh sb="16" eb="18">
      <t>ニュウリョク</t>
    </rPh>
    <phoneticPr fontId="2"/>
  </si>
  <si>
    <t>移行後の選別残渣輸送に関する費用</t>
    <phoneticPr fontId="2"/>
  </si>
  <si>
    <t>「数量（ルート1）」シートN34セル参照</t>
    <rPh sb="1" eb="3">
      <t>スウリョウ</t>
    </rPh>
    <rPh sb="18" eb="20">
      <t>サンショウ</t>
    </rPh>
    <phoneticPr fontId="2"/>
  </si>
  <si>
    <r>
      <rPr>
        <sz val="9"/>
        <color theme="1"/>
        <rFont val="ＭＳ Ｐゴシック"/>
        <family val="2"/>
        <charset val="128"/>
      </rPr>
      <t>各自治体の実績値・想定値、もしくは</t>
    </r>
    <r>
      <rPr>
        <sz val="9"/>
        <color theme="1"/>
        <rFont val="Arial"/>
        <family val="2"/>
      </rPr>
      <t>e-stat&gt;</t>
    </r>
    <r>
      <rPr>
        <sz val="9"/>
        <color theme="1"/>
        <rFont val="ＭＳ Ｐゴシック"/>
        <family val="2"/>
        <charset val="128"/>
      </rPr>
      <t>賃金構造基本統計調査</t>
    </r>
    <r>
      <rPr>
        <sz val="9"/>
        <color theme="1"/>
        <rFont val="Arial"/>
        <family val="2"/>
      </rPr>
      <t>&gt;</t>
    </r>
    <r>
      <rPr>
        <sz val="9"/>
        <color theme="1"/>
        <rFont val="ＭＳ Ｐゴシック"/>
        <family val="2"/>
        <charset val="128"/>
      </rPr>
      <t>一般労働者</t>
    </r>
    <r>
      <rPr>
        <sz val="9"/>
        <color theme="1"/>
        <rFont val="Arial"/>
        <family val="2"/>
      </rPr>
      <t>&gt;</t>
    </r>
    <r>
      <rPr>
        <sz val="9"/>
        <color theme="1"/>
        <rFont val="ＭＳ Ｐゴシック"/>
        <family val="2"/>
        <charset val="128"/>
      </rPr>
      <t>産業中分類</t>
    </r>
    <r>
      <rPr>
        <sz val="9"/>
        <color theme="1"/>
        <rFont val="Arial"/>
        <family val="2"/>
      </rPr>
      <t xml:space="preserve">&gt;H </t>
    </r>
    <r>
      <rPr>
        <sz val="9"/>
        <color theme="1"/>
        <rFont val="ＭＳ Ｐゴシック"/>
        <family val="2"/>
        <charset val="128"/>
      </rPr>
      <t>運送業、郵便業＞「Ｈ４４道路貨物運送業」企業規模</t>
    </r>
    <r>
      <rPr>
        <sz val="9"/>
        <color theme="1"/>
        <rFont val="Arial"/>
        <family val="2"/>
      </rPr>
      <t>10</t>
    </r>
    <r>
      <rPr>
        <sz val="9"/>
        <color theme="1"/>
        <rFont val="ＭＳ Ｐゴシック"/>
        <family val="2"/>
        <charset val="128"/>
      </rPr>
      <t>人以上での「所定内給与額」</t>
    </r>
    <r>
      <rPr>
        <sz val="9"/>
        <color theme="1"/>
        <rFont val="Arial"/>
        <family val="2"/>
      </rPr>
      <t>/</t>
    </r>
    <r>
      <rPr>
        <sz val="9"/>
        <color theme="1"/>
        <rFont val="ＭＳ Ｐゴシック"/>
        <family val="2"/>
        <charset val="128"/>
      </rPr>
      <t>「所定内実労働時間数」</t>
    </r>
    <phoneticPr fontId="2"/>
  </si>
  <si>
    <t>「パラメータ」シートK67セルに入力</t>
    <rPh sb="16" eb="18">
      <t>ニュウリョク</t>
    </rPh>
    <phoneticPr fontId="2"/>
  </si>
  <si>
    <t>現行の容器包装再生処理単価</t>
    <phoneticPr fontId="2"/>
  </si>
  <si>
    <t>円/t</t>
    <rPh sb="0" eb="1">
      <t>エン</t>
    </rPh>
    <phoneticPr fontId="2"/>
  </si>
  <si>
    <r>
      <rPr>
        <b/>
        <sz val="9"/>
        <color rgb="FFFF0000"/>
        <rFont val="ＭＳ Ｐゴシック"/>
        <family val="3"/>
        <charset val="128"/>
      </rPr>
      <t>想定される再商品化方法に応じて、「パラメータ」シートK68セルに入力</t>
    </r>
    <r>
      <rPr>
        <sz val="9"/>
        <color theme="1"/>
        <rFont val="ＭＳ Ｐゴシック"/>
        <family val="3"/>
        <charset val="128"/>
      </rPr>
      <t>。出所：（公財）日本容器包装リサイクル協会 R7年度落札結果（速報版）のうち、プラスチック（プラスチック製容器包装及び分別収集物）・材料リサイクルの加重平均値）</t>
    </r>
    <rPh sb="35" eb="37">
      <t>デドコロ</t>
    </rPh>
    <rPh sb="58" eb="60">
      <t>ネンド</t>
    </rPh>
    <rPh sb="60" eb="62">
      <t>ラクサツ</t>
    </rPh>
    <rPh sb="62" eb="64">
      <t>ケッカ</t>
    </rPh>
    <rPh sb="65" eb="68">
      <t>ソクホウバン</t>
    </rPh>
    <rPh sb="86" eb="87">
      <t>セイ</t>
    </rPh>
    <rPh sb="87" eb="89">
      <t>ザイリョウ</t>
    </rPh>
    <rPh sb="91" eb="92">
      <t>オヨ</t>
    </rPh>
    <rPh sb="93" eb="95">
      <t>ブンベツ</t>
    </rPh>
    <rPh sb="95" eb="98">
      <t>シュウシュウブツ</t>
    </rPh>
    <rPh sb="103" eb="105">
      <t>カジュウ</t>
    </rPh>
    <rPh sb="105" eb="107">
      <t>ヘイキン</t>
    </rPh>
    <rPh sb="107" eb="108">
      <t>アタイ</t>
    </rPh>
    <phoneticPr fontId="2"/>
  </si>
  <si>
    <t>ガス化</t>
    <rPh sb="2" eb="3">
      <t>カ</t>
    </rPh>
    <phoneticPr fontId="2"/>
  </si>
  <si>
    <r>
      <rPr>
        <b/>
        <sz val="9"/>
        <color rgb="FFFF0000"/>
        <rFont val="ＭＳ Ｐゴシック"/>
        <family val="3"/>
        <charset val="128"/>
      </rPr>
      <t>想定される再商品化方法に応じて、「パラメータ」シートK68セルに入力</t>
    </r>
    <r>
      <rPr>
        <sz val="9"/>
        <color theme="1"/>
        <rFont val="ＭＳ Ｐゴシック"/>
        <family val="3"/>
        <charset val="128"/>
      </rPr>
      <t>。出所：（公財）日本容器包装リサイクル協会 R7年度落札結果（速報版）のうち、プラスチック（プラスチック製容器包装及び分別収集物）・ガス化の加重平均値）</t>
    </r>
    <rPh sb="102" eb="103">
      <t>カ</t>
    </rPh>
    <phoneticPr fontId="2"/>
  </si>
  <si>
    <t>高炉還元剤</t>
    <rPh sb="0" eb="5">
      <t>コウロカンゲンザイ</t>
    </rPh>
    <phoneticPr fontId="2"/>
  </si>
  <si>
    <r>
      <rPr>
        <b/>
        <sz val="9"/>
        <color rgb="FFFF0000"/>
        <rFont val="ＭＳ Ｐゴシック"/>
        <family val="3"/>
        <charset val="128"/>
      </rPr>
      <t>想定される再商品化方法に応じて、「パラメータ」シートK68セルに入力</t>
    </r>
    <r>
      <rPr>
        <sz val="9"/>
        <color theme="1"/>
        <rFont val="ＭＳ Ｐゴシック"/>
        <family val="3"/>
        <charset val="128"/>
      </rPr>
      <t>。出所：（公財）日本容器包装リサイクル協会 R7年度落札結果（速報版）のうち、プラスチック（プラスチック製容器包装及び分別収集物）・高炉還元剤化の加重平均値）</t>
    </r>
    <rPh sb="100" eb="106">
      <t>コウロカンゲンザイカ</t>
    </rPh>
    <phoneticPr fontId="2"/>
  </si>
  <si>
    <t>コークス炉</t>
    <rPh sb="4" eb="5">
      <t>ロ</t>
    </rPh>
    <phoneticPr fontId="2"/>
  </si>
  <si>
    <r>
      <rPr>
        <b/>
        <sz val="9"/>
        <color rgb="FFFF0000"/>
        <rFont val="ＭＳ Ｐゴシック"/>
        <family val="3"/>
        <charset val="128"/>
      </rPr>
      <t>想定される再商品化方法に応じて、「パラメータ」シートK68セルに入力</t>
    </r>
    <r>
      <rPr>
        <sz val="9"/>
        <color theme="1"/>
        <rFont val="ＭＳ Ｐゴシック"/>
        <family val="3"/>
        <charset val="128"/>
      </rPr>
      <t>。出所：（公財）日本容器包装リサイクル協会 R7年度落札結果（速報版）のうち、プラスチック（プラスチック製容器包装及び分別収集物）・コークス炉化学原料化の加重平均値）</t>
    </r>
    <rPh sb="104" eb="105">
      <t>ロ</t>
    </rPh>
    <rPh sb="105" eb="107">
      <t>カガク</t>
    </rPh>
    <rPh sb="107" eb="109">
      <t>ゲンリョウ</t>
    </rPh>
    <rPh sb="109" eb="110">
      <t>カ</t>
    </rPh>
    <phoneticPr fontId="2"/>
  </si>
  <si>
    <t>移行後の容器包装再生処理単価</t>
    <rPh sb="0" eb="3">
      <t>イコウゴ</t>
    </rPh>
    <phoneticPr fontId="2"/>
  </si>
  <si>
    <r>
      <rPr>
        <b/>
        <sz val="9"/>
        <color rgb="FFFF0000"/>
        <rFont val="ＭＳ Ｐゴシック"/>
        <family val="3"/>
        <charset val="128"/>
      </rPr>
      <t>想定される再商品化方法に応じて、「パラメータ」シートK70セルに入力</t>
    </r>
    <r>
      <rPr>
        <sz val="9"/>
        <color theme="1"/>
        <rFont val="ＭＳ Ｐゴシック"/>
        <family val="3"/>
        <charset val="128"/>
      </rPr>
      <t>。出所：（公財）日本容器包装リサイクル協会 R7年度落札結果（速報版）のうち、プラスチック（プラスチック製容器包装及び分別収集物・材料リサイクルの加重平均値）</t>
    </r>
    <rPh sb="35" eb="37">
      <t>デドコロ</t>
    </rPh>
    <rPh sb="58" eb="60">
      <t>ネンド</t>
    </rPh>
    <rPh sb="60" eb="62">
      <t>ラクサツ</t>
    </rPh>
    <rPh sb="62" eb="64">
      <t>ケッカ</t>
    </rPh>
    <rPh sb="65" eb="68">
      <t>ソクホウバン</t>
    </rPh>
    <rPh sb="86" eb="87">
      <t>セイ</t>
    </rPh>
    <rPh sb="87" eb="89">
      <t>ザイリョウ</t>
    </rPh>
    <rPh sb="91" eb="92">
      <t>オヨ</t>
    </rPh>
    <rPh sb="93" eb="95">
      <t>ブンベツ</t>
    </rPh>
    <rPh sb="95" eb="98">
      <t>シュウシュウブツ</t>
    </rPh>
    <rPh sb="102" eb="104">
      <t>カジュウ</t>
    </rPh>
    <rPh sb="104" eb="106">
      <t>ヘイキン</t>
    </rPh>
    <rPh sb="106" eb="107">
      <t>アタイ</t>
    </rPh>
    <phoneticPr fontId="2"/>
  </si>
  <si>
    <r>
      <rPr>
        <b/>
        <sz val="9"/>
        <color rgb="FFFF0000"/>
        <rFont val="ＭＳ Ｐゴシック"/>
        <family val="3"/>
        <charset val="128"/>
      </rPr>
      <t>想定される再商品化方法に応じて、「パラメータ」シートK70セルに入力</t>
    </r>
    <r>
      <rPr>
        <sz val="9"/>
        <color theme="1"/>
        <rFont val="ＭＳ Ｐゴシック"/>
        <family val="3"/>
        <charset val="128"/>
      </rPr>
      <t>。出所：（公財）日本容器包装リサイクル協会 R7年度落札結果（速報版）のうち、プラスチック（プラスチック製容器包装及び分別収集物）・ガス化の加重平均値）</t>
    </r>
    <phoneticPr fontId="2"/>
  </si>
  <si>
    <r>
      <rPr>
        <b/>
        <sz val="9"/>
        <color rgb="FFFF0000"/>
        <rFont val="ＭＳ Ｐゴシック"/>
        <family val="3"/>
        <charset val="128"/>
      </rPr>
      <t>想定される再商品化方法に応じて、「パラメータ」シートK70セルに入力</t>
    </r>
    <r>
      <rPr>
        <sz val="9"/>
        <color theme="1"/>
        <rFont val="ＭＳ Ｐゴシック"/>
        <family val="3"/>
        <charset val="128"/>
      </rPr>
      <t>。出所：（公財）日本容器包装リサイクル協会 R7年度落札結果（速報版）のうち、プラスチック（プラスチック製容器包装及び分別収集物）・高炉還元剤化の加重平均値）</t>
    </r>
    <phoneticPr fontId="2"/>
  </si>
  <si>
    <r>
      <rPr>
        <b/>
        <sz val="9"/>
        <color rgb="FFFF0000"/>
        <rFont val="ＭＳ Ｐゴシック"/>
        <family val="3"/>
        <charset val="128"/>
      </rPr>
      <t>想定される再商品化方法に応じて、「パラメータ」シートK70セルに入力</t>
    </r>
    <r>
      <rPr>
        <sz val="9"/>
        <color theme="1"/>
        <rFont val="ＭＳ Ｐゴシック"/>
        <family val="3"/>
        <charset val="128"/>
      </rPr>
      <t>。出所：（公財）日本容器包装リサイクル協会 R7年度落札結果（速報版）のうち、プラスチック（プラスチック製容器包装及び分別収集物）・コークス炉化学原料化の加重平均値）</t>
    </r>
    <phoneticPr fontId="2"/>
  </si>
  <si>
    <t>移行後の製品再生処理単価</t>
    <rPh sb="0" eb="3">
      <t>イコウゴ</t>
    </rPh>
    <rPh sb="4" eb="6">
      <t>セイヒン</t>
    </rPh>
    <phoneticPr fontId="2"/>
  </si>
  <si>
    <r>
      <rPr>
        <b/>
        <sz val="9"/>
        <color rgb="FFFF0000"/>
        <rFont val="ＭＳ Ｐゴシック"/>
        <family val="3"/>
        <charset val="128"/>
      </rPr>
      <t>想定される再商品化方法に応じて、「パラメータ」シートK71セルに入力</t>
    </r>
    <r>
      <rPr>
        <sz val="9"/>
        <color theme="1"/>
        <rFont val="ＭＳ Ｐゴシック"/>
        <family val="3"/>
        <charset val="128"/>
      </rPr>
      <t>。出所：（公財）日本容器包装リサイクル協会 R7年度落札結果（速報版）のうち、プラスチック（プラスチック製容器包装及び分別収集物・材料リサイクルの加重平均値）</t>
    </r>
    <rPh sb="35" eb="37">
      <t>デドコロ</t>
    </rPh>
    <rPh sb="58" eb="60">
      <t>ネンド</t>
    </rPh>
    <rPh sb="60" eb="62">
      <t>ラクサツ</t>
    </rPh>
    <rPh sb="62" eb="64">
      <t>ケッカ</t>
    </rPh>
    <rPh sb="65" eb="68">
      <t>ソクホウバン</t>
    </rPh>
    <rPh sb="86" eb="87">
      <t>セイ</t>
    </rPh>
    <rPh sb="87" eb="89">
      <t>ザイリョウ</t>
    </rPh>
    <rPh sb="91" eb="92">
      <t>オヨ</t>
    </rPh>
    <rPh sb="93" eb="95">
      <t>ブンベツ</t>
    </rPh>
    <rPh sb="95" eb="98">
      <t>シュウシュウブツ</t>
    </rPh>
    <rPh sb="102" eb="104">
      <t>カジュウ</t>
    </rPh>
    <rPh sb="104" eb="106">
      <t>ヘイキン</t>
    </rPh>
    <rPh sb="106" eb="107">
      <t>アタイ</t>
    </rPh>
    <phoneticPr fontId="2"/>
  </si>
  <si>
    <r>
      <rPr>
        <b/>
        <sz val="9"/>
        <color rgb="FFFF0000"/>
        <rFont val="ＭＳ Ｐゴシック"/>
        <family val="3"/>
        <charset val="128"/>
      </rPr>
      <t>想定される再商品化方法に応じて、「パラメータ」シートK71セルに入力</t>
    </r>
    <r>
      <rPr>
        <sz val="9"/>
        <color theme="1"/>
        <rFont val="ＭＳ Ｐゴシック"/>
        <family val="3"/>
        <charset val="128"/>
      </rPr>
      <t>。出所：（公財）日本容器包装リサイクル協会 R7年度落札結果（速報版）のうち、プラスチック（プラスチック製容器包装及び分別収集物）・ガス化の加重平均値）</t>
    </r>
    <phoneticPr fontId="2"/>
  </si>
  <si>
    <r>
      <rPr>
        <b/>
        <sz val="9"/>
        <color rgb="FFFF0000"/>
        <rFont val="ＭＳ Ｐゴシック"/>
        <family val="3"/>
        <charset val="128"/>
      </rPr>
      <t>想定される再商品化方法に応じて、「パラメータ」シートK71セルに入力</t>
    </r>
    <r>
      <rPr>
        <sz val="9"/>
        <color theme="1"/>
        <rFont val="ＭＳ Ｐゴシック"/>
        <family val="3"/>
        <charset val="128"/>
      </rPr>
      <t>。出所：（公財）日本容器包装リサイクル協会 R7年度落札結果（速報版）のうち、プラスチック（プラスチック製容器包装及び分別収集物）・高炉還元剤化の加重平均値）</t>
    </r>
    <phoneticPr fontId="2"/>
  </si>
  <si>
    <r>
      <rPr>
        <b/>
        <sz val="9"/>
        <color rgb="FFFF0000"/>
        <rFont val="ＭＳ Ｐゴシック"/>
        <family val="3"/>
        <charset val="128"/>
      </rPr>
      <t>想定される再商品化方法に応じて、「パラメータ」シートK71セルに入力</t>
    </r>
    <r>
      <rPr>
        <sz val="9"/>
        <color theme="1"/>
        <rFont val="ＭＳ Ｐゴシック"/>
        <family val="3"/>
        <charset val="128"/>
      </rPr>
      <t>。出所：（公財）日本容器包装リサイクル協会 R7年度落札結果（速報版）のうち、プラスチック（プラスチック製容器包装及び分別収集物）・コークス炉化学原料化の加重平均値）</t>
    </r>
    <phoneticPr fontId="2"/>
  </si>
  <si>
    <t>現行の可燃ごみの由来の焼却残渣輸送に関する費用</t>
    <phoneticPr fontId="2"/>
  </si>
  <si>
    <t>「数量（ルート1）」シートJ43セル参照</t>
    <rPh sb="1" eb="3">
      <t>スウリョウ</t>
    </rPh>
    <rPh sb="18" eb="20">
      <t>サンショウ</t>
    </rPh>
    <phoneticPr fontId="2"/>
  </si>
  <si>
    <t>「パラメータ（ルート1）」シートH50セル参照</t>
    <rPh sb="21" eb="23">
      <t>サンショウ</t>
    </rPh>
    <phoneticPr fontId="2"/>
  </si>
  <si>
    <t>「パラメータ（ルート1）」シートH51セル参照</t>
    <rPh sb="21" eb="23">
      <t>サンショウ</t>
    </rPh>
    <phoneticPr fontId="2"/>
  </si>
  <si>
    <t>「パラメータ（ルート1）」シートH56セル参照</t>
    <rPh sb="21" eb="23">
      <t>サンショウ</t>
    </rPh>
    <phoneticPr fontId="2"/>
  </si>
  <si>
    <t>「パラメータ」シートK74セルに入力</t>
    <rPh sb="16" eb="18">
      <t>ニュウリョク</t>
    </rPh>
    <phoneticPr fontId="2"/>
  </si>
  <si>
    <t>現行の容器包装由来の焼却残渣輸送に関する費用</t>
    <rPh sb="0" eb="2">
      <t>ゲンコウ</t>
    </rPh>
    <phoneticPr fontId="2"/>
  </si>
  <si>
    <t>「数量（ルート1）」シートK43セル参照</t>
    <rPh sb="1" eb="3">
      <t>スウリョウ</t>
    </rPh>
    <rPh sb="18" eb="20">
      <t>サンショウ</t>
    </rPh>
    <phoneticPr fontId="2"/>
  </si>
  <si>
    <t>「パラメータ」シートK75セルに入力</t>
    <rPh sb="16" eb="18">
      <t>ニュウリョク</t>
    </rPh>
    <phoneticPr fontId="2"/>
  </si>
  <si>
    <t>移行後の可燃ごみ由来の焼却残渣輸送に関する費用</t>
    <phoneticPr fontId="2"/>
  </si>
  <si>
    <t>「数量（ルート1）」シートM43セル参照</t>
    <rPh sb="1" eb="3">
      <t>スウリョウ</t>
    </rPh>
    <rPh sb="18" eb="20">
      <t>サンショウ</t>
    </rPh>
    <phoneticPr fontId="2"/>
  </si>
  <si>
    <t>「パラメータ（ルート1）」シートH50セル参照。現行と同様と仮定。</t>
    <rPh sb="21" eb="23">
      <t>サンショウ</t>
    </rPh>
    <rPh sb="24" eb="26">
      <t>ゲンコウ</t>
    </rPh>
    <rPh sb="27" eb="29">
      <t>ドウヨウ</t>
    </rPh>
    <rPh sb="30" eb="32">
      <t>カテイ</t>
    </rPh>
    <phoneticPr fontId="2"/>
  </si>
  <si>
    <t>「パラメータ（ルート1）」シートH51セル参照。現行と同様と仮定。</t>
    <rPh sb="21" eb="23">
      <t>サンショウ</t>
    </rPh>
    <phoneticPr fontId="2"/>
  </si>
  <si>
    <t>「パラメータ（ルート1）」シートH56セル参照。現行と同様と仮定。</t>
    <rPh sb="21" eb="23">
      <t>サンショウ</t>
    </rPh>
    <phoneticPr fontId="2"/>
  </si>
  <si>
    <t>「パラメータ」シートK76セルに入力</t>
    <rPh sb="16" eb="18">
      <t>ニュウリョク</t>
    </rPh>
    <phoneticPr fontId="2"/>
  </si>
  <si>
    <t>移行後の一括回収プラ由来の焼却残渣輸送に関する費用</t>
    <phoneticPr fontId="2"/>
  </si>
  <si>
    <t>「パラメータ」シートK77セルに入力</t>
    <rPh sb="16" eb="18">
      <t>ニュウリョク</t>
    </rPh>
    <phoneticPr fontId="2"/>
  </si>
  <si>
    <t>パラメータ一覧（ルート2）</t>
  </si>
  <si>
    <t>「数量（ルート2）」シートN25セル参照</t>
    <rPh sb="1" eb="3">
      <t>スウリョウ</t>
    </rPh>
    <rPh sb="18" eb="20">
      <t>サンショウ</t>
    </rPh>
    <phoneticPr fontId="2"/>
  </si>
  <si>
    <t>「数量（ルート2）」シートN26セル参照</t>
    <rPh sb="1" eb="3">
      <t>スウリョウ</t>
    </rPh>
    <rPh sb="18" eb="20">
      <t>サンショウ</t>
    </rPh>
    <phoneticPr fontId="2"/>
  </si>
  <si>
    <t>「数量（ルート2）」シートK28セル参照</t>
    <rPh sb="1" eb="3">
      <t>スウリョウ</t>
    </rPh>
    <rPh sb="18" eb="20">
      <t>サンショウ</t>
    </rPh>
    <phoneticPr fontId="2"/>
  </si>
  <si>
    <t>「数量（ルート2）」シートN28セル参照</t>
    <rPh sb="1" eb="3">
      <t>スウリョウ</t>
    </rPh>
    <rPh sb="18" eb="20">
      <t>サンショウ</t>
    </rPh>
    <phoneticPr fontId="2"/>
  </si>
  <si>
    <t>「数量（ルート2）」シートK34セル参照</t>
    <rPh sb="1" eb="3">
      <t>スウリョウ</t>
    </rPh>
    <rPh sb="18" eb="20">
      <t>サンショウ</t>
    </rPh>
    <phoneticPr fontId="2"/>
  </si>
  <si>
    <t>「パラメータ（ルート2）」シートH31セル参照</t>
    <rPh sb="21" eb="23">
      <t>サンショウ</t>
    </rPh>
    <phoneticPr fontId="2"/>
  </si>
  <si>
    <t>「パラメータ（ルート2）」シートH32セル参照</t>
    <rPh sb="21" eb="23">
      <t>サンショウ</t>
    </rPh>
    <phoneticPr fontId="2"/>
  </si>
  <si>
    <t>「パラメータ（ルート2）」シートH33セル参照</t>
    <rPh sb="21" eb="23">
      <t>サンショウ</t>
    </rPh>
    <phoneticPr fontId="2"/>
  </si>
  <si>
    <t>「数量（ルート2）」シートN34セル参照</t>
    <rPh sb="1" eb="3">
      <t>スウリョウ</t>
    </rPh>
    <rPh sb="18" eb="20">
      <t>サンショウ</t>
    </rPh>
    <phoneticPr fontId="2"/>
  </si>
  <si>
    <t>「数量（ルート2）」シートJ43セル参照</t>
    <rPh sb="1" eb="3">
      <t>スウリョウ</t>
    </rPh>
    <rPh sb="18" eb="20">
      <t>サンショウ</t>
    </rPh>
    <phoneticPr fontId="2"/>
  </si>
  <si>
    <t>「パラメータ（ルート2）」シートH50セル参照</t>
    <rPh sb="21" eb="23">
      <t>サンショウ</t>
    </rPh>
    <phoneticPr fontId="2"/>
  </si>
  <si>
    <t>「パラメータ（ルート2）」シートH51セル参照</t>
    <rPh sb="21" eb="23">
      <t>サンショウ</t>
    </rPh>
    <phoneticPr fontId="2"/>
  </si>
  <si>
    <t>「パラメータ（ルート2）」シートH56セル参照</t>
    <rPh sb="21" eb="23">
      <t>サンショウ</t>
    </rPh>
    <phoneticPr fontId="2"/>
  </si>
  <si>
    <t>「数量（ルート2）」シートK43セル参照</t>
    <rPh sb="1" eb="3">
      <t>スウリョウ</t>
    </rPh>
    <rPh sb="18" eb="20">
      <t>サンショウ</t>
    </rPh>
    <phoneticPr fontId="2"/>
  </si>
  <si>
    <t>「数量（ルート2）」シートM43セル参照</t>
    <rPh sb="1" eb="3">
      <t>スウリョウ</t>
    </rPh>
    <rPh sb="18" eb="20">
      <t>サンショウ</t>
    </rPh>
    <phoneticPr fontId="2"/>
  </si>
  <si>
    <t>「パラメータ（ルート2）」シートH50セル参照。現行と同様と仮定。</t>
    <rPh sb="21" eb="23">
      <t>サンショウ</t>
    </rPh>
    <rPh sb="24" eb="26">
      <t>ゲンコウ</t>
    </rPh>
    <rPh sb="27" eb="29">
      <t>ドウヨウ</t>
    </rPh>
    <rPh sb="30" eb="32">
      <t>カテイ</t>
    </rPh>
    <phoneticPr fontId="2"/>
  </si>
  <si>
    <t>「パラメータ（ルート2）」シートH51セル参照。現行と同様と仮定。</t>
    <rPh sb="21" eb="23">
      <t>サンショウ</t>
    </rPh>
    <phoneticPr fontId="2"/>
  </si>
  <si>
    <t>「パラメータ（ルート2）」シートH56セル参照。現行と同様と仮定。</t>
    <rPh sb="21" eb="23">
      <t>サンショウ</t>
    </rPh>
    <phoneticPr fontId="2"/>
  </si>
  <si>
    <t>パラメータ一覧（ルート3）</t>
  </si>
  <si>
    <t>「数量（ルート3）」シートN25セル参照</t>
    <rPh sb="1" eb="3">
      <t>スウリョウ</t>
    </rPh>
    <rPh sb="18" eb="20">
      <t>サンショウ</t>
    </rPh>
    <phoneticPr fontId="2"/>
  </si>
  <si>
    <t>「数量（ルート3）」シートN26セル参照</t>
    <rPh sb="1" eb="3">
      <t>スウリョウ</t>
    </rPh>
    <rPh sb="18" eb="20">
      <t>サンショウ</t>
    </rPh>
    <phoneticPr fontId="2"/>
  </si>
  <si>
    <t>「数量（ルート3）」シートK28セル参照</t>
    <rPh sb="1" eb="3">
      <t>スウリョウ</t>
    </rPh>
    <rPh sb="18" eb="20">
      <t>サンショウ</t>
    </rPh>
    <phoneticPr fontId="2"/>
  </si>
  <si>
    <t>「数量（ルート3）」シートN28セル参照</t>
    <rPh sb="1" eb="3">
      <t>スウリョウ</t>
    </rPh>
    <rPh sb="18" eb="20">
      <t>サンショウ</t>
    </rPh>
    <phoneticPr fontId="2"/>
  </si>
  <si>
    <t>「数量（ルート3）」シートK34セル参照</t>
    <rPh sb="1" eb="3">
      <t>スウリョウ</t>
    </rPh>
    <rPh sb="18" eb="20">
      <t>サンショウ</t>
    </rPh>
    <phoneticPr fontId="2"/>
  </si>
  <si>
    <t>「パラメータ（ルート3）」シートH31セル参照</t>
    <rPh sb="21" eb="23">
      <t>サンショウ</t>
    </rPh>
    <phoneticPr fontId="2"/>
  </si>
  <si>
    <t>「パラメータ（ルート3）」シートH32セル参照</t>
    <rPh sb="21" eb="23">
      <t>サンショウ</t>
    </rPh>
    <phoneticPr fontId="2"/>
  </si>
  <si>
    <t>「パラメータ（ルート3）」シートH33セル参照</t>
    <rPh sb="21" eb="23">
      <t>サンショウ</t>
    </rPh>
    <phoneticPr fontId="2"/>
  </si>
  <si>
    <t>「数量（ルート3）」シートN34セル参照</t>
    <rPh sb="1" eb="3">
      <t>スウリョウ</t>
    </rPh>
    <rPh sb="18" eb="20">
      <t>サンショウ</t>
    </rPh>
    <phoneticPr fontId="2"/>
  </si>
  <si>
    <t>「数量（ルート3）」シートJ43セル参照</t>
    <rPh sb="1" eb="3">
      <t>スウリョウ</t>
    </rPh>
    <rPh sb="18" eb="20">
      <t>サンショウ</t>
    </rPh>
    <phoneticPr fontId="2"/>
  </si>
  <si>
    <t>「パラメータ（ルート3）」シートH50セル参照</t>
    <rPh sb="21" eb="23">
      <t>サンショウ</t>
    </rPh>
    <phoneticPr fontId="2"/>
  </si>
  <si>
    <t>「パラメータ（ルート3）」シートH51セル参照</t>
    <rPh sb="21" eb="23">
      <t>サンショウ</t>
    </rPh>
    <phoneticPr fontId="2"/>
  </si>
  <si>
    <t>「パラメータ（ルート3）」シートH56セル参照</t>
    <rPh sb="21" eb="23">
      <t>サンショウ</t>
    </rPh>
    <phoneticPr fontId="2"/>
  </si>
  <si>
    <t>「数量（ルート3）」シートK43セル参照</t>
    <rPh sb="1" eb="3">
      <t>スウリョウ</t>
    </rPh>
    <rPh sb="18" eb="20">
      <t>サンショウ</t>
    </rPh>
    <phoneticPr fontId="2"/>
  </si>
  <si>
    <t>「数量（ルート3）」シートM43セル参照</t>
    <rPh sb="1" eb="3">
      <t>スウリョウ</t>
    </rPh>
    <rPh sb="18" eb="20">
      <t>サンショウ</t>
    </rPh>
    <phoneticPr fontId="2"/>
  </si>
  <si>
    <t>「パラメータ（ルート3）」シートH50セル参照。現行と同様と仮定。</t>
    <rPh sb="21" eb="23">
      <t>サンショウ</t>
    </rPh>
    <rPh sb="24" eb="26">
      <t>ゲンコウ</t>
    </rPh>
    <rPh sb="27" eb="29">
      <t>ドウヨウ</t>
    </rPh>
    <rPh sb="30" eb="32">
      <t>カテイ</t>
    </rPh>
    <phoneticPr fontId="2"/>
  </si>
  <si>
    <t>「パラメータ（ルート3）」シートH51セル参照。現行と同様と仮定。</t>
    <rPh sb="21" eb="23">
      <t>サンショウ</t>
    </rPh>
    <phoneticPr fontId="2"/>
  </si>
  <si>
    <t>「パラメータ（ルート3）」シートH56セル参照。現行と同様と仮定。</t>
    <rPh sb="21" eb="23">
      <t>サンショウ</t>
    </rPh>
    <phoneticPr fontId="2"/>
  </si>
  <si>
    <t>実績値</t>
    <rPh sb="0" eb="2">
      <t>ジッセキ</t>
    </rPh>
    <rPh sb="2" eb="3">
      <t>アタイ</t>
    </rPh>
    <phoneticPr fontId="2"/>
  </si>
  <si>
    <t>仮値</t>
    <rPh sb="0" eb="1">
      <t>カリ</t>
    </rPh>
    <rPh sb="1" eb="2">
      <t>アタイ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</si>
</sst>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Red]\-#,##0.0"/>
    <numFmt numFmtId="177" formatCode="#,##0.000;[Red]\-#,##0.000"/>
    <numFmt numFmtId="178" formatCode="#,##0.0000;[Red]\-#,##0.0000"/>
    <numFmt numFmtId="179" formatCode="0.000_);[Red]\(0.000\)"/>
    <numFmt numFmtId="180" formatCode="#,##0.00_ ;[Red]\-#,##0.00\ "/>
    <numFmt numFmtId="181" formatCode="#,##0_ ;[Red]\-#,##0\ "/>
    <numFmt numFmtId="182" formatCode="#,##0.0_ ;[Red]\-#,##0.0\ "/>
    <numFmt numFmtId="183" formatCode="#,##0.000000;[Red]\-#,##0.000000"/>
    <numFmt numFmtId="184" formatCode="0.0_);[Red]\(0.0\)"/>
    <numFmt numFmtId="185" formatCode="0.00_);[Red]\(0.00\)"/>
    <numFmt numFmtId="186" formatCode="0.0"/>
  </numFmts>
  <fonts count="81">
    <font>
      <sz val="11"/>
      <color theme="1"/>
      <name val="Arial"/>
      <family val="2"/>
      <charset val="128"/>
    </font>
    <font>
      <sz val="11"/>
      <color theme="1"/>
      <name val="Yu Gothic UI"/>
      <family val="2"/>
      <charset val="128"/>
      <scheme val="minor"/>
    </font>
    <font>
      <sz val="6"/>
      <name val="Arial"/>
      <family val="2"/>
      <charset val="128"/>
    </font>
    <font>
      <sz val="10"/>
      <name val="Arial"/>
      <family val="2"/>
    </font>
    <font>
      <sz val="11"/>
      <color theme="1"/>
      <name val="Yu Gothic UI"/>
      <family val="2"/>
      <scheme val="minor"/>
    </font>
    <font>
      <sz val="6"/>
      <name val="Yu Gothic UI"/>
      <family val="3"/>
      <charset val="128"/>
      <scheme val="minor"/>
    </font>
    <font>
      <u/>
      <sz val="11"/>
      <color theme="10"/>
      <name val="Yu Gothic UI"/>
      <family val="2"/>
      <scheme val="minor"/>
    </font>
    <font>
      <sz val="11"/>
      <color theme="1"/>
      <name val="Arial"/>
      <family val="2"/>
      <charset val="128"/>
    </font>
    <font>
      <sz val="11"/>
      <color theme="1"/>
      <name val="ＭＳ Ｐゴシック"/>
      <family val="2"/>
      <charset val="128"/>
    </font>
    <font>
      <sz val="11"/>
      <name val="ＭＳ Ｐゴシック"/>
      <family val="3"/>
      <charset val="128"/>
    </font>
    <font>
      <b/>
      <u/>
      <sz val="14"/>
      <name val="Arial"/>
      <family val="2"/>
    </font>
    <font>
      <b/>
      <sz val="12"/>
      <name val="Arial"/>
      <family val="2"/>
    </font>
    <font>
      <sz val="10"/>
      <name val="ＭＳ ゴシック"/>
      <family val="3"/>
      <charset val="128"/>
    </font>
    <font>
      <sz val="10"/>
      <color theme="1"/>
      <name val="ＭＳ ゴシック"/>
      <family val="3"/>
      <charset val="128"/>
    </font>
    <font>
      <sz val="10"/>
      <color theme="1"/>
      <name val="Arial"/>
      <family val="2"/>
    </font>
    <font>
      <b/>
      <sz val="14"/>
      <name val="ＭＳ ゴシック"/>
      <family val="3"/>
      <charset val="128"/>
    </font>
    <font>
      <b/>
      <sz val="14"/>
      <color theme="1"/>
      <name val="Arial"/>
      <family val="2"/>
    </font>
    <font>
      <sz val="11"/>
      <color theme="1"/>
      <name val="Arial"/>
      <family val="2"/>
    </font>
    <font>
      <sz val="11"/>
      <color theme="1"/>
      <name val="ＭＳ ゴシック"/>
      <family val="3"/>
      <charset val="128"/>
    </font>
    <font>
      <b/>
      <sz val="11"/>
      <color theme="1"/>
      <name val="ＭＳ ゴシック"/>
      <family val="3"/>
      <charset val="128"/>
    </font>
    <font>
      <b/>
      <sz val="11"/>
      <color theme="1"/>
      <name val="Arial"/>
      <family val="2"/>
    </font>
    <font>
      <b/>
      <sz val="14"/>
      <color theme="1"/>
      <name val="ＭＳ ゴシック"/>
      <family val="3"/>
      <charset val="128"/>
    </font>
    <font>
      <b/>
      <sz val="14"/>
      <color theme="1"/>
      <name val="Yu Gothic"/>
      <family val="2"/>
      <charset val="128"/>
    </font>
    <font>
      <sz val="11"/>
      <color theme="1"/>
      <name val="ＭＳ Ｐゴシック"/>
      <family val="3"/>
      <charset val="128"/>
    </font>
    <font>
      <sz val="11"/>
      <color theme="1"/>
      <name val="Arial"/>
      <family val="3"/>
      <charset val="128"/>
    </font>
    <font>
      <u/>
      <sz val="12"/>
      <color theme="1"/>
      <name val="Arial"/>
      <family val="2"/>
    </font>
    <font>
      <sz val="11"/>
      <color rgb="FFFF0000"/>
      <name val="ＭＳ Ｐゴシック"/>
      <family val="2"/>
      <charset val="128"/>
    </font>
    <font>
      <u/>
      <sz val="12"/>
      <color theme="1"/>
      <name val="ＭＳ ゴシック"/>
      <family val="3"/>
      <charset val="128"/>
    </font>
    <font>
      <u/>
      <sz val="12"/>
      <color theme="1"/>
      <name val="Yu Gothic"/>
      <family val="2"/>
      <charset val="128"/>
    </font>
    <font>
      <sz val="11"/>
      <color rgb="FFFF0000"/>
      <name val="Arial"/>
      <family val="2"/>
      <charset val="128"/>
    </font>
    <font>
      <u/>
      <sz val="12"/>
      <color theme="1"/>
      <name val="Arial"/>
      <family val="2"/>
      <charset val="128"/>
    </font>
    <font>
      <sz val="11"/>
      <color theme="1"/>
      <name val="Yu Gothic"/>
      <family val="2"/>
      <charset val="128"/>
    </font>
    <font>
      <b/>
      <sz val="11"/>
      <color theme="1"/>
      <name val="Yu Gothic"/>
      <family val="2"/>
      <charset val="128"/>
    </font>
    <font>
      <sz val="10"/>
      <name val="Arial"/>
      <family val="3"/>
      <charset val="128"/>
    </font>
    <font>
      <sz val="11"/>
      <color theme="1"/>
      <name val="Arial"/>
      <family val="3"/>
    </font>
    <font>
      <sz val="10"/>
      <name val="ＭＳ Ｐゴシック"/>
      <family val="2"/>
      <charset val="128"/>
    </font>
    <font>
      <sz val="10"/>
      <color theme="0"/>
      <name val="ＭＳ Ｐゴシック"/>
      <family val="2"/>
      <charset val="128"/>
    </font>
    <font>
      <sz val="10"/>
      <color theme="0"/>
      <name val="ＭＳ Ｐゴシック"/>
      <family val="3"/>
      <charset val="128"/>
    </font>
    <font>
      <sz val="10"/>
      <name val="ＭＳ Ｐゴシック"/>
      <family val="3"/>
      <charset val="128"/>
    </font>
    <font>
      <b/>
      <sz val="12"/>
      <name val="ＭＳ Ｐゴシック"/>
      <family val="2"/>
      <charset val="128"/>
    </font>
    <font>
      <sz val="10"/>
      <color theme="1"/>
      <name val="Arial"/>
      <family val="2"/>
      <charset val="128"/>
    </font>
    <font>
      <sz val="10"/>
      <color theme="1"/>
      <name val="ＭＳ Ｐゴシック"/>
      <family val="2"/>
      <charset val="128"/>
    </font>
    <font>
      <sz val="11"/>
      <color theme="1"/>
      <name val="ＭＳ ゴシック"/>
      <family val="2"/>
      <charset val="128"/>
    </font>
    <font>
      <sz val="11"/>
      <color theme="1"/>
      <name val="Yu Gothic UI"/>
      <family val="3"/>
      <charset val="128"/>
      <scheme val="minor"/>
    </font>
    <font>
      <sz val="10"/>
      <name val="Arial"/>
      <family val="3"/>
    </font>
    <font>
      <b/>
      <sz val="10"/>
      <color theme="1"/>
      <name val="ＭＳ ゴシック"/>
      <family val="3"/>
      <charset val="128"/>
    </font>
    <font>
      <sz val="10"/>
      <color theme="1"/>
      <name val="ＭＳ ゴシック"/>
      <family val="2"/>
      <charset val="128"/>
    </font>
    <font>
      <sz val="10"/>
      <name val="ＭＳ ゴシック"/>
      <family val="2"/>
      <charset val="128"/>
    </font>
    <font>
      <sz val="10"/>
      <name val="Arial"/>
      <family val="2"/>
      <charset val="128"/>
    </font>
    <font>
      <sz val="10"/>
      <name val="Yu Gothic"/>
      <family val="2"/>
      <charset val="128"/>
    </font>
    <font>
      <sz val="10"/>
      <color theme="1"/>
      <name val="Arial"/>
      <family val="3"/>
      <charset val="128"/>
    </font>
    <font>
      <sz val="10"/>
      <name val="Yu Gothic"/>
      <family val="3"/>
      <charset val="128"/>
    </font>
    <font>
      <b/>
      <sz val="11"/>
      <color theme="1"/>
      <name val="Arial"/>
      <family val="3"/>
      <charset val="128"/>
    </font>
    <font>
      <sz val="11"/>
      <color theme="1"/>
      <name val="Yu Gothic"/>
      <family val="3"/>
      <charset val="128"/>
    </font>
    <font>
      <b/>
      <sz val="11"/>
      <color theme="1"/>
      <name val="ＭＳ Ｐゴシック"/>
      <family val="2"/>
      <charset val="128"/>
    </font>
    <font>
      <sz val="10"/>
      <color theme="1"/>
      <name val="ＭＳ Ｐゴシック"/>
      <family val="3"/>
      <charset val="128"/>
    </font>
    <font>
      <b/>
      <sz val="11"/>
      <color theme="1"/>
      <name val="ＭＳ Ｐゴシック"/>
      <family val="3"/>
      <charset val="128"/>
    </font>
    <font>
      <sz val="10"/>
      <color theme="1"/>
      <name val="Yu Gothic"/>
      <family val="2"/>
      <charset val="128"/>
    </font>
    <font>
      <b/>
      <sz val="11"/>
      <color rgb="FFFF0000"/>
      <name val="ＭＳ Ｐゴシック"/>
      <family val="3"/>
      <charset val="128"/>
    </font>
    <font>
      <b/>
      <sz val="11"/>
      <color theme="0"/>
      <name val="ＭＳ Ｐゴシック"/>
      <family val="3"/>
      <charset val="128"/>
    </font>
    <font>
      <sz val="9"/>
      <color theme="1"/>
      <name val="Arial"/>
      <family val="2"/>
      <charset val="128"/>
    </font>
    <font>
      <sz val="9"/>
      <color theme="1"/>
      <name val="ＭＳ Ｐゴシック"/>
      <family val="2"/>
      <charset val="128"/>
    </font>
    <font>
      <sz val="9"/>
      <color theme="1"/>
      <name val="Arial"/>
      <family val="2"/>
    </font>
    <font>
      <sz val="9"/>
      <color theme="1"/>
      <name val="ＭＳ Ｐゴシック"/>
      <family val="3"/>
      <charset val="128"/>
    </font>
    <font>
      <b/>
      <sz val="9"/>
      <color rgb="FFFF0000"/>
      <name val="ＭＳ Ｐゴシック"/>
      <family val="3"/>
      <charset val="128"/>
    </font>
    <font>
      <sz val="11"/>
      <color theme="0"/>
      <name val="Arial"/>
      <family val="2"/>
      <charset val="128"/>
    </font>
    <font>
      <sz val="11"/>
      <name val="Arial"/>
      <family val="3"/>
      <charset val="128"/>
    </font>
    <font>
      <sz val="11"/>
      <name val="ＭＳ ゴシック"/>
      <family val="3"/>
      <charset val="128"/>
    </font>
    <font>
      <b/>
      <sz val="11"/>
      <color theme="1"/>
      <name val="Arial"/>
      <family val="2"/>
      <charset val="128"/>
    </font>
    <font>
      <b/>
      <sz val="11"/>
      <color rgb="FFFFC000"/>
      <name val="ＭＳ Ｐゴシック"/>
      <family val="2"/>
      <charset val="128"/>
    </font>
    <font>
      <b/>
      <sz val="11"/>
      <color theme="4"/>
      <name val="ＭＳ Ｐゴシック"/>
      <family val="2"/>
      <charset val="128"/>
    </font>
    <font>
      <b/>
      <sz val="11"/>
      <color theme="4"/>
      <name val="Arial"/>
      <family val="2"/>
      <charset val="128"/>
    </font>
    <font>
      <b/>
      <sz val="11"/>
      <color theme="8"/>
      <name val="ＭＳ Ｐゴシック"/>
      <family val="2"/>
      <charset val="128"/>
    </font>
    <font>
      <b/>
      <sz val="11"/>
      <color theme="8"/>
      <name val="Arial"/>
      <family val="2"/>
      <charset val="128"/>
    </font>
    <font>
      <b/>
      <sz val="14"/>
      <color theme="1"/>
      <name val="ＭＳ Ｐゴシック"/>
      <family val="2"/>
      <charset val="128"/>
    </font>
    <font>
      <b/>
      <sz val="14"/>
      <color theme="1"/>
      <name val="Arial"/>
      <family val="2"/>
      <charset val="128"/>
    </font>
    <font>
      <sz val="12"/>
      <color theme="1"/>
      <name val="ＭＳ Ｐゴシック"/>
      <family val="2"/>
      <charset val="128"/>
    </font>
    <font>
      <b/>
      <u/>
      <sz val="12"/>
      <color theme="1"/>
      <name val="ＭＳ Ｐゴシック"/>
      <family val="3"/>
      <charset val="128"/>
    </font>
    <font>
      <sz val="12"/>
      <color theme="1"/>
      <name val="Arial"/>
      <family val="2"/>
      <charset val="128"/>
    </font>
    <font>
      <sz val="12"/>
      <color theme="1"/>
      <name val="ＭＳ Ｐゴシック"/>
      <family val="3"/>
      <charset val="128"/>
    </font>
    <font>
      <b/>
      <u/>
      <sz val="11"/>
      <color theme="1"/>
      <name val="ＭＳ Ｐゴシック"/>
      <family val="3"/>
      <charset val="128"/>
    </font>
  </fonts>
  <fills count="15">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rgb="FFFEF5B0"/>
        <bgColor indexed="64"/>
      </patternFill>
    </fill>
    <fill>
      <patternFill patternType="solid">
        <fgColor theme="4" tint="0.79998168889431442"/>
        <bgColor indexed="64"/>
      </patternFill>
    </fill>
    <fill>
      <patternFill patternType="solid">
        <fgColor theme="0"/>
        <bgColor indexed="64"/>
      </patternFill>
    </fill>
    <fill>
      <patternFill patternType="solid">
        <fgColor theme="3"/>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9"/>
        <bgColor indexed="64"/>
      </patternFill>
    </fill>
    <fill>
      <patternFill patternType="solid">
        <fgColor theme="7"/>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auto="1"/>
      </left>
      <right style="thin">
        <color auto="1"/>
      </right>
      <top/>
      <bottom style="hair">
        <color auto="1"/>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bottom style="thin">
        <color indexed="64"/>
      </bottom>
      <diagonal/>
    </border>
    <border>
      <left/>
      <right style="thin">
        <color auto="1"/>
      </right>
      <top style="hair">
        <color auto="1"/>
      </top>
      <bottom style="hair">
        <color auto="1"/>
      </bottom>
      <diagonal/>
    </border>
    <border>
      <left/>
      <right style="thin">
        <color indexed="64"/>
      </right>
      <top style="thin">
        <color indexed="64"/>
      </top>
      <bottom/>
      <diagonal/>
    </border>
    <border>
      <left/>
      <right style="thin">
        <color indexed="64"/>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top/>
      <bottom/>
      <diagonal/>
    </border>
    <border>
      <left style="thin">
        <color indexed="64"/>
      </left>
      <right/>
      <top style="hair">
        <color indexed="64"/>
      </top>
      <bottom/>
      <diagonal/>
    </border>
    <border>
      <left/>
      <right style="thin">
        <color auto="1"/>
      </right>
      <top/>
      <bottom style="hair">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auto="1"/>
      </bottom>
      <diagonal/>
    </border>
    <border>
      <left style="medium">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auto="1"/>
      </right>
      <top style="hair">
        <color indexed="64"/>
      </top>
      <bottom style="medium">
        <color indexed="64"/>
      </bottom>
      <diagonal/>
    </border>
    <border>
      <left style="thin">
        <color indexed="64"/>
      </left>
      <right/>
      <top style="hair">
        <color indexed="64"/>
      </top>
      <bottom style="medium">
        <color indexed="64"/>
      </bottom>
      <diagonal/>
    </border>
    <border>
      <left/>
      <right style="thin">
        <color auto="1"/>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8">
    <xf numFmtId="0" fontId="0" fillId="0" borderId="0">
      <alignment vertical="center"/>
    </xf>
    <xf numFmtId="0" fontId="3" fillId="0" borderId="0"/>
    <xf numFmtId="0" fontId="4" fillId="0" borderId="0"/>
    <xf numFmtId="0" fontId="6" fillId="0" borderId="0" applyNumberFormat="0" applyFill="0" applyBorder="0" applyAlignment="0" applyProtection="0"/>
    <xf numFmtId="38" fontId="4" fillId="0" borderId="0" applyFont="0" applyFill="0" applyBorder="0" applyAlignment="0" applyProtection="0">
      <alignment vertical="center"/>
    </xf>
    <xf numFmtId="38" fontId="7" fillId="0" borderId="0" applyFont="0" applyFill="0" applyBorder="0" applyAlignment="0" applyProtection="0">
      <alignment vertical="center"/>
    </xf>
    <xf numFmtId="0" fontId="9" fillId="0" borderId="0">
      <alignment vertical="center"/>
    </xf>
    <xf numFmtId="38" fontId="8" fillId="0" borderId="0" applyFont="0" applyFill="0" applyBorder="0" applyAlignment="0" applyProtection="0">
      <alignment vertical="center"/>
    </xf>
  </cellStyleXfs>
  <cellXfs count="467">
    <xf numFmtId="0" fontId="0" fillId="0" borderId="0" xfId="0">
      <alignment vertical="center"/>
    </xf>
    <xf numFmtId="0" fontId="10" fillId="0" borderId="0" xfId="1" applyFont="1"/>
    <xf numFmtId="0" fontId="11" fillId="0" borderId="0" xfId="1" applyFont="1"/>
    <xf numFmtId="0" fontId="14" fillId="0" borderId="5" xfId="1" applyFont="1" applyBorder="1" applyAlignment="1">
      <alignment vertical="center"/>
    </xf>
    <xf numFmtId="0" fontId="14" fillId="0" borderId="4" xfId="1" applyFont="1" applyBorder="1" applyAlignment="1">
      <alignment vertical="center"/>
    </xf>
    <xf numFmtId="0" fontId="16" fillId="0" borderId="0" xfId="0" applyFont="1">
      <alignment vertical="center"/>
    </xf>
    <xf numFmtId="0" fontId="17" fillId="0" borderId="0" xfId="0" applyFont="1">
      <alignment vertical="center"/>
    </xf>
    <xf numFmtId="0" fontId="17" fillId="0" borderId="1" xfId="0" applyFont="1" applyBorder="1">
      <alignment vertical="center"/>
    </xf>
    <xf numFmtId="38" fontId="17" fillId="0" borderId="1" xfId="5" applyFont="1" applyFill="1" applyBorder="1">
      <alignment vertical="center"/>
    </xf>
    <xf numFmtId="0" fontId="17" fillId="3" borderId="1" xfId="0" applyFont="1" applyFill="1" applyBorder="1" applyAlignment="1">
      <alignment horizontal="center" vertical="center"/>
    </xf>
    <xf numFmtId="0" fontId="17" fillId="3" borderId="9" xfId="0" applyFont="1" applyFill="1" applyBorder="1" applyAlignment="1">
      <alignment horizontal="centerContinuous" vertical="center"/>
    </xf>
    <xf numFmtId="0" fontId="17" fillId="3" borderId="10" xfId="0" applyFont="1" applyFill="1" applyBorder="1" applyAlignment="1">
      <alignment horizontal="centerContinuous" vertical="center"/>
    </xf>
    <xf numFmtId="0" fontId="17" fillId="3" borderId="11" xfId="0" applyFont="1" applyFill="1" applyBorder="1" applyAlignment="1">
      <alignment horizontal="centerContinuous" vertical="center"/>
    </xf>
    <xf numFmtId="0" fontId="17" fillId="0" borderId="1" xfId="0" applyFont="1" applyBorder="1" applyAlignment="1">
      <alignment horizontal="center" vertical="center"/>
    </xf>
    <xf numFmtId="0" fontId="17" fillId="0" borderId="12" xfId="0" applyFont="1" applyBorder="1">
      <alignment vertical="center"/>
    </xf>
    <xf numFmtId="0" fontId="17" fillId="0" borderId="8" xfId="0" applyFont="1" applyBorder="1">
      <alignment vertical="center"/>
    </xf>
    <xf numFmtId="0" fontId="17" fillId="0" borderId="2" xfId="0" applyFont="1" applyBorder="1">
      <alignment vertical="center"/>
    </xf>
    <xf numFmtId="0" fontId="17" fillId="0" borderId="11" xfId="0" applyFont="1" applyBorder="1">
      <alignment vertical="center"/>
    </xf>
    <xf numFmtId="0" fontId="17" fillId="0" borderId="10" xfId="0" applyFont="1" applyBorder="1">
      <alignment vertical="center"/>
    </xf>
    <xf numFmtId="0" fontId="17" fillId="0" borderId="22" xfId="0" applyFont="1" applyBorder="1">
      <alignment vertical="center"/>
    </xf>
    <xf numFmtId="0" fontId="17" fillId="0" borderId="3" xfId="0" applyFont="1" applyBorder="1">
      <alignment vertical="center"/>
    </xf>
    <xf numFmtId="0" fontId="17" fillId="0" borderId="13" xfId="0" applyFont="1" applyBorder="1">
      <alignment vertical="center"/>
    </xf>
    <xf numFmtId="0" fontId="17" fillId="0" borderId="15" xfId="0" applyFont="1" applyBorder="1">
      <alignment vertical="center"/>
    </xf>
    <xf numFmtId="38" fontId="17" fillId="0" borderId="7" xfId="5" applyFont="1" applyFill="1" applyBorder="1">
      <alignment vertical="center"/>
    </xf>
    <xf numFmtId="0" fontId="17" fillId="0" borderId="7" xfId="0" applyFont="1" applyBorder="1">
      <alignment vertical="center"/>
    </xf>
    <xf numFmtId="0" fontId="17" fillId="0" borderId="24" xfId="0" applyFont="1" applyBorder="1">
      <alignment vertical="center"/>
    </xf>
    <xf numFmtId="38" fontId="17" fillId="0" borderId="2" xfId="5" applyFont="1" applyFill="1" applyBorder="1">
      <alignment vertical="center"/>
    </xf>
    <xf numFmtId="0" fontId="17" fillId="0" borderId="4" xfId="0" applyFont="1" applyBorder="1">
      <alignment vertical="center"/>
    </xf>
    <xf numFmtId="0" fontId="17" fillId="0" borderId="9" xfId="0" applyFont="1" applyBorder="1">
      <alignment vertical="center"/>
    </xf>
    <xf numFmtId="0" fontId="17" fillId="0" borderId="14" xfId="0" applyFont="1" applyBorder="1">
      <alignment vertical="center"/>
    </xf>
    <xf numFmtId="0" fontId="17" fillId="0" borderId="26" xfId="0" applyFont="1" applyBorder="1">
      <alignment vertical="center"/>
    </xf>
    <xf numFmtId="0" fontId="17" fillId="0" borderId="20" xfId="0" applyFont="1" applyBorder="1">
      <alignment vertical="center"/>
    </xf>
    <xf numFmtId="0" fontId="17" fillId="6" borderId="24" xfId="0" applyFont="1" applyFill="1" applyBorder="1">
      <alignment vertical="center"/>
    </xf>
    <xf numFmtId="0" fontId="17" fillId="6" borderId="11" xfId="0" applyFont="1" applyFill="1" applyBorder="1">
      <alignment vertical="center"/>
    </xf>
    <xf numFmtId="0" fontId="17" fillId="6" borderId="0" xfId="0" applyFont="1" applyFill="1">
      <alignment vertical="center"/>
    </xf>
    <xf numFmtId="0" fontId="20" fillId="6" borderId="13" xfId="0" applyFont="1" applyFill="1" applyBorder="1">
      <alignment vertical="center"/>
    </xf>
    <xf numFmtId="0" fontId="17" fillId="4" borderId="30" xfId="0" applyFont="1" applyFill="1" applyBorder="1">
      <alignment vertical="center"/>
    </xf>
    <xf numFmtId="0" fontId="17" fillId="4" borderId="31" xfId="0" applyFont="1" applyFill="1" applyBorder="1">
      <alignment vertical="center"/>
    </xf>
    <xf numFmtId="0" fontId="17" fillId="4" borderId="32" xfId="0" applyFont="1" applyFill="1" applyBorder="1">
      <alignment vertical="center"/>
    </xf>
    <xf numFmtId="0" fontId="20" fillId="0" borderId="0" xfId="0" applyFont="1">
      <alignment vertical="center"/>
    </xf>
    <xf numFmtId="0" fontId="17" fillId="4" borderId="33" xfId="0" applyFont="1" applyFill="1" applyBorder="1">
      <alignment vertical="center"/>
    </xf>
    <xf numFmtId="0" fontId="17" fillId="4" borderId="24" xfId="0" applyFont="1" applyFill="1" applyBorder="1">
      <alignment vertical="center"/>
    </xf>
    <xf numFmtId="0" fontId="17" fillId="4" borderId="40" xfId="0" applyFont="1" applyFill="1" applyBorder="1">
      <alignment vertical="center"/>
    </xf>
    <xf numFmtId="0" fontId="20" fillId="5" borderId="43" xfId="0" applyFont="1" applyFill="1" applyBorder="1" applyAlignment="1">
      <alignment horizontal="center" vertical="center"/>
    </xf>
    <xf numFmtId="0" fontId="17" fillId="4" borderId="35" xfId="0" applyFont="1" applyFill="1" applyBorder="1">
      <alignment vertical="center"/>
    </xf>
    <xf numFmtId="0" fontId="17" fillId="4" borderId="14" xfId="0" applyFont="1" applyFill="1" applyBorder="1">
      <alignment vertical="center"/>
    </xf>
    <xf numFmtId="0" fontId="17" fillId="4" borderId="36" xfId="0" applyFont="1" applyFill="1" applyBorder="1">
      <alignment vertical="center"/>
    </xf>
    <xf numFmtId="0" fontId="17" fillId="4" borderId="16" xfId="0" applyFont="1" applyFill="1" applyBorder="1">
      <alignment vertical="center"/>
    </xf>
    <xf numFmtId="0" fontId="17" fillId="4" borderId="20" xfId="0" applyFont="1" applyFill="1" applyBorder="1">
      <alignment vertical="center"/>
    </xf>
    <xf numFmtId="40" fontId="17" fillId="0" borderId="41" xfId="0" applyNumberFormat="1" applyFont="1" applyBorder="1" applyAlignment="1">
      <alignment horizontal="right" vertical="center"/>
    </xf>
    <xf numFmtId="0" fontId="17" fillId="4" borderId="8" xfId="0" applyFont="1" applyFill="1" applyBorder="1">
      <alignment vertical="center"/>
    </xf>
    <xf numFmtId="0" fontId="17" fillId="4" borderId="37" xfId="0" applyFont="1" applyFill="1" applyBorder="1">
      <alignment vertical="center"/>
    </xf>
    <xf numFmtId="40" fontId="17" fillId="2" borderId="41" xfId="0" applyNumberFormat="1" applyFont="1" applyFill="1" applyBorder="1" applyAlignment="1">
      <alignment horizontal="right" vertical="center"/>
    </xf>
    <xf numFmtId="0" fontId="17" fillId="4" borderId="18" xfId="0" applyFont="1" applyFill="1" applyBorder="1">
      <alignment vertical="center"/>
    </xf>
    <xf numFmtId="0" fontId="17" fillId="4" borderId="38" xfId="0" applyFont="1" applyFill="1" applyBorder="1">
      <alignment vertical="center"/>
    </xf>
    <xf numFmtId="0" fontId="17" fillId="4" borderId="39" xfId="0" applyFont="1" applyFill="1" applyBorder="1">
      <alignment vertical="center"/>
    </xf>
    <xf numFmtId="40" fontId="17" fillId="0" borderId="42" xfId="0" applyNumberFormat="1" applyFont="1" applyBorder="1" applyAlignment="1">
      <alignment horizontal="right" vertical="center"/>
    </xf>
    <xf numFmtId="176" fontId="17" fillId="0" borderId="1" xfId="5" applyNumberFormat="1" applyFont="1" applyFill="1" applyBorder="1">
      <alignment vertical="center"/>
    </xf>
    <xf numFmtId="0" fontId="17" fillId="6" borderId="14" xfId="0" applyFont="1" applyFill="1" applyBorder="1">
      <alignment vertical="center"/>
    </xf>
    <xf numFmtId="0" fontId="17" fillId="6" borderId="1" xfId="0" applyFont="1" applyFill="1" applyBorder="1">
      <alignment vertical="center"/>
    </xf>
    <xf numFmtId="38" fontId="17" fillId="2" borderId="20" xfId="5" applyFont="1" applyFill="1" applyBorder="1">
      <alignment vertical="center"/>
    </xf>
    <xf numFmtId="38" fontId="17" fillId="0" borderId="20" xfId="5" applyFont="1" applyFill="1" applyBorder="1">
      <alignment vertical="center"/>
    </xf>
    <xf numFmtId="38" fontId="17" fillId="2" borderId="7" xfId="5" applyFont="1" applyFill="1" applyBorder="1">
      <alignment vertical="center"/>
    </xf>
    <xf numFmtId="38" fontId="17" fillId="2" borderId="1" xfId="5" applyFont="1" applyFill="1" applyBorder="1">
      <alignment vertical="center"/>
    </xf>
    <xf numFmtId="0" fontId="17" fillId="6" borderId="10" xfId="0" applyFont="1" applyFill="1" applyBorder="1">
      <alignment vertical="center"/>
    </xf>
    <xf numFmtId="176" fontId="17" fillId="0" borderId="7" xfId="5" applyNumberFormat="1" applyFont="1" applyFill="1" applyBorder="1">
      <alignment vertical="center"/>
    </xf>
    <xf numFmtId="38" fontId="17" fillId="0" borderId="0" xfId="0" applyNumberFormat="1" applyFont="1">
      <alignment vertical="center"/>
    </xf>
    <xf numFmtId="179" fontId="17" fillId="2" borderId="1" xfId="5" applyNumberFormat="1" applyFont="1" applyFill="1" applyBorder="1">
      <alignment vertical="center"/>
    </xf>
    <xf numFmtId="0" fontId="3" fillId="0" borderId="0" xfId="1" applyAlignment="1">
      <alignment horizontal="center"/>
    </xf>
    <xf numFmtId="0" fontId="3" fillId="0" borderId="0" xfId="1"/>
    <xf numFmtId="0" fontId="3" fillId="0" borderId="0" xfId="1" applyAlignment="1">
      <alignment horizontal="left"/>
    </xf>
    <xf numFmtId="0" fontId="3" fillId="0" borderId="4" xfId="1" applyBorder="1" applyAlignment="1">
      <alignment horizontal="center" vertical="center"/>
    </xf>
    <xf numFmtId="0" fontId="3" fillId="0" borderId="2" xfId="1" applyBorder="1" applyAlignment="1">
      <alignment vertical="center"/>
    </xf>
    <xf numFmtId="0" fontId="3" fillId="0" borderId="4" xfId="1" applyBorder="1" applyAlignment="1">
      <alignment vertical="center"/>
    </xf>
    <xf numFmtId="0" fontId="3" fillId="0" borderId="6" xfId="1" applyBorder="1" applyAlignment="1">
      <alignment horizontal="center" vertical="center"/>
    </xf>
    <xf numFmtId="0" fontId="3" fillId="0" borderId="5" xfId="1" applyBorder="1" applyAlignment="1">
      <alignment vertical="center"/>
    </xf>
    <xf numFmtId="0" fontId="22" fillId="0" borderId="0" xfId="0" applyFont="1">
      <alignment vertical="center"/>
    </xf>
    <xf numFmtId="0" fontId="25" fillId="0" borderId="0" xfId="0" applyFont="1">
      <alignment vertical="center"/>
    </xf>
    <xf numFmtId="0" fontId="26" fillId="0" borderId="0" xfId="0" applyFont="1">
      <alignment vertical="center"/>
    </xf>
    <xf numFmtId="0" fontId="24" fillId="0" borderId="0" xfId="0" applyFont="1" applyAlignment="1">
      <alignment horizontal="right" vertical="center"/>
    </xf>
    <xf numFmtId="0" fontId="0" fillId="4" borderId="22" xfId="0" applyFill="1" applyBorder="1">
      <alignment vertical="center"/>
    </xf>
    <xf numFmtId="0" fontId="0" fillId="4" borderId="26" xfId="0" applyFill="1" applyBorder="1">
      <alignment vertical="center"/>
    </xf>
    <xf numFmtId="0" fontId="18" fillId="4" borderId="9" xfId="0" applyFont="1" applyFill="1" applyBorder="1" applyAlignment="1">
      <alignment horizontal="centerContinuous" vertical="center"/>
    </xf>
    <xf numFmtId="0" fontId="0" fillId="4" borderId="11" xfId="0" applyFill="1" applyBorder="1" applyAlignment="1">
      <alignment horizontal="centerContinuous" vertical="center"/>
    </xf>
    <xf numFmtId="0" fontId="0" fillId="4" borderId="26" xfId="0" applyFill="1" applyBorder="1" applyAlignment="1">
      <alignment horizontal="centerContinuous" vertical="center"/>
    </xf>
    <xf numFmtId="0" fontId="0" fillId="4" borderId="10" xfId="0" applyFill="1" applyBorder="1" applyAlignment="1">
      <alignment horizontal="centerContinuous" vertical="center"/>
    </xf>
    <xf numFmtId="0" fontId="0" fillId="4" borderId="20" xfId="0" applyFill="1" applyBorder="1" applyAlignment="1">
      <alignment horizontal="centerContinuous" vertical="center"/>
    </xf>
    <xf numFmtId="0" fontId="0" fillId="4" borderId="12" xfId="0" applyFill="1" applyBorder="1">
      <alignment vertical="center"/>
    </xf>
    <xf numFmtId="0" fontId="0" fillId="4" borderId="27" xfId="0" applyFill="1" applyBorder="1">
      <alignment vertical="center"/>
    </xf>
    <xf numFmtId="0" fontId="0" fillId="4" borderId="1" xfId="0" applyFill="1" applyBorder="1" applyAlignment="1">
      <alignment horizontal="center" vertical="center"/>
    </xf>
    <xf numFmtId="0" fontId="18" fillId="4" borderId="1" xfId="0" applyFont="1" applyFill="1" applyBorder="1" applyAlignment="1">
      <alignment horizontal="center" vertical="center"/>
    </xf>
    <xf numFmtId="0" fontId="0" fillId="4" borderId="13" xfId="0" applyFill="1" applyBorder="1">
      <alignment vertical="center"/>
    </xf>
    <xf numFmtId="0" fontId="0" fillId="4" borderId="15" xfId="0" applyFill="1" applyBorder="1">
      <alignment vertical="center"/>
    </xf>
    <xf numFmtId="0" fontId="8" fillId="4" borderId="7" xfId="0" applyFont="1" applyFill="1" applyBorder="1" applyAlignment="1">
      <alignment horizontal="center" vertical="center"/>
    </xf>
    <xf numFmtId="0" fontId="0" fillId="0" borderId="22" xfId="0" applyBorder="1">
      <alignment vertical="center"/>
    </xf>
    <xf numFmtId="0" fontId="0" fillId="0" borderId="2" xfId="0" applyBorder="1">
      <alignment vertical="center"/>
    </xf>
    <xf numFmtId="180" fontId="0" fillId="5" borderId="2" xfId="5" applyNumberFormat="1" applyFont="1" applyFill="1" applyBorder="1">
      <alignment vertical="center"/>
    </xf>
    <xf numFmtId="0" fontId="0" fillId="0" borderId="12" xfId="0" applyBorder="1">
      <alignment vertical="center"/>
    </xf>
    <xf numFmtId="0" fontId="0" fillId="0" borderId="4" xfId="0" applyBorder="1">
      <alignment vertical="center"/>
    </xf>
    <xf numFmtId="180" fontId="0" fillId="5" borderId="4" xfId="5" applyNumberFormat="1" applyFont="1" applyFill="1" applyBorder="1">
      <alignment vertical="center"/>
    </xf>
    <xf numFmtId="0" fontId="18" fillId="0" borderId="4" xfId="0" applyFont="1" applyBorder="1">
      <alignment vertical="center"/>
    </xf>
    <xf numFmtId="0" fontId="0" fillId="0" borderId="3" xfId="0" applyBorder="1">
      <alignment vertical="center"/>
    </xf>
    <xf numFmtId="180" fontId="0" fillId="3" borderId="3" xfId="5" applyNumberFormat="1" applyFont="1" applyFill="1" applyBorder="1">
      <alignment vertical="center"/>
    </xf>
    <xf numFmtId="0" fontId="29" fillId="0" borderId="0" xfId="0" applyFont="1">
      <alignment vertical="center"/>
    </xf>
    <xf numFmtId="0" fontId="0" fillId="0" borderId="0" xfId="0" applyAlignment="1">
      <alignment horizontal="right" vertical="center"/>
    </xf>
    <xf numFmtId="181" fontId="0" fillId="5" borderId="2" xfId="5" applyNumberFormat="1" applyFont="1" applyFill="1" applyBorder="1">
      <alignment vertical="center"/>
    </xf>
    <xf numFmtId="181" fontId="0" fillId="5" borderId="4" xfId="5" applyNumberFormat="1" applyFont="1" applyFill="1" applyBorder="1">
      <alignment vertical="center"/>
    </xf>
    <xf numFmtId="182" fontId="0" fillId="5" borderId="4" xfId="5" applyNumberFormat="1" applyFont="1" applyFill="1" applyBorder="1">
      <alignment vertical="center"/>
    </xf>
    <xf numFmtId="181" fontId="0" fillId="3" borderId="3" xfId="5" applyNumberFormat="1" applyFont="1" applyFill="1" applyBorder="1">
      <alignment vertical="center"/>
    </xf>
    <xf numFmtId="181" fontId="0" fillId="0" borderId="1" xfId="5" applyNumberFormat="1" applyFont="1" applyBorder="1">
      <alignment vertical="center"/>
    </xf>
    <xf numFmtId="181" fontId="0" fillId="5" borderId="3" xfId="5" applyNumberFormat="1" applyFont="1" applyFill="1" applyBorder="1">
      <alignment vertical="center"/>
    </xf>
    <xf numFmtId="0" fontId="0" fillId="4" borderId="14" xfId="0" applyFill="1" applyBorder="1" applyAlignment="1">
      <alignment horizontal="centerContinuous" vertical="center"/>
    </xf>
    <xf numFmtId="0" fontId="0" fillId="7" borderId="13" xfId="0" applyFill="1" applyBorder="1">
      <alignment vertical="center"/>
    </xf>
    <xf numFmtId="0" fontId="0" fillId="7" borderId="10" xfId="0" applyFill="1" applyBorder="1">
      <alignment vertical="center"/>
    </xf>
    <xf numFmtId="0" fontId="23" fillId="7" borderId="10" xfId="0" applyFont="1" applyFill="1" applyBorder="1">
      <alignment vertical="center"/>
    </xf>
    <xf numFmtId="0" fontId="0" fillId="4" borderId="26" xfId="0" applyFill="1" applyBorder="1" applyAlignment="1">
      <alignment horizontal="center" vertical="center"/>
    </xf>
    <xf numFmtId="0" fontId="21" fillId="0" borderId="0" xfId="0" applyFont="1">
      <alignment vertical="center"/>
    </xf>
    <xf numFmtId="0" fontId="19" fillId="6" borderId="13" xfId="0" applyFont="1" applyFill="1" applyBorder="1">
      <alignment vertical="center"/>
    </xf>
    <xf numFmtId="0" fontId="30" fillId="0" borderId="0" xfId="0" applyFont="1">
      <alignment vertical="center"/>
    </xf>
    <xf numFmtId="0" fontId="23" fillId="0" borderId="7" xfId="0" applyFont="1" applyBorder="1">
      <alignment vertical="center"/>
    </xf>
    <xf numFmtId="0" fontId="23" fillId="0" borderId="1" xfId="0" applyFont="1" applyBorder="1">
      <alignment vertical="center"/>
    </xf>
    <xf numFmtId="0" fontId="23" fillId="0" borderId="9" xfId="0" applyFont="1" applyBorder="1">
      <alignment vertical="center"/>
    </xf>
    <xf numFmtId="0" fontId="20" fillId="6" borderId="1" xfId="0" applyFont="1" applyFill="1" applyBorder="1">
      <alignment vertical="center"/>
    </xf>
    <xf numFmtId="0" fontId="20" fillId="0" borderId="1" xfId="0" applyFont="1" applyBorder="1">
      <alignment vertical="center"/>
    </xf>
    <xf numFmtId="0" fontId="18" fillId="0" borderId="9" xfId="0" applyFont="1" applyBorder="1">
      <alignment vertical="center"/>
    </xf>
    <xf numFmtId="0" fontId="3" fillId="2" borderId="1" xfId="1" applyFill="1" applyBorder="1" applyAlignment="1">
      <alignment horizontal="center" vertical="center"/>
    </xf>
    <xf numFmtId="0" fontId="20" fillId="5" borderId="34" xfId="0" applyFont="1" applyFill="1" applyBorder="1" applyAlignment="1">
      <alignment horizontal="center" vertical="center"/>
    </xf>
    <xf numFmtId="0" fontId="20" fillId="0" borderId="0" xfId="0" applyFont="1" applyAlignment="1">
      <alignment horizontal="center" vertical="center"/>
    </xf>
    <xf numFmtId="0" fontId="18" fillId="3" borderId="1" xfId="0" applyFont="1" applyFill="1" applyBorder="1" applyAlignment="1">
      <alignment horizontal="center" vertical="center"/>
    </xf>
    <xf numFmtId="40" fontId="17" fillId="0" borderId="17" xfId="0" applyNumberFormat="1" applyFont="1" applyBorder="1" applyAlignment="1">
      <alignment horizontal="right" vertical="center"/>
    </xf>
    <xf numFmtId="40" fontId="17" fillId="0" borderId="19" xfId="0" applyNumberFormat="1" applyFont="1" applyBorder="1" applyAlignment="1">
      <alignment horizontal="right" vertical="center"/>
    </xf>
    <xf numFmtId="0" fontId="24" fillId="4" borderId="13" xfId="0" applyFont="1" applyFill="1" applyBorder="1">
      <alignment vertical="center"/>
    </xf>
    <xf numFmtId="0" fontId="24" fillId="4" borderId="1" xfId="0" applyFont="1" applyFill="1" applyBorder="1" applyAlignment="1">
      <alignment horizontal="center" vertical="center"/>
    </xf>
    <xf numFmtId="0" fontId="0" fillId="4" borderId="44" xfId="0" applyFill="1" applyBorder="1" applyAlignment="1">
      <alignment horizontal="centerContinuous" vertical="center"/>
    </xf>
    <xf numFmtId="0" fontId="0" fillId="0" borderId="45" xfId="0" applyBorder="1">
      <alignment vertical="center"/>
    </xf>
    <xf numFmtId="181" fontId="0" fillId="3" borderId="2" xfId="5" applyNumberFormat="1" applyFont="1" applyFill="1" applyBorder="1">
      <alignment vertical="center"/>
    </xf>
    <xf numFmtId="181" fontId="0" fillId="3" borderId="4" xfId="5" applyNumberFormat="1" applyFont="1" applyFill="1" applyBorder="1">
      <alignment vertical="center"/>
    </xf>
    <xf numFmtId="181" fontId="0" fillId="3" borderId="1" xfId="5" applyNumberFormat="1" applyFont="1" applyFill="1" applyBorder="1">
      <alignment vertical="center"/>
    </xf>
    <xf numFmtId="0" fontId="8" fillId="0" borderId="0" xfId="0" applyFont="1">
      <alignment vertical="center"/>
    </xf>
    <xf numFmtId="0" fontId="35" fillId="2" borderId="1" xfId="1" applyFont="1" applyFill="1" applyBorder="1" applyAlignment="1">
      <alignment horizontal="center" vertical="center"/>
    </xf>
    <xf numFmtId="0" fontId="35" fillId="0" borderId="0" xfId="1" applyFont="1" applyAlignment="1">
      <alignment horizontal="center"/>
    </xf>
    <xf numFmtId="0" fontId="3" fillId="2" borderId="9" xfId="1" applyFill="1" applyBorder="1" applyAlignment="1">
      <alignment horizontal="center" vertical="center"/>
    </xf>
    <xf numFmtId="0" fontId="3" fillId="0" borderId="23" xfId="1" applyBorder="1" applyAlignment="1">
      <alignment vertical="center"/>
    </xf>
    <xf numFmtId="0" fontId="3" fillId="0" borderId="29" xfId="1" applyBorder="1" applyAlignment="1">
      <alignment vertical="center"/>
    </xf>
    <xf numFmtId="0" fontId="14" fillId="0" borderId="28" xfId="1" applyFont="1" applyBorder="1" applyAlignment="1">
      <alignment vertical="center"/>
    </xf>
    <xf numFmtId="0" fontId="14" fillId="0" borderId="29" xfId="1" applyFont="1" applyBorder="1" applyAlignment="1">
      <alignment vertical="center"/>
    </xf>
    <xf numFmtId="0" fontId="35" fillId="2" borderId="10" xfId="1" applyFont="1" applyFill="1" applyBorder="1" applyAlignment="1">
      <alignment horizontal="center" vertical="center"/>
    </xf>
    <xf numFmtId="0" fontId="35" fillId="2" borderId="48" xfId="1" applyFont="1" applyFill="1" applyBorder="1" applyAlignment="1">
      <alignment horizontal="center" vertical="center"/>
    </xf>
    <xf numFmtId="38" fontId="3" fillId="0" borderId="4" xfId="5" applyFont="1" applyFill="1" applyBorder="1" applyAlignment="1">
      <alignment vertical="center"/>
    </xf>
    <xf numFmtId="0" fontId="35" fillId="0" borderId="4" xfId="1" applyFont="1" applyBorder="1" applyAlignment="1">
      <alignment vertical="center"/>
    </xf>
    <xf numFmtId="38" fontId="3" fillId="0" borderId="49" xfId="5" applyFont="1" applyBorder="1" applyAlignment="1">
      <alignment vertical="center"/>
    </xf>
    <xf numFmtId="38" fontId="3" fillId="0" borderId="21" xfId="5" applyFont="1" applyBorder="1" applyAlignment="1">
      <alignment vertical="center"/>
    </xf>
    <xf numFmtId="38" fontId="3" fillId="0" borderId="25" xfId="5" applyFont="1" applyBorder="1" applyAlignment="1">
      <alignment vertical="center"/>
    </xf>
    <xf numFmtId="38" fontId="14" fillId="0" borderId="50" xfId="5" applyFont="1" applyBorder="1" applyAlignment="1">
      <alignment vertical="center"/>
    </xf>
    <xf numFmtId="38" fontId="14" fillId="0" borderId="47" xfId="5" applyFont="1" applyBorder="1" applyAlignment="1">
      <alignment vertical="center"/>
    </xf>
    <xf numFmtId="38" fontId="14" fillId="0" borderId="49" xfId="5" applyFont="1" applyBorder="1" applyAlignment="1">
      <alignment vertical="center"/>
    </xf>
    <xf numFmtId="38" fontId="14" fillId="0" borderId="25" xfId="5" applyFont="1" applyBorder="1" applyAlignment="1">
      <alignment vertical="center"/>
    </xf>
    <xf numFmtId="38" fontId="3" fillId="3" borderId="2" xfId="5" applyFont="1" applyFill="1" applyBorder="1" applyAlignment="1">
      <alignment vertical="center"/>
    </xf>
    <xf numFmtId="38" fontId="3" fillId="0" borderId="5" xfId="5" applyFont="1" applyFill="1" applyBorder="1" applyAlignment="1">
      <alignment vertical="center"/>
    </xf>
    <xf numFmtId="0" fontId="12" fillId="0" borderId="4" xfId="1" applyFont="1" applyBorder="1" applyAlignment="1">
      <alignment vertical="center"/>
    </xf>
    <xf numFmtId="0" fontId="3" fillId="2" borderId="7" xfId="1" applyFill="1" applyBorder="1" applyAlignment="1">
      <alignment horizontal="center" vertical="center"/>
    </xf>
    <xf numFmtId="0" fontId="12" fillId="2" borderId="1" xfId="1" applyFont="1" applyFill="1" applyBorder="1" applyAlignment="1">
      <alignment horizontal="center" vertical="center"/>
    </xf>
    <xf numFmtId="0" fontId="35" fillId="0" borderId="2" xfId="1" applyFont="1" applyBorder="1" applyAlignment="1">
      <alignment vertical="center"/>
    </xf>
    <xf numFmtId="38" fontId="3" fillId="3" borderId="5" xfId="5" applyFont="1" applyFill="1" applyBorder="1" applyAlignment="1">
      <alignment vertical="center"/>
    </xf>
    <xf numFmtId="0" fontId="33" fillId="0" borderId="4" xfId="1" applyFont="1" applyBorder="1" applyAlignment="1">
      <alignment vertical="center" wrapText="1"/>
    </xf>
    <xf numFmtId="0" fontId="33" fillId="0" borderId="6" xfId="1" applyFont="1" applyBorder="1" applyAlignment="1">
      <alignment vertical="center"/>
    </xf>
    <xf numFmtId="38" fontId="20" fillId="6" borderId="1" xfId="5" applyFont="1" applyFill="1" applyBorder="1">
      <alignment vertical="center"/>
    </xf>
    <xf numFmtId="0" fontId="18" fillId="0" borderId="1" xfId="0" applyFont="1" applyBorder="1">
      <alignment vertical="center"/>
    </xf>
    <xf numFmtId="0" fontId="18" fillId="4" borderId="8" xfId="0" applyFont="1" applyFill="1" applyBorder="1">
      <alignment vertical="center"/>
    </xf>
    <xf numFmtId="0" fontId="42" fillId="4" borderId="8" xfId="0" applyFont="1" applyFill="1" applyBorder="1">
      <alignment vertical="center"/>
    </xf>
    <xf numFmtId="0" fontId="24" fillId="4" borderId="38" xfId="0" applyFont="1" applyFill="1" applyBorder="1">
      <alignment vertical="center"/>
    </xf>
    <xf numFmtId="0" fontId="17" fillId="0" borderId="52" xfId="0" applyFont="1" applyBorder="1">
      <alignment vertical="center"/>
    </xf>
    <xf numFmtId="0" fontId="0" fillId="0" borderId="13" xfId="0" applyBorder="1">
      <alignment vertical="center"/>
    </xf>
    <xf numFmtId="0" fontId="24" fillId="0" borderId="3" xfId="0" applyFont="1" applyBorder="1">
      <alignment vertical="center"/>
    </xf>
    <xf numFmtId="181" fontId="43" fillId="5" borderId="4" xfId="5" applyNumberFormat="1" applyFont="1" applyFill="1" applyBorder="1">
      <alignment vertical="center"/>
    </xf>
    <xf numFmtId="0" fontId="12" fillId="0" borderId="5" xfId="1" applyFont="1" applyBorder="1" applyAlignment="1">
      <alignment vertical="center"/>
    </xf>
    <xf numFmtId="0" fontId="33" fillId="0" borderId="4" xfId="1" applyFont="1" applyBorder="1" applyAlignment="1">
      <alignment vertical="center"/>
    </xf>
    <xf numFmtId="0" fontId="18" fillId="0" borderId="13" xfId="0" applyFont="1" applyBorder="1">
      <alignment vertical="center"/>
    </xf>
    <xf numFmtId="176" fontId="3" fillId="0" borderId="49" xfId="5" applyNumberFormat="1" applyFont="1" applyBorder="1" applyAlignment="1">
      <alignment vertical="center"/>
    </xf>
    <xf numFmtId="176" fontId="3" fillId="7" borderId="4" xfId="5" applyNumberFormat="1" applyFont="1" applyFill="1" applyBorder="1" applyAlignment="1">
      <alignment vertical="center"/>
    </xf>
    <xf numFmtId="0" fontId="18" fillId="0" borderId="12" xfId="0" applyFont="1" applyBorder="1">
      <alignment vertical="center"/>
    </xf>
    <xf numFmtId="0" fontId="23" fillId="0" borderId="20" xfId="0" applyFont="1" applyBorder="1">
      <alignment vertical="center"/>
    </xf>
    <xf numFmtId="38" fontId="17" fillId="0" borderId="1" xfId="5" applyFont="1" applyBorder="1">
      <alignment vertical="center"/>
    </xf>
    <xf numFmtId="0" fontId="24" fillId="0" borderId="1" xfId="0" applyFont="1" applyBorder="1">
      <alignment vertical="center"/>
    </xf>
    <xf numFmtId="0" fontId="23" fillId="0" borderId="13" xfId="0" applyFont="1" applyBorder="1">
      <alignment vertical="center"/>
    </xf>
    <xf numFmtId="38" fontId="17" fillId="3" borderId="1" xfId="5" applyFont="1" applyFill="1" applyBorder="1">
      <alignment vertical="center"/>
    </xf>
    <xf numFmtId="0" fontId="12" fillId="0" borderId="5" xfId="1" applyFont="1" applyBorder="1" applyAlignment="1">
      <alignment horizontal="center" vertical="center"/>
    </xf>
    <xf numFmtId="0" fontId="41" fillId="0" borderId="5" xfId="1" applyFont="1" applyBorder="1" applyAlignment="1">
      <alignment vertical="center"/>
    </xf>
    <xf numFmtId="0" fontId="12" fillId="0" borderId="4" xfId="1" applyFont="1" applyBorder="1" applyAlignment="1">
      <alignment horizontal="center" vertical="center"/>
    </xf>
    <xf numFmtId="0" fontId="40" fillId="0" borderId="4" xfId="1" applyFont="1" applyBorder="1" applyAlignment="1">
      <alignment vertical="center"/>
    </xf>
    <xf numFmtId="183" fontId="3" fillId="0" borderId="4" xfId="5" applyNumberFormat="1" applyFont="1" applyFill="1" applyBorder="1" applyAlignment="1">
      <alignment vertical="center"/>
    </xf>
    <xf numFmtId="183" fontId="14" fillId="0" borderId="49" xfId="5" applyNumberFormat="1" applyFont="1" applyBorder="1" applyAlignment="1">
      <alignment vertical="center"/>
    </xf>
    <xf numFmtId="0" fontId="20" fillId="6" borderId="7" xfId="0" applyFont="1" applyFill="1" applyBorder="1">
      <alignment vertical="center"/>
    </xf>
    <xf numFmtId="0" fontId="14" fillId="0" borderId="46" xfId="1" applyFont="1" applyBorder="1" applyAlignment="1">
      <alignment vertical="center"/>
    </xf>
    <xf numFmtId="0" fontId="3" fillId="0" borderId="53" xfId="1" applyBorder="1" applyAlignment="1">
      <alignment vertical="center"/>
    </xf>
    <xf numFmtId="0" fontId="48" fillId="0" borderId="4" xfId="1" applyFont="1" applyBorder="1" applyAlignment="1">
      <alignment vertical="center"/>
    </xf>
    <xf numFmtId="0" fontId="35" fillId="2" borderId="7" xfId="1" applyFont="1" applyFill="1" applyBorder="1" applyAlignment="1">
      <alignment horizontal="center" vertical="center"/>
    </xf>
    <xf numFmtId="0" fontId="35" fillId="0" borderId="2" xfId="1" applyFont="1" applyBorder="1" applyAlignment="1">
      <alignment horizontal="center" vertical="center"/>
    </xf>
    <xf numFmtId="0" fontId="35" fillId="0" borderId="4" xfId="1" applyFont="1" applyBorder="1" applyAlignment="1">
      <alignment horizontal="center" vertical="center"/>
    </xf>
    <xf numFmtId="0" fontId="35" fillId="0" borderId="6" xfId="1" applyFont="1" applyBorder="1" applyAlignment="1">
      <alignment horizontal="center" vertical="center"/>
    </xf>
    <xf numFmtId="0" fontId="35" fillId="0" borderId="5" xfId="1" applyFont="1" applyBorder="1" applyAlignment="1">
      <alignment horizontal="center" vertical="center"/>
    </xf>
    <xf numFmtId="176" fontId="14" fillId="0" borderId="49" xfId="5" applyNumberFormat="1" applyFont="1" applyBorder="1" applyAlignment="1">
      <alignment vertical="center"/>
    </xf>
    <xf numFmtId="176" fontId="14" fillId="0" borderId="25" xfId="5" applyNumberFormat="1" applyFont="1" applyBorder="1" applyAlignment="1">
      <alignment vertical="center"/>
    </xf>
    <xf numFmtId="176" fontId="3" fillId="0" borderId="4" xfId="5" applyNumberFormat="1" applyFont="1" applyFill="1" applyBorder="1" applyAlignment="1">
      <alignment vertical="center"/>
    </xf>
    <xf numFmtId="176" fontId="14" fillId="0" borderId="5" xfId="5" applyNumberFormat="1" applyFont="1" applyFill="1" applyBorder="1" applyAlignment="1">
      <alignment vertical="center"/>
    </xf>
    <xf numFmtId="0" fontId="20" fillId="6" borderId="24" xfId="0" applyFont="1" applyFill="1" applyBorder="1">
      <alignment vertical="center"/>
    </xf>
    <xf numFmtId="0" fontId="20" fillId="6" borderId="10" xfId="0" applyFont="1" applyFill="1" applyBorder="1">
      <alignment vertical="center"/>
    </xf>
    <xf numFmtId="0" fontId="20" fillId="6" borderId="1" xfId="0" quotePrefix="1" applyFont="1" applyFill="1" applyBorder="1">
      <alignment vertical="center"/>
    </xf>
    <xf numFmtId="40" fontId="14" fillId="3" borderId="5" xfId="5" applyNumberFormat="1" applyFont="1" applyFill="1" applyBorder="1" applyAlignment="1">
      <alignment vertical="center"/>
    </xf>
    <xf numFmtId="0" fontId="38" fillId="0" borderId="4" xfId="1" applyFont="1" applyBorder="1" applyAlignment="1">
      <alignment horizontal="center" vertical="center"/>
    </xf>
    <xf numFmtId="0" fontId="33" fillId="0" borderId="4" xfId="1" applyFont="1" applyBorder="1" applyAlignment="1">
      <alignment horizontal="center" vertical="center"/>
    </xf>
    <xf numFmtId="0" fontId="20" fillId="6" borderId="0" xfId="0" applyFont="1" applyFill="1">
      <alignment vertical="center"/>
    </xf>
    <xf numFmtId="0" fontId="20" fillId="6" borderId="11" xfId="0" applyFont="1" applyFill="1" applyBorder="1">
      <alignment vertical="center"/>
    </xf>
    <xf numFmtId="0" fontId="17" fillId="6" borderId="15" xfId="0" applyFont="1" applyFill="1" applyBorder="1">
      <alignment vertical="center"/>
    </xf>
    <xf numFmtId="0" fontId="18" fillId="0" borderId="20" xfId="0" applyFont="1" applyBorder="1">
      <alignment vertical="center"/>
    </xf>
    <xf numFmtId="0" fontId="19" fillId="6" borderId="9" xfId="0" applyFont="1" applyFill="1" applyBorder="1">
      <alignment vertical="center"/>
    </xf>
    <xf numFmtId="0" fontId="40" fillId="0" borderId="5" xfId="1" applyFont="1" applyBorder="1" applyAlignment="1">
      <alignment vertical="center"/>
    </xf>
    <xf numFmtId="0" fontId="24" fillId="6" borderId="1" xfId="0" applyFont="1" applyFill="1" applyBorder="1">
      <alignment vertical="center"/>
    </xf>
    <xf numFmtId="0" fontId="17" fillId="6" borderId="7" xfId="0" applyFont="1" applyFill="1" applyBorder="1">
      <alignment vertical="center"/>
    </xf>
    <xf numFmtId="0" fontId="52" fillId="6" borderId="13" xfId="0" applyFont="1" applyFill="1" applyBorder="1">
      <alignment vertical="center"/>
    </xf>
    <xf numFmtId="0" fontId="24" fillId="0" borderId="13" xfId="0" applyFont="1" applyBorder="1">
      <alignment vertical="center"/>
    </xf>
    <xf numFmtId="40" fontId="17" fillId="3" borderId="42" xfId="0" applyNumberFormat="1" applyFont="1" applyFill="1" applyBorder="1" applyAlignment="1">
      <alignment horizontal="right" vertical="center"/>
    </xf>
    <xf numFmtId="40" fontId="17" fillId="3" borderId="19" xfId="0" applyNumberFormat="1" applyFont="1" applyFill="1" applyBorder="1" applyAlignment="1">
      <alignment horizontal="right" vertical="center"/>
    </xf>
    <xf numFmtId="40" fontId="17" fillId="0" borderId="0" xfId="0" applyNumberFormat="1" applyFont="1">
      <alignment vertical="center"/>
    </xf>
    <xf numFmtId="176" fontId="20" fillId="0" borderId="43" xfId="0" applyNumberFormat="1" applyFont="1" applyBorder="1" applyAlignment="1">
      <alignment horizontal="right" vertical="center"/>
    </xf>
    <xf numFmtId="176" fontId="20" fillId="0" borderId="34" xfId="0" applyNumberFormat="1" applyFont="1" applyBorder="1" applyAlignment="1">
      <alignment horizontal="right" vertical="center"/>
    </xf>
    <xf numFmtId="176" fontId="17" fillId="0" borderId="17" xfId="0" applyNumberFormat="1" applyFont="1" applyBorder="1" applyAlignment="1">
      <alignment horizontal="right" vertical="center"/>
    </xf>
    <xf numFmtId="176" fontId="17" fillId="0" borderId="41" xfId="0" applyNumberFormat="1" applyFont="1" applyBorder="1" applyAlignment="1">
      <alignment horizontal="right" vertical="center"/>
    </xf>
    <xf numFmtId="176" fontId="17" fillId="2" borderId="41" xfId="0" applyNumberFormat="1" applyFont="1" applyFill="1" applyBorder="1" applyAlignment="1">
      <alignment horizontal="right" vertical="center"/>
    </xf>
    <xf numFmtId="182" fontId="0" fillId="5" borderId="2" xfId="5" applyNumberFormat="1" applyFont="1" applyFill="1" applyBorder="1">
      <alignment vertical="center"/>
    </xf>
    <xf numFmtId="0" fontId="8" fillId="0" borderId="1" xfId="0" applyFont="1" applyBorder="1">
      <alignment vertical="center"/>
    </xf>
    <xf numFmtId="0" fontId="41" fillId="0" borderId="4" xfId="1" applyFont="1" applyBorder="1" applyAlignment="1">
      <alignment vertical="center"/>
    </xf>
    <xf numFmtId="0" fontId="41" fillId="0" borderId="29" xfId="1" applyFont="1" applyBorder="1" applyAlignment="1">
      <alignment vertical="center"/>
    </xf>
    <xf numFmtId="176" fontId="17" fillId="3" borderId="7" xfId="5" applyNumberFormat="1" applyFont="1" applyFill="1" applyBorder="1">
      <alignment vertical="center"/>
    </xf>
    <xf numFmtId="176" fontId="17" fillId="3" borderId="1" xfId="5" applyNumberFormat="1" applyFont="1" applyFill="1" applyBorder="1">
      <alignment vertical="center"/>
    </xf>
    <xf numFmtId="0" fontId="34" fillId="0" borderId="1" xfId="0" applyFont="1" applyBorder="1">
      <alignment vertical="center"/>
    </xf>
    <xf numFmtId="0" fontId="18" fillId="0" borderId="7" xfId="0" applyFont="1" applyBorder="1">
      <alignment vertical="center"/>
    </xf>
    <xf numFmtId="38" fontId="14" fillId="0" borderId="5" xfId="5" applyFont="1" applyFill="1" applyBorder="1" applyAlignment="1">
      <alignment vertical="center"/>
    </xf>
    <xf numFmtId="40" fontId="14" fillId="0" borderId="5" xfId="5" applyNumberFormat="1" applyFont="1" applyFill="1" applyBorder="1" applyAlignment="1">
      <alignment vertical="center"/>
    </xf>
    <xf numFmtId="0" fontId="23" fillId="0" borderId="22" xfId="0" applyFont="1" applyBorder="1">
      <alignment vertical="center"/>
    </xf>
    <xf numFmtId="0" fontId="18" fillId="0" borderId="8" xfId="0" applyFont="1" applyBorder="1">
      <alignment vertical="center"/>
    </xf>
    <xf numFmtId="0" fontId="8" fillId="0" borderId="13" xfId="0" applyFont="1" applyBorder="1">
      <alignment vertical="center"/>
    </xf>
    <xf numFmtId="0" fontId="8" fillId="0" borderId="22" xfId="0" applyFont="1" applyBorder="1">
      <alignment vertical="center"/>
    </xf>
    <xf numFmtId="38" fontId="17" fillId="3" borderId="7" xfId="5" applyFont="1" applyFill="1" applyBorder="1">
      <alignment vertical="center"/>
    </xf>
    <xf numFmtId="38" fontId="20" fillId="6" borderId="20" xfId="5" applyFont="1" applyFill="1" applyBorder="1">
      <alignment vertical="center"/>
    </xf>
    <xf numFmtId="38" fontId="17" fillId="0" borderId="41" xfId="0" applyNumberFormat="1" applyFont="1" applyBorder="1" applyAlignment="1">
      <alignment horizontal="right" vertical="center"/>
    </xf>
    <xf numFmtId="38" fontId="17" fillId="2" borderId="41" xfId="0" applyNumberFormat="1" applyFont="1" applyFill="1" applyBorder="1" applyAlignment="1">
      <alignment horizontal="right" vertical="center"/>
    </xf>
    <xf numFmtId="38" fontId="17" fillId="0" borderId="42" xfId="0" applyNumberFormat="1" applyFont="1" applyBorder="1" applyAlignment="1">
      <alignment horizontal="right" vertical="center"/>
    </xf>
    <xf numFmtId="38" fontId="17" fillId="2" borderId="16" xfId="0" applyNumberFormat="1" applyFont="1" applyFill="1" applyBorder="1" applyAlignment="1">
      <alignment horizontal="right" vertical="center"/>
    </xf>
    <xf numFmtId="38" fontId="17" fillId="2" borderId="8" xfId="0" applyNumberFormat="1" applyFont="1" applyFill="1" applyBorder="1" applyAlignment="1">
      <alignment horizontal="right" vertical="center"/>
    </xf>
    <xf numFmtId="38" fontId="17" fillId="0" borderId="17" xfId="0" applyNumberFormat="1" applyFont="1" applyBorder="1" applyAlignment="1">
      <alignment horizontal="right" vertical="center"/>
    </xf>
    <xf numFmtId="38" fontId="17" fillId="0" borderId="19" xfId="0" applyNumberFormat="1" applyFont="1" applyBorder="1" applyAlignment="1">
      <alignment horizontal="right" vertical="center"/>
    </xf>
    <xf numFmtId="0" fontId="17" fillId="0" borderId="16" xfId="0" applyFont="1" applyBorder="1">
      <alignment vertical="center"/>
    </xf>
    <xf numFmtId="38" fontId="17" fillId="2" borderId="37" xfId="0" applyNumberFormat="1" applyFont="1" applyFill="1" applyBorder="1" applyAlignment="1">
      <alignment horizontal="right" vertical="center"/>
    </xf>
    <xf numFmtId="38" fontId="17" fillId="0" borderId="37" xfId="0" applyNumberFormat="1" applyFont="1" applyBorder="1" applyAlignment="1">
      <alignment horizontal="right" vertical="center"/>
    </xf>
    <xf numFmtId="0" fontId="35" fillId="0" borderId="54" xfId="1" applyFont="1" applyBorder="1" applyAlignment="1">
      <alignment horizontal="center" vertical="center"/>
    </xf>
    <xf numFmtId="0" fontId="12" fillId="0" borderId="54" xfId="1" applyFont="1" applyBorder="1" applyAlignment="1">
      <alignment horizontal="center" vertical="center"/>
    </xf>
    <xf numFmtId="0" fontId="41" fillId="0" borderId="54" xfId="1" applyFont="1" applyBorder="1" applyAlignment="1">
      <alignment vertical="center"/>
    </xf>
    <xf numFmtId="0" fontId="14" fillId="0" borderId="55" xfId="1" applyFont="1" applyBorder="1" applyAlignment="1">
      <alignment vertical="center"/>
    </xf>
    <xf numFmtId="38" fontId="14" fillId="0" borderId="51" xfId="5" applyFont="1" applyBorder="1" applyAlignment="1">
      <alignment vertical="center"/>
    </xf>
    <xf numFmtId="38" fontId="14" fillId="0" borderId="56" xfId="5" applyFont="1" applyBorder="1" applyAlignment="1">
      <alignment vertical="center"/>
    </xf>
    <xf numFmtId="0" fontId="14" fillId="0" borderId="54" xfId="1" applyFont="1" applyBorder="1" applyAlignment="1">
      <alignment vertical="center"/>
    </xf>
    <xf numFmtId="40" fontId="14" fillId="3" borderId="54" xfId="5" applyNumberFormat="1" applyFont="1" applyFill="1" applyBorder="1" applyAlignment="1">
      <alignment vertical="center"/>
    </xf>
    <xf numFmtId="0" fontId="12" fillId="0" borderId="54" xfId="1" applyFont="1" applyBorder="1" applyAlignment="1">
      <alignment vertical="center"/>
    </xf>
    <xf numFmtId="38" fontId="14" fillId="0" borderId="4" xfId="5" applyFont="1" applyFill="1" applyBorder="1" applyAlignment="1">
      <alignment vertical="center"/>
    </xf>
    <xf numFmtId="0" fontId="50" fillId="0" borderId="4" xfId="1" applyFont="1" applyBorder="1" applyAlignment="1">
      <alignment vertical="center" wrapText="1"/>
    </xf>
    <xf numFmtId="0" fontId="41" fillId="0" borderId="4" xfId="1" applyFont="1" applyBorder="1" applyAlignment="1">
      <alignment horizontal="center" vertical="center"/>
    </xf>
    <xf numFmtId="0" fontId="13" fillId="0" borderId="5" xfId="1" applyFont="1" applyBorder="1" applyAlignment="1">
      <alignment vertical="center"/>
    </xf>
    <xf numFmtId="176" fontId="14" fillId="0" borderId="50" xfId="5" applyNumberFormat="1" applyFont="1" applyBorder="1" applyAlignment="1">
      <alignment vertical="center"/>
    </xf>
    <xf numFmtId="0" fontId="15" fillId="0" borderId="0" xfId="1" applyFont="1"/>
    <xf numFmtId="0" fontId="39" fillId="0" borderId="24" xfId="1" applyFont="1" applyBorder="1"/>
    <xf numFmtId="0" fontId="11" fillId="0" borderId="24" xfId="1" applyFont="1" applyBorder="1"/>
    <xf numFmtId="0" fontId="3" fillId="0" borderId="24" xfId="1" applyBorder="1" applyAlignment="1">
      <alignment horizontal="left"/>
    </xf>
    <xf numFmtId="0" fontId="3" fillId="0" borderId="24" xfId="1" applyBorder="1"/>
    <xf numFmtId="0" fontId="0" fillId="11" borderId="57" xfId="0" applyFill="1" applyBorder="1">
      <alignment vertical="center"/>
    </xf>
    <xf numFmtId="38" fontId="0" fillId="11" borderId="57" xfId="0" applyNumberFormat="1" applyFill="1" applyBorder="1">
      <alignment vertical="center"/>
    </xf>
    <xf numFmtId="0" fontId="13" fillId="0" borderId="4" xfId="1" applyFont="1" applyBorder="1" applyAlignment="1">
      <alignment vertical="center"/>
    </xf>
    <xf numFmtId="0" fontId="55" fillId="0" borderId="8" xfId="1" applyFont="1" applyBorder="1" applyAlignment="1">
      <alignment vertical="center"/>
    </xf>
    <xf numFmtId="38" fontId="0" fillId="11" borderId="57" xfId="5" applyFont="1" applyFill="1" applyBorder="1">
      <alignment vertical="center"/>
    </xf>
    <xf numFmtId="176" fontId="3" fillId="0" borderId="5" xfId="5" applyNumberFormat="1" applyFont="1" applyFill="1" applyBorder="1" applyAlignment="1">
      <alignment vertical="center"/>
    </xf>
    <xf numFmtId="0" fontId="0" fillId="0" borderId="17" xfId="0" applyBorder="1">
      <alignment vertical="center"/>
    </xf>
    <xf numFmtId="49" fontId="0" fillId="0" borderId="16" xfId="0" applyNumberFormat="1" applyBorder="1" applyAlignment="1">
      <alignment horizontal="right" vertical="center"/>
    </xf>
    <xf numFmtId="38" fontId="0" fillId="0" borderId="0" xfId="0" applyNumberFormat="1">
      <alignment vertical="center"/>
    </xf>
    <xf numFmtId="49" fontId="0" fillId="0" borderId="0" xfId="0" applyNumberFormat="1" applyAlignment="1">
      <alignment horizontal="right" vertical="center"/>
    </xf>
    <xf numFmtId="38" fontId="0" fillId="0" borderId="0" xfId="5" applyFont="1" applyBorder="1">
      <alignment vertical="center"/>
    </xf>
    <xf numFmtId="0" fontId="58" fillId="0" borderId="0" xfId="0" applyFont="1">
      <alignment vertical="center"/>
    </xf>
    <xf numFmtId="0" fontId="0" fillId="0" borderId="18" xfId="0" applyBorder="1">
      <alignment vertical="center"/>
    </xf>
    <xf numFmtId="0" fontId="0" fillId="0" borderId="52" xfId="0" applyBorder="1">
      <alignment vertical="center"/>
    </xf>
    <xf numFmtId="49" fontId="0" fillId="0" borderId="52" xfId="0" applyNumberFormat="1" applyBorder="1" applyAlignment="1">
      <alignment horizontal="right" vertical="center"/>
    </xf>
    <xf numFmtId="0" fontId="58" fillId="0" borderId="52" xfId="0" applyFont="1" applyBorder="1">
      <alignment vertical="center"/>
    </xf>
    <xf numFmtId="0" fontId="0" fillId="0" borderId="19" xfId="0" applyBorder="1">
      <alignment vertical="center"/>
    </xf>
    <xf numFmtId="49" fontId="0" fillId="0" borderId="18" xfId="0" applyNumberFormat="1" applyBorder="1" applyAlignment="1">
      <alignment horizontal="right" vertical="center"/>
    </xf>
    <xf numFmtId="0" fontId="8" fillId="0" borderId="52" xfId="0" applyFont="1" applyBorder="1">
      <alignment vertical="center"/>
    </xf>
    <xf numFmtId="186" fontId="0" fillId="0" borderId="0" xfId="0" applyNumberFormat="1">
      <alignment vertical="center"/>
    </xf>
    <xf numFmtId="49" fontId="0" fillId="10" borderId="16" xfId="0" applyNumberFormat="1" applyFill="1" applyBorder="1" applyAlignment="1">
      <alignment horizontal="right" vertical="center"/>
    </xf>
    <xf numFmtId="0" fontId="8" fillId="10" borderId="0" xfId="0" applyFont="1" applyFill="1">
      <alignment vertical="center"/>
    </xf>
    <xf numFmtId="0" fontId="0" fillId="10" borderId="0" xfId="0" applyFill="1">
      <alignment vertical="center"/>
    </xf>
    <xf numFmtId="38" fontId="0" fillId="10" borderId="0" xfId="5" applyFont="1" applyFill="1" applyBorder="1">
      <alignment vertical="center"/>
    </xf>
    <xf numFmtId="176" fontId="0" fillId="0" borderId="0" xfId="5" applyNumberFormat="1" applyFont="1" applyBorder="1">
      <alignment vertical="center"/>
    </xf>
    <xf numFmtId="0" fontId="0" fillId="0" borderId="16" xfId="0" applyBorder="1">
      <alignment vertical="center"/>
    </xf>
    <xf numFmtId="176" fontId="0" fillId="6" borderId="0" xfId="5" applyNumberFormat="1" applyFont="1" applyFill="1" applyBorder="1">
      <alignment vertical="center"/>
    </xf>
    <xf numFmtId="0" fontId="56" fillId="0" borderId="0" xfId="0" applyFont="1">
      <alignment vertical="center"/>
    </xf>
    <xf numFmtId="0" fontId="8" fillId="9" borderId="0" xfId="0" applyFont="1" applyFill="1">
      <alignment vertical="center"/>
    </xf>
    <xf numFmtId="0" fontId="0" fillId="9" borderId="0" xfId="0" applyFill="1">
      <alignment vertical="center"/>
    </xf>
    <xf numFmtId="38" fontId="0" fillId="9" borderId="0" xfId="5" applyFont="1" applyFill="1" applyBorder="1">
      <alignment vertical="center"/>
    </xf>
    <xf numFmtId="0" fontId="0" fillId="6" borderId="0" xfId="0" applyFill="1">
      <alignment vertical="center"/>
    </xf>
    <xf numFmtId="0" fontId="18" fillId="0" borderId="52" xfId="0" applyFont="1" applyBorder="1">
      <alignment vertical="center"/>
    </xf>
    <xf numFmtId="0" fontId="60" fillId="0" borderId="0" xfId="0" applyFont="1">
      <alignment vertical="center"/>
    </xf>
    <xf numFmtId="0" fontId="65" fillId="0" borderId="0" xfId="0" applyFont="1">
      <alignment vertical="center"/>
    </xf>
    <xf numFmtId="0" fontId="66" fillId="4" borderId="8" xfId="0" applyFont="1" applyFill="1" applyBorder="1">
      <alignment vertical="center"/>
    </xf>
    <xf numFmtId="38" fontId="0" fillId="5" borderId="2" xfId="5" applyFont="1" applyFill="1" applyBorder="1">
      <alignment vertical="center"/>
    </xf>
    <xf numFmtId="38" fontId="0" fillId="5" borderId="4" xfId="5" applyFont="1" applyFill="1" applyBorder="1">
      <alignment vertical="center"/>
    </xf>
    <xf numFmtId="38" fontId="0" fillId="5" borderId="3" xfId="5" applyFont="1" applyFill="1" applyBorder="1">
      <alignment vertical="center"/>
    </xf>
    <xf numFmtId="38" fontId="20" fillId="0" borderId="43" xfId="0" applyNumberFormat="1" applyFont="1" applyBorder="1" applyAlignment="1">
      <alignment horizontal="right" vertical="center"/>
    </xf>
    <xf numFmtId="38" fontId="20" fillId="0" borderId="34" xfId="0" applyNumberFormat="1" applyFont="1" applyBorder="1" applyAlignment="1">
      <alignment horizontal="right" vertical="center"/>
    </xf>
    <xf numFmtId="0" fontId="0" fillId="0" borderId="0" xfId="0" applyAlignment="1">
      <alignment vertical="center" wrapText="1"/>
    </xf>
    <xf numFmtId="0" fontId="8" fillId="0" borderId="0" xfId="0" applyFont="1" applyAlignment="1">
      <alignment vertical="center" wrapText="1"/>
    </xf>
    <xf numFmtId="38" fontId="17" fillId="0" borderId="0" xfId="5" applyFont="1">
      <alignment vertical="center"/>
    </xf>
    <xf numFmtId="38" fontId="17" fillId="0" borderId="7" xfId="5" applyFont="1" applyBorder="1">
      <alignment vertical="center"/>
    </xf>
    <xf numFmtId="38" fontId="17" fillId="2" borderId="8" xfId="5" applyFont="1" applyFill="1" applyBorder="1">
      <alignment vertical="center"/>
    </xf>
    <xf numFmtId="38" fontId="17" fillId="0" borderId="8" xfId="5" applyFont="1" applyBorder="1">
      <alignment vertical="center"/>
    </xf>
    <xf numFmtId="38" fontId="20" fillId="2" borderId="1" xfId="5" applyFont="1" applyFill="1" applyBorder="1">
      <alignment vertical="center"/>
    </xf>
    <xf numFmtId="38" fontId="17" fillId="0" borderId="2" xfId="5" applyFont="1" applyBorder="1">
      <alignment vertical="center"/>
    </xf>
    <xf numFmtId="38" fontId="20" fillId="3" borderId="1" xfId="5" applyFont="1" applyFill="1" applyBorder="1">
      <alignment vertical="center"/>
    </xf>
    <xf numFmtId="183" fontId="14" fillId="0" borderId="25" xfId="5" applyNumberFormat="1" applyFont="1" applyBorder="1" applyAlignment="1">
      <alignment vertical="center"/>
    </xf>
    <xf numFmtId="0" fontId="68" fillId="4" borderId="1" xfId="0" applyFont="1" applyFill="1" applyBorder="1" applyAlignment="1">
      <alignment horizontal="center" vertical="center"/>
    </xf>
    <xf numFmtId="0" fontId="54" fillId="4" borderId="1" xfId="0" applyFont="1" applyFill="1" applyBorder="1" applyAlignment="1">
      <alignment horizontal="center" vertical="center"/>
    </xf>
    <xf numFmtId="0" fontId="23" fillId="0" borderId="1" xfId="0" applyFont="1" applyBorder="1" applyAlignment="1">
      <alignment horizontal="right" vertical="center"/>
    </xf>
    <xf numFmtId="0" fontId="0" fillId="0" borderId="14" xfId="0" applyBorder="1">
      <alignment vertical="center"/>
    </xf>
    <xf numFmtId="0" fontId="0" fillId="0" borderId="26" xfId="0" applyBorder="1">
      <alignment vertical="center"/>
    </xf>
    <xf numFmtId="0" fontId="8" fillId="0" borderId="12" xfId="0" applyFont="1" applyBorder="1">
      <alignment vertical="center"/>
    </xf>
    <xf numFmtId="0" fontId="0" fillId="0" borderId="27" xfId="0" applyBorder="1">
      <alignment vertical="center"/>
    </xf>
    <xf numFmtId="0" fontId="0" fillId="0" borderId="15" xfId="0" applyBorder="1">
      <alignment vertical="center"/>
    </xf>
    <xf numFmtId="0" fontId="0" fillId="0" borderId="24" xfId="0" applyBorder="1">
      <alignment vertical="center"/>
    </xf>
    <xf numFmtId="0" fontId="72" fillId="0" borderId="0" xfId="0" applyFont="1" applyAlignment="1">
      <alignment horizontal="center" vertical="center"/>
    </xf>
    <xf numFmtId="0" fontId="73" fillId="0" borderId="0" xfId="0" applyFont="1" applyAlignment="1">
      <alignment horizontal="center" vertical="center"/>
    </xf>
    <xf numFmtId="0" fontId="70" fillId="0" borderId="0" xfId="0" applyFont="1" applyAlignment="1">
      <alignment horizontal="center" vertical="center"/>
    </xf>
    <xf numFmtId="0" fontId="69" fillId="0" borderId="0" xfId="0" applyFont="1" applyAlignment="1">
      <alignment horizontal="center" vertical="center"/>
    </xf>
    <xf numFmtId="0" fontId="71" fillId="0" borderId="0" xfId="0" applyFont="1" applyAlignment="1">
      <alignment horizontal="center" vertical="center"/>
    </xf>
    <xf numFmtId="0" fontId="76" fillId="0" borderId="0" xfId="0" applyFont="1">
      <alignment vertical="center"/>
    </xf>
    <xf numFmtId="0" fontId="78" fillId="0" borderId="0" xfId="0" applyFont="1">
      <alignment vertical="center"/>
    </xf>
    <xf numFmtId="0" fontId="78" fillId="0" borderId="24" xfId="0" applyFont="1" applyBorder="1">
      <alignment vertical="center"/>
    </xf>
    <xf numFmtId="0" fontId="78" fillId="0" borderId="12" xfId="0" applyFont="1" applyBorder="1">
      <alignment vertical="center"/>
    </xf>
    <xf numFmtId="0" fontId="78" fillId="0" borderId="13" xfId="0" applyFont="1" applyBorder="1">
      <alignment vertical="center"/>
    </xf>
    <xf numFmtId="0" fontId="79" fillId="0" borderId="0" xfId="0" applyFont="1">
      <alignment vertical="center"/>
    </xf>
    <xf numFmtId="0" fontId="74" fillId="0" borderId="0" xfId="0" applyFont="1">
      <alignment vertical="center"/>
    </xf>
    <xf numFmtId="0" fontId="75" fillId="0" borderId="0" xfId="0" applyFont="1">
      <alignment vertical="center"/>
    </xf>
    <xf numFmtId="0" fontId="59" fillId="0" borderId="0" xfId="0" applyFont="1" applyAlignment="1">
      <alignment vertical="top"/>
    </xf>
    <xf numFmtId="0" fontId="76" fillId="0" borderId="24" xfId="0" applyFont="1" applyBorder="1">
      <alignment vertical="center"/>
    </xf>
    <xf numFmtId="0" fontId="74" fillId="9" borderId="12" xfId="0" applyFont="1" applyFill="1" applyBorder="1">
      <alignment vertical="center"/>
    </xf>
    <xf numFmtId="0" fontId="74" fillId="0" borderId="12" xfId="0" applyFont="1" applyBorder="1">
      <alignment vertical="center"/>
    </xf>
    <xf numFmtId="0" fontId="74" fillId="3" borderId="22" xfId="0" applyFont="1" applyFill="1" applyBorder="1">
      <alignment vertical="center"/>
    </xf>
    <xf numFmtId="0" fontId="74" fillId="3" borderId="14" xfId="0" applyFont="1" applyFill="1" applyBorder="1">
      <alignment vertical="center"/>
    </xf>
    <xf numFmtId="0" fontId="75" fillId="3" borderId="14" xfId="0" applyFont="1" applyFill="1" applyBorder="1">
      <alignment vertical="center"/>
    </xf>
    <xf numFmtId="0" fontId="0" fillId="3" borderId="14" xfId="0" applyFill="1" applyBorder="1">
      <alignment vertical="center"/>
    </xf>
    <xf numFmtId="0" fontId="0" fillId="3" borderId="26" xfId="0" applyFill="1" applyBorder="1">
      <alignment vertical="center"/>
    </xf>
    <xf numFmtId="0" fontId="74" fillId="3" borderId="0" xfId="0" applyFont="1" applyFill="1">
      <alignment vertical="center"/>
    </xf>
    <xf numFmtId="0" fontId="75" fillId="3" borderId="0" xfId="0" applyFont="1" applyFill="1">
      <alignment vertical="center"/>
    </xf>
    <xf numFmtId="0" fontId="0" fillId="3" borderId="0" xfId="0" applyFill="1">
      <alignment vertical="center"/>
    </xf>
    <xf numFmtId="0" fontId="0" fillId="3" borderId="27" xfId="0" applyFill="1" applyBorder="1">
      <alignment vertical="center"/>
    </xf>
    <xf numFmtId="38" fontId="17" fillId="0" borderId="1" xfId="5" applyFont="1" applyFill="1" applyBorder="1" applyAlignment="1">
      <alignment vertical="center" wrapText="1"/>
    </xf>
    <xf numFmtId="0" fontId="17" fillId="0" borderId="0" xfId="0" applyFont="1" applyAlignment="1">
      <alignment vertical="center" wrapText="1"/>
    </xf>
    <xf numFmtId="38" fontId="17" fillId="3" borderId="1" xfId="5" applyFont="1" applyFill="1" applyBorder="1" applyAlignment="1">
      <alignment vertical="center" wrapText="1"/>
    </xf>
    <xf numFmtId="176" fontId="17" fillId="0" borderId="1" xfId="5" applyNumberFormat="1" applyFont="1" applyFill="1" applyBorder="1" applyAlignment="1">
      <alignment vertical="center" wrapText="1"/>
    </xf>
    <xf numFmtId="176" fontId="20" fillId="6" borderId="1" xfId="5" applyNumberFormat="1" applyFont="1" applyFill="1" applyBorder="1" applyAlignment="1">
      <alignment vertical="center" wrapText="1"/>
    </xf>
    <xf numFmtId="38" fontId="17" fillId="2" borderId="20" xfId="5" applyFont="1" applyFill="1" applyBorder="1" applyAlignment="1">
      <alignment vertical="center" wrapText="1"/>
    </xf>
    <xf numFmtId="38" fontId="17" fillId="0" borderId="20" xfId="5" applyFont="1" applyFill="1" applyBorder="1" applyAlignment="1">
      <alignment vertical="center" wrapText="1"/>
    </xf>
    <xf numFmtId="178" fontId="17" fillId="2" borderId="20" xfId="5" applyNumberFormat="1" applyFont="1" applyFill="1" applyBorder="1" applyAlignment="1">
      <alignment vertical="center" wrapText="1"/>
    </xf>
    <xf numFmtId="183" fontId="17" fillId="0" borderId="20" xfId="5" applyNumberFormat="1" applyFont="1" applyFill="1" applyBorder="1" applyAlignment="1">
      <alignment vertical="center" wrapText="1"/>
    </xf>
    <xf numFmtId="177" fontId="17" fillId="2" borderId="20" xfId="5" applyNumberFormat="1" applyFont="1" applyFill="1" applyBorder="1" applyAlignment="1">
      <alignment vertical="center" wrapText="1"/>
    </xf>
    <xf numFmtId="176" fontId="20" fillId="6" borderId="20" xfId="5" applyNumberFormat="1" applyFont="1" applyFill="1" applyBorder="1" applyAlignment="1">
      <alignment vertical="center" wrapText="1"/>
    </xf>
    <xf numFmtId="38" fontId="17" fillId="2" borderId="1" xfId="5" applyFont="1" applyFill="1" applyBorder="1" applyAlignment="1">
      <alignment vertical="center" wrapText="1"/>
    </xf>
    <xf numFmtId="176" fontId="17" fillId="2" borderId="1" xfId="5" applyNumberFormat="1" applyFont="1" applyFill="1" applyBorder="1" applyAlignment="1">
      <alignment vertical="center" wrapText="1"/>
    </xf>
    <xf numFmtId="177" fontId="17" fillId="2" borderId="1" xfId="5" applyNumberFormat="1" applyFont="1" applyFill="1" applyBorder="1" applyAlignment="1">
      <alignment vertical="center" wrapText="1"/>
    </xf>
    <xf numFmtId="176" fontId="17" fillId="6" borderId="1" xfId="5" applyNumberFormat="1" applyFont="1" applyFill="1" applyBorder="1" applyAlignment="1">
      <alignment vertical="center" wrapText="1"/>
    </xf>
    <xf numFmtId="38" fontId="17" fillId="0" borderId="2" xfId="5" applyFont="1" applyFill="1" applyBorder="1" applyAlignment="1">
      <alignment vertical="center" wrapText="1"/>
    </xf>
    <xf numFmtId="38" fontId="17" fillId="2" borderId="2" xfId="5" applyFont="1" applyFill="1" applyBorder="1" applyAlignment="1">
      <alignment vertical="center" wrapText="1"/>
    </xf>
    <xf numFmtId="0" fontId="17" fillId="0" borderId="24" xfId="0" applyFont="1" applyBorder="1" applyAlignment="1">
      <alignment vertical="center" wrapText="1"/>
    </xf>
    <xf numFmtId="176" fontId="17" fillId="6" borderId="7" xfId="5" applyNumberFormat="1" applyFont="1" applyFill="1" applyBorder="1" applyAlignment="1">
      <alignment vertical="center" wrapText="1"/>
    </xf>
    <xf numFmtId="176" fontId="17" fillId="2" borderId="7" xfId="5" applyNumberFormat="1" applyFont="1" applyFill="1" applyBorder="1" applyAlignment="1">
      <alignment vertical="center" wrapText="1"/>
    </xf>
    <xf numFmtId="176" fontId="17" fillId="0" borderId="2" xfId="5" applyNumberFormat="1" applyFont="1" applyFill="1" applyBorder="1" applyAlignment="1">
      <alignment vertical="center" wrapText="1"/>
    </xf>
    <xf numFmtId="38" fontId="17" fillId="10" borderId="1" xfId="5" applyFont="1" applyFill="1" applyBorder="1" applyAlignment="1">
      <alignment vertical="center" wrapText="1"/>
    </xf>
    <xf numFmtId="176" fontId="17" fillId="10" borderId="1" xfId="5" applyNumberFormat="1" applyFont="1" applyFill="1" applyBorder="1" applyAlignment="1">
      <alignment vertical="center" wrapText="1"/>
    </xf>
    <xf numFmtId="184" fontId="20" fillId="6" borderId="1" xfId="5" applyNumberFormat="1" applyFont="1" applyFill="1" applyBorder="1" applyAlignment="1">
      <alignment vertical="center" wrapText="1"/>
    </xf>
    <xf numFmtId="185" fontId="20" fillId="6" borderId="1" xfId="5" applyNumberFormat="1" applyFont="1" applyFill="1" applyBorder="1" applyAlignment="1">
      <alignment vertical="center" wrapText="1"/>
    </xf>
    <xf numFmtId="0" fontId="18"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3" fillId="0" borderId="54" xfId="1" applyBorder="1" applyAlignment="1">
      <alignment horizontal="center" vertical="center"/>
    </xf>
    <xf numFmtId="176" fontId="0" fillId="6" borderId="0" xfId="5" applyNumberFormat="1" applyFont="1" applyFill="1" applyBorder="1" applyAlignment="1">
      <alignment vertical="center"/>
    </xf>
    <xf numFmtId="38" fontId="0" fillId="9" borderId="0" xfId="5" applyFont="1" applyFill="1" applyBorder="1" applyAlignment="1">
      <alignment vertical="center"/>
    </xf>
    <xf numFmtId="38" fontId="0" fillId="0" borderId="0" xfId="5" applyFont="1" applyBorder="1" applyAlignment="1">
      <alignment vertical="center"/>
    </xf>
    <xf numFmtId="0" fontId="23" fillId="0" borderId="0" xfId="0" applyFont="1">
      <alignment vertical="center"/>
    </xf>
    <xf numFmtId="38" fontId="0" fillId="11" borderId="57" xfId="5" applyFont="1" applyFill="1" applyBorder="1" applyAlignment="1">
      <alignment vertical="center"/>
    </xf>
    <xf numFmtId="0" fontId="63" fillId="0" borderId="0" xfId="0" applyFont="1">
      <alignment vertical="center"/>
    </xf>
    <xf numFmtId="0" fontId="63" fillId="0" borderId="52" xfId="0" applyFont="1" applyBorder="1">
      <alignment vertical="center"/>
    </xf>
    <xf numFmtId="38" fontId="0" fillId="10" borderId="0" xfId="5" applyFont="1" applyFill="1" applyBorder="1" applyAlignment="1">
      <alignment vertical="center"/>
    </xf>
    <xf numFmtId="176" fontId="0" fillId="0" borderId="0" xfId="5" applyNumberFormat="1" applyFont="1" applyBorder="1" applyAlignment="1">
      <alignment vertical="center"/>
    </xf>
    <xf numFmtId="38" fontId="0" fillId="0" borderId="1" xfId="5" applyFont="1" applyBorder="1">
      <alignment vertical="center"/>
    </xf>
    <xf numFmtId="0" fontId="8" fillId="0" borderId="16" xfId="0" applyFont="1" applyBorder="1" applyAlignment="1">
      <alignment horizontal="center" vertical="center"/>
    </xf>
    <xf numFmtId="0" fontId="8" fillId="0" borderId="0" xfId="0" applyFont="1" applyAlignment="1">
      <alignment horizontal="center" vertical="center"/>
    </xf>
    <xf numFmtId="40" fontId="0" fillId="11" borderId="57" xfId="5" applyNumberFormat="1" applyFont="1" applyFill="1" applyBorder="1">
      <alignment vertical="center"/>
    </xf>
    <xf numFmtId="40" fontId="0" fillId="11" borderId="57" xfId="5" applyNumberFormat="1" applyFont="1" applyFill="1" applyBorder="1" applyAlignment="1">
      <alignment vertical="center"/>
    </xf>
    <xf numFmtId="0" fontId="0" fillId="11" borderId="62" xfId="0" applyFill="1" applyBorder="1">
      <alignment vertical="center"/>
    </xf>
    <xf numFmtId="0" fontId="0" fillId="11" borderId="61" xfId="0" applyFill="1" applyBorder="1">
      <alignment vertical="center"/>
    </xf>
    <xf numFmtId="0" fontId="8" fillId="0" borderId="1" xfId="0" applyFont="1" applyBorder="1" applyAlignment="1">
      <alignment horizontal="left" vertical="center"/>
    </xf>
    <xf numFmtId="0" fontId="59" fillId="14" borderId="0" xfId="0" applyFont="1" applyFill="1" applyAlignment="1">
      <alignment horizontal="center" vertical="center"/>
    </xf>
    <xf numFmtId="0" fontId="0" fillId="0" borderId="1" xfId="0" applyBorder="1" applyAlignment="1">
      <alignment horizontal="left" vertical="center" wrapText="1"/>
    </xf>
    <xf numFmtId="0" fontId="8" fillId="0" borderId="2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27"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5" xfId="0" applyFont="1" applyBorder="1" applyAlignment="1">
      <alignment horizontal="center" vertical="center" wrapText="1"/>
    </xf>
    <xf numFmtId="0" fontId="59" fillId="14" borderId="22" xfId="0" applyFont="1" applyFill="1" applyBorder="1" applyAlignment="1">
      <alignment horizontal="center" vertical="center" wrapText="1"/>
    </xf>
    <xf numFmtId="0" fontId="59" fillId="14" borderId="12" xfId="0" applyFont="1" applyFill="1" applyBorder="1" applyAlignment="1">
      <alignment horizontal="center" vertical="center" wrapText="1"/>
    </xf>
    <xf numFmtId="0" fontId="59" fillId="14" borderId="13" xfId="0" applyFont="1" applyFill="1" applyBorder="1" applyAlignment="1">
      <alignment horizontal="center" vertical="center" wrapText="1"/>
    </xf>
    <xf numFmtId="0" fontId="59" fillId="14" borderId="22" xfId="0" applyFont="1" applyFill="1" applyBorder="1" applyAlignment="1">
      <alignment horizontal="center" vertical="center"/>
    </xf>
    <xf numFmtId="0" fontId="59" fillId="14" borderId="12" xfId="0" applyFont="1" applyFill="1" applyBorder="1" applyAlignment="1">
      <alignment horizontal="center" vertical="center"/>
    </xf>
    <xf numFmtId="0" fontId="59" fillId="14" borderId="13" xfId="0" applyFont="1" applyFill="1" applyBorder="1" applyAlignment="1">
      <alignment horizontal="center" vertical="center"/>
    </xf>
    <xf numFmtId="0" fontId="70" fillId="0" borderId="0" xfId="0" applyFont="1" applyAlignment="1">
      <alignment horizontal="center" vertical="center"/>
    </xf>
    <xf numFmtId="0" fontId="71" fillId="0" borderId="0" xfId="0" applyFont="1" applyAlignment="1">
      <alignment horizontal="center" vertical="center"/>
    </xf>
    <xf numFmtId="0" fontId="72" fillId="0" borderId="0" xfId="0" applyFont="1" applyAlignment="1">
      <alignment horizontal="center" vertical="center"/>
    </xf>
    <xf numFmtId="0" fontId="73" fillId="0" borderId="0" xfId="0" applyFont="1" applyAlignment="1">
      <alignment horizontal="center" vertical="center"/>
    </xf>
    <xf numFmtId="0" fontId="54" fillId="4" borderId="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44" xfId="0" applyFont="1" applyFill="1" applyBorder="1" applyAlignment="1">
      <alignment horizontal="center" vertical="center"/>
    </xf>
    <xf numFmtId="0" fontId="0" fillId="0" borderId="22"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36" fillId="8" borderId="1" xfId="1" applyFont="1" applyFill="1" applyBorder="1" applyAlignment="1">
      <alignment horizontal="left"/>
    </xf>
    <xf numFmtId="0" fontId="37" fillId="8" borderId="1" xfId="1" applyFont="1" applyFill="1" applyBorder="1" applyAlignment="1">
      <alignment horizontal="left"/>
    </xf>
    <xf numFmtId="0" fontId="35" fillId="9" borderId="1" xfId="1" applyFont="1" applyFill="1" applyBorder="1" applyAlignment="1">
      <alignment horizontal="left"/>
    </xf>
    <xf numFmtId="0" fontId="20" fillId="5" borderId="30" xfId="0" applyFont="1" applyFill="1" applyBorder="1" applyAlignment="1">
      <alignment horizontal="center" vertical="center"/>
    </xf>
    <xf numFmtId="0" fontId="20" fillId="5" borderId="32" xfId="0" applyFont="1" applyFill="1" applyBorder="1" applyAlignment="1">
      <alignment horizontal="center" vertical="center"/>
    </xf>
    <xf numFmtId="0" fontId="8" fillId="0" borderId="9" xfId="0" applyFont="1" applyBorder="1" applyAlignment="1">
      <alignment horizontal="left" vertical="center"/>
    </xf>
    <xf numFmtId="0" fontId="0" fillId="0" borderId="11" xfId="0" applyBorder="1" applyAlignment="1">
      <alignment horizontal="left" vertical="center"/>
    </xf>
    <xf numFmtId="0" fontId="0" fillId="0" borderId="10" xfId="0" applyBorder="1" applyAlignment="1">
      <alignment horizontal="left" vertical="center"/>
    </xf>
    <xf numFmtId="0" fontId="0" fillId="0" borderId="9" xfId="0" applyBorder="1" applyAlignment="1">
      <alignment horizontal="left" vertical="center"/>
    </xf>
    <xf numFmtId="0" fontId="17" fillId="0" borderId="9" xfId="0" applyFont="1" applyBorder="1" applyAlignment="1">
      <alignment horizontal="left" vertical="center"/>
    </xf>
    <xf numFmtId="0" fontId="17" fillId="0" borderId="11" xfId="0" applyFont="1" applyBorder="1" applyAlignment="1">
      <alignment horizontal="left" vertical="center"/>
    </xf>
    <xf numFmtId="0" fontId="17" fillId="0" borderId="10" xfId="0" applyFont="1" applyBorder="1" applyAlignment="1">
      <alignment horizontal="left" vertical="center"/>
    </xf>
    <xf numFmtId="0" fontId="24" fillId="6" borderId="13" xfId="0" applyFont="1" applyFill="1" applyBorder="1" applyAlignment="1">
      <alignment horizontal="left" vertical="center"/>
    </xf>
    <xf numFmtId="0" fontId="17" fillId="6" borderId="24" xfId="0" applyFont="1" applyFill="1" applyBorder="1" applyAlignment="1">
      <alignment horizontal="left" vertical="center"/>
    </xf>
    <xf numFmtId="0" fontId="17" fillId="6" borderId="15" xfId="0" applyFont="1" applyFill="1" applyBorder="1" applyAlignment="1">
      <alignment horizontal="left" vertical="center"/>
    </xf>
    <xf numFmtId="0" fontId="24" fillId="0" borderId="9" xfId="0" applyFont="1" applyBorder="1" applyAlignment="1">
      <alignment horizontal="left" vertical="center"/>
    </xf>
    <xf numFmtId="0" fontId="18" fillId="0" borderId="9" xfId="0" applyFont="1" applyBorder="1" applyAlignment="1">
      <alignment horizontal="left" vertical="center"/>
    </xf>
    <xf numFmtId="0" fontId="18" fillId="0" borderId="13" xfId="0" applyFont="1" applyBorder="1" applyAlignment="1">
      <alignment horizontal="left" vertical="center"/>
    </xf>
    <xf numFmtId="0" fontId="59" fillId="13" borderId="58" xfId="0" applyFont="1" applyFill="1" applyBorder="1" applyAlignment="1">
      <alignment horizontal="left" vertical="center"/>
    </xf>
    <xf numFmtId="0" fontId="59" fillId="13" borderId="59" xfId="0" applyFont="1" applyFill="1" applyBorder="1" applyAlignment="1">
      <alignment horizontal="left" vertical="center"/>
    </xf>
    <xf numFmtId="0" fontId="59" fillId="13" borderId="60" xfId="0" applyFont="1" applyFill="1" applyBorder="1" applyAlignment="1">
      <alignment horizontal="left" vertical="center"/>
    </xf>
    <xf numFmtId="0" fontId="8" fillId="0" borderId="16" xfId="0" applyFont="1" applyBorder="1" applyAlignment="1">
      <alignment horizontal="center" vertical="center" wrapText="1"/>
    </xf>
    <xf numFmtId="0" fontId="8" fillId="0" borderId="0" xfId="0" applyFont="1" applyAlignment="1">
      <alignment horizontal="center"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8" fillId="0" borderId="52" xfId="0" applyFont="1" applyBorder="1" applyAlignment="1">
      <alignment horizontal="center" vertical="center"/>
    </xf>
    <xf numFmtId="0" fontId="56" fillId="12" borderId="0" xfId="0" applyFont="1" applyFill="1" applyAlignment="1">
      <alignment horizontal="center" vertical="center"/>
    </xf>
    <xf numFmtId="0" fontId="56" fillId="10" borderId="16" xfId="0" applyFont="1" applyFill="1" applyBorder="1" applyAlignment="1">
      <alignment horizontal="center" vertical="center"/>
    </xf>
    <xf numFmtId="0" fontId="56" fillId="10" borderId="0" xfId="0" applyFont="1" applyFill="1" applyAlignment="1">
      <alignment horizontal="center" vertical="center"/>
    </xf>
    <xf numFmtId="0" fontId="23" fillId="0" borderId="1" xfId="0" applyFont="1" applyBorder="1" applyAlignment="1">
      <alignment vertical="center"/>
    </xf>
    <xf numFmtId="0" fontId="8" fillId="0" borderId="0" xfId="0" applyFont="1" applyAlignment="1">
      <alignment vertical="center"/>
    </xf>
    <xf numFmtId="0" fontId="23" fillId="0" borderId="0" xfId="0" applyFont="1" applyAlignment="1">
      <alignment vertical="center"/>
    </xf>
    <xf numFmtId="0" fontId="8" fillId="0" borderId="52" xfId="0" applyFont="1" applyBorder="1" applyAlignment="1">
      <alignment vertical="center"/>
    </xf>
  </cellXfs>
  <cellStyles count="8">
    <cellStyle name="ハイパーリンク 2" xfId="3" xr:uid="{0EF18E18-E949-46AA-A065-B1791A2FFBDC}"/>
    <cellStyle name="桁区切り" xfId="5" builtinId="6"/>
    <cellStyle name="桁区切り 2" xfId="4" xr:uid="{5154D050-E4DF-4F29-930E-72920E6DEEBB}"/>
    <cellStyle name="桁区切り 3" xfId="7" xr:uid="{6682AB85-F70A-4F0B-B570-4DCE2BC7779B}"/>
    <cellStyle name="標準" xfId="0" builtinId="0"/>
    <cellStyle name="標準 10" xfId="6" xr:uid="{BC3CBA36-1F56-428F-85F0-00F8BA571CEB}"/>
    <cellStyle name="標準 2" xfId="1" xr:uid="{00000000-0005-0000-0000-000001000000}"/>
    <cellStyle name="標準 3" xfId="2" xr:uid="{A79669CE-B13C-411F-AA18-74C7BBBE3A42}"/>
  </cellStyles>
  <dxfs count="0"/>
  <tableStyles count="0" defaultTableStyle="TableStyleMedium2" defaultPivotStyle="PivotStyleLight16"/>
  <colors>
    <mruColors>
      <color rgb="FFE5F8FF"/>
      <color rgb="FFFEF5B0"/>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theme/theme1.xml" Type="http://schemas.openxmlformats.org/officeDocument/2006/relationships/theme"/><Relationship Id="rId24" Target="styles.xml" Type="http://schemas.openxmlformats.org/officeDocument/2006/relationships/styles"/><Relationship Id="rId25" Target="sharedStrings.xml" Type="http://schemas.openxmlformats.org/officeDocument/2006/relationships/sharedStrings"/><Relationship Id="rId26" Target="calcChain.xml" Type="http://schemas.openxmlformats.org/officeDocument/2006/relationships/calcChain"/><Relationship Id="rId27" Target="../customXml/item1.xml" Type="http://schemas.openxmlformats.org/officeDocument/2006/relationships/customXml"/><Relationship Id="rId28" Target="../customXml/item2.xml" Type="http://schemas.openxmlformats.org/officeDocument/2006/relationships/customXml"/><Relationship Id="rId29"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_rels/chart1.xml.rels><?xml version="1.0" encoding="UTF-8" standalone="yes"?><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s>
</file>

<file path=xl/charts/_rels/chart2.xml.rels><?xml version="1.0" encoding="UTF-8" standalone="yes"?><Relationships xmlns="http://schemas.openxmlformats.org/package/2006/relationships"><Relationship Id="rId1" Target="style2.xml" Type="http://schemas.microsoft.com/office/2011/relationships/chartStyle"/><Relationship Id="rId2" Target="colors2.xml" Type="http://schemas.microsoft.com/office/2011/relationships/chartColorStyle"/></Relationships>
</file>

<file path=xl/charts/_rels/chart3.xml.rels><?xml version="1.0" encoding="UTF-8" standalone="yes"?><Relationships xmlns="http://schemas.openxmlformats.org/package/2006/relationships"><Relationship Id="rId1" Target="style3.xml" Type="http://schemas.microsoft.com/office/2011/relationships/chartStyle"/><Relationship Id="rId2" Target="colors3.xml" Type="http://schemas.microsoft.com/office/2011/relationships/chartColorStyle"/></Relationships>
</file>

<file path=xl/charts/_rels/chart4.xml.rels><?xml version="1.0" encoding="UTF-8" standalone="yes"?><Relationships xmlns="http://schemas.openxmlformats.org/package/2006/relationships"><Relationship Id="rId1" Target="style4.xml" Type="http://schemas.microsoft.com/office/2011/relationships/chartStyle"/><Relationship Id="rId2" Target="colors4.xml" Type="http://schemas.microsoft.com/office/2011/relationships/chartColorStyle"/></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ja-JP"/>
              <a:t>経済性（コスト）検証</a:t>
            </a:r>
          </a:p>
        </c:rich>
      </c:tx>
      <c:layout>
        <c:manualLayout>
          <c:xMode val="edge"/>
          <c:yMode val="edge"/>
          <c:x val="0.41916130845928856"/>
          <c:y val="0"/>
        </c:manualLayout>
      </c:layout>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8.3858395939109737E-2"/>
          <c:y val="0.12941984249405289"/>
          <c:w val="0.9027044387275841"/>
          <c:h val="0.67989120781527534"/>
        </c:manualLayout>
      </c:layout>
      <c:barChart>
        <c:barDir val="col"/>
        <c:grouping val="stacked"/>
        <c:varyColors val="0"/>
        <c:ser>
          <c:idx val="0"/>
          <c:order val="0"/>
          <c:tx>
            <c:strRef>
              <c:f>算定結果!$C$63</c:f>
              <c:strCache>
                <c:ptCount val="1"/>
                <c:pt idx="0">
                  <c:v>収集・運搬</c:v>
                </c:pt>
              </c:strCache>
            </c:strRef>
          </c:tx>
          <c:spPr>
            <a:solidFill>
              <a:schemeClr val="accent1"/>
            </a:solidFill>
            <a:ln>
              <a:noFill/>
            </a:ln>
            <a:effectLst/>
          </c:spPr>
          <c:invertIfNegative val="0"/>
          <c:cat>
            <c:strRef>
              <c:f>算定結果!$D$62:$U$62</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算定結果!$D$63:$U$63</c:f>
              <c:numCache>
                <c:formatCode>#,##0_ ;[Red]\-#,##0\ </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EF1B-47BA-8A52-39B866CC4040}"/>
            </c:ext>
          </c:extLst>
        </c:ser>
        <c:ser>
          <c:idx val="1"/>
          <c:order val="1"/>
          <c:tx>
            <c:strRef>
              <c:f>算定結果!$C$64</c:f>
              <c:strCache>
                <c:ptCount val="1"/>
                <c:pt idx="0">
                  <c:v>選別・ベール化</c:v>
                </c:pt>
              </c:strCache>
            </c:strRef>
          </c:tx>
          <c:spPr>
            <a:solidFill>
              <a:schemeClr val="accent2"/>
            </a:solidFill>
            <a:ln>
              <a:noFill/>
            </a:ln>
            <a:effectLst/>
          </c:spPr>
          <c:invertIfNegative val="0"/>
          <c:cat>
            <c:strRef>
              <c:f>算定結果!$D$62:$U$62</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算定結果!$D$64:$U$64</c:f>
              <c:numCache>
                <c:formatCode>#,##0_ ;[Red]\-#,##0\ </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EF1B-47BA-8A52-39B866CC4040}"/>
            </c:ext>
          </c:extLst>
        </c:ser>
        <c:ser>
          <c:idx val="2"/>
          <c:order val="2"/>
          <c:tx>
            <c:strRef>
              <c:f>算定結果!$C$65</c:f>
              <c:strCache>
                <c:ptCount val="1"/>
                <c:pt idx="0">
                  <c:v>輸送1</c:v>
                </c:pt>
              </c:strCache>
            </c:strRef>
          </c:tx>
          <c:spPr>
            <a:solidFill>
              <a:schemeClr val="accent3"/>
            </a:solidFill>
            <a:ln>
              <a:noFill/>
            </a:ln>
            <a:effectLst/>
          </c:spPr>
          <c:invertIfNegative val="0"/>
          <c:cat>
            <c:strRef>
              <c:f>算定結果!$D$62:$U$62</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算定結果!$D$65:$U$65</c:f>
              <c:numCache>
                <c:formatCode>#,##0_ ;[Red]\-#,##0\ </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2-EF1B-47BA-8A52-39B866CC4040}"/>
            </c:ext>
          </c:extLst>
        </c:ser>
        <c:ser>
          <c:idx val="3"/>
          <c:order val="3"/>
          <c:tx>
            <c:strRef>
              <c:f>算定結果!$C$66</c:f>
              <c:strCache>
                <c:ptCount val="1"/>
                <c:pt idx="0">
                  <c:v>再生処理</c:v>
                </c:pt>
              </c:strCache>
            </c:strRef>
          </c:tx>
          <c:spPr>
            <a:solidFill>
              <a:schemeClr val="accent4"/>
            </a:solidFill>
            <a:ln>
              <a:noFill/>
            </a:ln>
            <a:effectLst/>
          </c:spPr>
          <c:invertIfNegative val="0"/>
          <c:cat>
            <c:strRef>
              <c:f>算定結果!$D$62:$U$62</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算定結果!$D$66:$U$66</c:f>
              <c:numCache>
                <c:formatCode>#,##0_ ;[Red]\-#,##0\ </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3-EF1B-47BA-8A52-39B866CC4040}"/>
            </c:ext>
          </c:extLst>
        </c:ser>
        <c:ser>
          <c:idx val="4"/>
          <c:order val="4"/>
          <c:tx>
            <c:strRef>
              <c:f>算定結果!$C$67</c:f>
              <c:strCache>
                <c:ptCount val="1"/>
                <c:pt idx="0">
                  <c:v>輸送2</c:v>
                </c:pt>
              </c:strCache>
            </c:strRef>
          </c:tx>
          <c:spPr>
            <a:solidFill>
              <a:schemeClr val="accent5"/>
            </a:solidFill>
            <a:ln>
              <a:noFill/>
            </a:ln>
            <a:effectLst/>
          </c:spPr>
          <c:invertIfNegative val="0"/>
          <c:cat>
            <c:strRef>
              <c:f>算定結果!$D$62:$U$62</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算定結果!$D$67:$U$67</c:f>
              <c:numCache>
                <c:formatCode>#,##0_ ;[Red]\-#,##0\ </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4-EF1B-47BA-8A52-39B866CC4040}"/>
            </c:ext>
          </c:extLst>
        </c:ser>
        <c:ser>
          <c:idx val="5"/>
          <c:order val="5"/>
          <c:tx>
            <c:strRef>
              <c:f>算定結果!$C$68</c:f>
              <c:strCache>
                <c:ptCount val="1"/>
                <c:pt idx="0">
                  <c:v>焼却</c:v>
                </c:pt>
              </c:strCache>
            </c:strRef>
          </c:tx>
          <c:spPr>
            <a:solidFill>
              <a:schemeClr val="accent6"/>
            </a:solidFill>
            <a:ln>
              <a:noFill/>
            </a:ln>
            <a:effectLst/>
          </c:spPr>
          <c:invertIfNegative val="0"/>
          <c:cat>
            <c:strRef>
              <c:f>算定結果!$D$62:$U$62</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算定結果!$D$68:$U$68</c:f>
              <c:numCache>
                <c:formatCode>#,##0_ ;[Red]\-#,##0\ </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5-EF1B-47BA-8A52-39B866CC4040}"/>
            </c:ext>
          </c:extLst>
        </c:ser>
        <c:ser>
          <c:idx val="6"/>
          <c:order val="6"/>
          <c:tx>
            <c:strRef>
              <c:f>算定結果!$C$69</c:f>
              <c:strCache>
                <c:ptCount val="1"/>
                <c:pt idx="0">
                  <c:v>輸送3</c:v>
                </c:pt>
              </c:strCache>
            </c:strRef>
          </c:tx>
          <c:spPr>
            <a:solidFill>
              <a:schemeClr val="accent1">
                <a:lumMod val="75000"/>
              </a:schemeClr>
            </a:solidFill>
            <a:ln>
              <a:noFill/>
            </a:ln>
            <a:effectLst/>
          </c:spPr>
          <c:invertIfNegative val="0"/>
          <c:cat>
            <c:strRef>
              <c:f>算定結果!$D$62:$U$62</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算定結果!$D$69:$U$69</c:f>
              <c:numCache>
                <c:formatCode>#,##0_ ;[Red]\-#,##0\ </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xmlns:c15="http://schemas.microsoft.com/office/drawing/2012/chart">
            <c:ext xmlns:c16="http://schemas.microsoft.com/office/drawing/2014/chart" uri="{C3380CC4-5D6E-409C-BE32-E72D297353CC}">
              <c16:uniqueId val="{0000000A-EF1B-47BA-8A52-39B866CC4040}"/>
            </c:ext>
          </c:extLst>
        </c:ser>
        <c:ser>
          <c:idx val="7"/>
          <c:order val="7"/>
          <c:tx>
            <c:strRef>
              <c:f>算定結果!$C$70</c:f>
              <c:strCache>
                <c:ptCount val="1"/>
                <c:pt idx="0">
                  <c:v>埋立</c:v>
                </c:pt>
              </c:strCache>
            </c:strRef>
          </c:tx>
          <c:spPr>
            <a:solidFill>
              <a:schemeClr val="accent1">
                <a:lumMod val="50000"/>
              </a:schemeClr>
            </a:solidFill>
            <a:ln>
              <a:noFill/>
            </a:ln>
            <a:effectLst/>
          </c:spPr>
          <c:invertIfNegative val="0"/>
          <c:cat>
            <c:strRef>
              <c:f>算定結果!$D$62:$U$62</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算定結果!$D$70:$U$70</c:f>
              <c:numCache>
                <c:formatCode>#,##0_ ;[Red]\-#,##0\ </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6-EF1B-47BA-8A52-39B866CC4040}"/>
            </c:ext>
          </c:extLst>
        </c:ser>
        <c:dLbls>
          <c:showLegendKey val="0"/>
          <c:showVal val="0"/>
          <c:showCatName val="0"/>
          <c:showSerName val="0"/>
          <c:showPercent val="0"/>
          <c:showBubbleSize val="0"/>
        </c:dLbls>
        <c:gapWidth val="150"/>
        <c:overlap val="100"/>
        <c:axId val="2051910351"/>
        <c:axId val="2051912847"/>
        <c:extLst/>
      </c:barChart>
      <c:lineChart>
        <c:grouping val="standard"/>
        <c:varyColors val="0"/>
        <c:ser>
          <c:idx val="8"/>
          <c:order val="8"/>
          <c:tx>
            <c:strRef>
              <c:f>算定結果!$C$71</c:f>
              <c:strCache>
                <c:ptCount val="1"/>
                <c:pt idx="0">
                  <c:v>コスト合計</c:v>
                </c:pt>
              </c:strCache>
            </c:strRef>
          </c:tx>
          <c:spPr>
            <a:ln w="28575" cap="rnd">
              <a:noFill/>
              <a:round/>
            </a:ln>
            <a:effectLst/>
          </c:spPr>
          <c:marker>
            <c:symbol val="diamond"/>
            <c:size val="9"/>
            <c:spPr>
              <a:solidFill>
                <a:schemeClr val="tx1"/>
              </a:solidFill>
              <a:ln w="9525">
                <a:solidFill>
                  <a:schemeClr val="tx1"/>
                </a:solidFill>
              </a:ln>
              <a:effectLst/>
            </c:spPr>
          </c:marker>
          <c:dLbls>
            <c:dLbl>
              <c:idx val="11"/>
              <c:layout>
                <c:manualLayout>
                  <c:x val="-3.3501725591994685E-2"/>
                  <c:y val="-4.24365995658180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6B-432D-8B6D-89CAA944C900}"/>
                </c:ext>
              </c:extLst>
            </c:dLbl>
            <c:dLbl>
              <c:idx val="14"/>
              <c:layout>
                <c:manualLayout>
                  <c:x val="-3.3501725591994685E-2"/>
                  <c:y val="-4.87026346950858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D6B-432D-8B6D-89CAA944C900}"/>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ysClr val="windowText" lastClr="000000"/>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算定結果!$D$62:$U$62</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算定結果!$D$71:$U$71</c:f>
              <c:numCache>
                <c:formatCode>#,##0_ ;[Red]\-#,##0\ </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mooth val="0"/>
          <c:extLst>
            <c:ext xmlns:c16="http://schemas.microsoft.com/office/drawing/2014/chart" uri="{C3380CC4-5D6E-409C-BE32-E72D297353CC}">
              <c16:uniqueId val="{00000009-EF1B-47BA-8A52-39B866CC4040}"/>
            </c:ext>
          </c:extLst>
        </c:ser>
        <c:dLbls>
          <c:showLegendKey val="0"/>
          <c:showVal val="0"/>
          <c:showCatName val="0"/>
          <c:showSerName val="0"/>
          <c:showPercent val="0"/>
          <c:showBubbleSize val="0"/>
        </c:dLbls>
        <c:marker val="1"/>
        <c:smooth val="0"/>
        <c:axId val="2051910351"/>
        <c:axId val="2051912847"/>
      </c:lineChart>
      <c:catAx>
        <c:axId val="2051910351"/>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crossAx val="2051912847"/>
        <c:crosses val="autoZero"/>
        <c:auto val="1"/>
        <c:lblAlgn val="ctr"/>
        <c:lblOffset val="100"/>
        <c:noMultiLvlLbl val="0"/>
      </c:catAx>
      <c:valAx>
        <c:axId val="2051912847"/>
        <c:scaling>
          <c:orientation val="minMax"/>
        </c:scaling>
        <c:delete val="0"/>
        <c:axPos val="l"/>
        <c:majorGridlines>
          <c:spPr>
            <a:ln w="9525" cap="flat" cmpd="sng" algn="ctr">
              <a:solidFill>
                <a:schemeClr val="tx1">
                  <a:lumMod val="15000"/>
                  <a:lumOff val="85000"/>
                </a:schemeClr>
              </a:solidFill>
              <a:round/>
            </a:ln>
            <a:effectLst/>
          </c:spPr>
        </c:majorGridlines>
        <c:numFmt formatCode="#,##0_ ;[Red]\-#,##0\ "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crossAx val="20519103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r>
              <a:rPr lang="ja-JP"/>
              <a:t>環境影響（</a:t>
            </a:r>
            <a:r>
              <a:rPr lang="en-US"/>
              <a:t>CO2</a:t>
            </a:r>
            <a:r>
              <a:rPr lang="ja-JP"/>
              <a:t>排出量）検証</a:t>
            </a:r>
          </a:p>
        </c:rich>
      </c:tx>
      <c:layout>
        <c:manualLayout>
          <c:xMode val="edge"/>
          <c:yMode val="edge"/>
          <c:x val="0.38827024927615272"/>
          <c:y val="0"/>
        </c:manualLayout>
      </c:layout>
      <c:overlay val="0"/>
      <c:spPr>
        <a:noFill/>
        <a:ln>
          <a:noFill/>
        </a:ln>
        <a:effectLst/>
      </c:spPr>
      <c:txPr>
        <a:bodyPr rot="0" spcFirstLastPara="1" vertOverflow="ellipsis" vert="horz" wrap="square" anchor="ctr" anchorCtr="1"/>
        <a:lstStyle/>
        <a:p>
          <a:pPr>
            <a:defRPr sz="1680" b="0" i="0" u="none" strike="noStrike" kern="1200" spc="0" baseline="0">
              <a:solidFill>
                <a:sysClr val="windowText" lastClr="000000"/>
              </a:solidFill>
              <a:latin typeface="+mn-lt"/>
              <a:ea typeface="+mn-ea"/>
              <a:cs typeface="+mn-cs"/>
            </a:defRPr>
          </a:pPr>
          <a:endParaRPr lang="ja-JP"/>
        </a:p>
      </c:txPr>
    </c:title>
    <c:autoTitleDeleted val="0"/>
    <c:plotArea>
      <c:layout/>
      <c:barChart>
        <c:barDir val="col"/>
        <c:grouping val="stacked"/>
        <c:varyColors val="0"/>
        <c:ser>
          <c:idx val="0"/>
          <c:order val="0"/>
          <c:tx>
            <c:strRef>
              <c:f>算定結果!$C$22</c:f>
              <c:strCache>
                <c:ptCount val="1"/>
                <c:pt idx="0">
                  <c:v>収集・運搬</c:v>
                </c:pt>
              </c:strCache>
            </c:strRef>
          </c:tx>
          <c:spPr>
            <a:solidFill>
              <a:schemeClr val="accent1"/>
            </a:solidFill>
            <a:ln>
              <a:noFill/>
            </a:ln>
            <a:effectLst/>
          </c:spPr>
          <c:invertIfNegative val="0"/>
          <c:cat>
            <c:strRef>
              <c:f>算定結果!$D$21:$U$21</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算定結果!$D$22:$U$22</c:f>
              <c:numCache>
                <c:formatCode>#,##0.0_ ;[Red]\-#,##0.0\ </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EA7B-4C11-A219-7A6BDDC11E70}"/>
            </c:ext>
          </c:extLst>
        </c:ser>
        <c:ser>
          <c:idx val="1"/>
          <c:order val="1"/>
          <c:tx>
            <c:strRef>
              <c:f>算定結果!$C$23</c:f>
              <c:strCache>
                <c:ptCount val="1"/>
                <c:pt idx="0">
                  <c:v>選別・ベール化</c:v>
                </c:pt>
              </c:strCache>
            </c:strRef>
          </c:tx>
          <c:spPr>
            <a:solidFill>
              <a:schemeClr val="accent2"/>
            </a:solidFill>
            <a:ln>
              <a:noFill/>
            </a:ln>
            <a:effectLst/>
          </c:spPr>
          <c:invertIfNegative val="0"/>
          <c:cat>
            <c:strRef>
              <c:f>算定結果!$D$21:$U$21</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算定結果!$D$23:$U$23</c:f>
              <c:numCache>
                <c:formatCode>#,##0.0_ ;[Red]\-#,##0.0\ </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EA7B-4C11-A219-7A6BDDC11E70}"/>
            </c:ext>
          </c:extLst>
        </c:ser>
        <c:ser>
          <c:idx val="2"/>
          <c:order val="2"/>
          <c:tx>
            <c:strRef>
              <c:f>算定結果!$C$24</c:f>
              <c:strCache>
                <c:ptCount val="1"/>
                <c:pt idx="0">
                  <c:v>輸送1</c:v>
                </c:pt>
              </c:strCache>
            </c:strRef>
          </c:tx>
          <c:spPr>
            <a:solidFill>
              <a:schemeClr val="accent3"/>
            </a:solidFill>
            <a:ln>
              <a:noFill/>
            </a:ln>
            <a:effectLst/>
          </c:spPr>
          <c:invertIfNegative val="0"/>
          <c:cat>
            <c:strRef>
              <c:f>算定結果!$D$21:$U$21</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算定結果!$D$24:$U$24</c:f>
              <c:numCache>
                <c:formatCode>#,##0.0_ ;[Red]\-#,##0.0\ </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2-EA7B-4C11-A219-7A6BDDC11E70}"/>
            </c:ext>
          </c:extLst>
        </c:ser>
        <c:ser>
          <c:idx val="3"/>
          <c:order val="3"/>
          <c:tx>
            <c:strRef>
              <c:f>算定結果!$C$25</c:f>
              <c:strCache>
                <c:ptCount val="1"/>
                <c:pt idx="0">
                  <c:v>再生処理</c:v>
                </c:pt>
              </c:strCache>
            </c:strRef>
          </c:tx>
          <c:spPr>
            <a:solidFill>
              <a:schemeClr val="accent4"/>
            </a:solidFill>
            <a:ln>
              <a:noFill/>
            </a:ln>
            <a:effectLst/>
          </c:spPr>
          <c:invertIfNegative val="0"/>
          <c:cat>
            <c:strRef>
              <c:f>算定結果!$D$21:$U$21</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算定結果!$D$25:$U$25</c:f>
              <c:numCache>
                <c:formatCode>#,##0.0_ ;[Red]\-#,##0.0\ </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3-EA7B-4C11-A219-7A6BDDC11E70}"/>
            </c:ext>
          </c:extLst>
        </c:ser>
        <c:ser>
          <c:idx val="7"/>
          <c:order val="4"/>
          <c:tx>
            <c:strRef>
              <c:f>算定結果!$C$26</c:f>
              <c:strCache>
                <c:ptCount val="1"/>
                <c:pt idx="0">
                  <c:v>新規製造</c:v>
                </c:pt>
              </c:strCache>
            </c:strRef>
          </c:tx>
          <c:spPr>
            <a:solidFill>
              <a:schemeClr val="accent1">
                <a:lumMod val="75000"/>
              </a:schemeClr>
            </a:solidFill>
            <a:ln>
              <a:noFill/>
            </a:ln>
            <a:effectLst/>
          </c:spPr>
          <c:invertIfNegative val="0"/>
          <c:cat>
            <c:strRef>
              <c:f>算定結果!$D$21:$U$21</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算定結果!$D$26:$U$26</c:f>
              <c:numCache>
                <c:formatCode>#,##0.0_ ;[Red]\-#,##0.0\ </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4-EA7B-4C11-A219-7A6BDDC11E70}"/>
            </c:ext>
          </c:extLst>
        </c:ser>
        <c:ser>
          <c:idx val="4"/>
          <c:order val="5"/>
          <c:tx>
            <c:strRef>
              <c:f>算定結果!$C$27</c:f>
              <c:strCache>
                <c:ptCount val="1"/>
                <c:pt idx="0">
                  <c:v>輸送2</c:v>
                </c:pt>
              </c:strCache>
            </c:strRef>
          </c:tx>
          <c:spPr>
            <a:solidFill>
              <a:schemeClr val="accent5"/>
            </a:solidFill>
            <a:ln>
              <a:noFill/>
            </a:ln>
            <a:effectLst/>
          </c:spPr>
          <c:invertIfNegative val="0"/>
          <c:cat>
            <c:strRef>
              <c:f>算定結果!$D$21:$U$21</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算定結果!$D$27:$U$27</c:f>
              <c:numCache>
                <c:formatCode>#,##0.0_ ;[Red]\-#,##0.0\ </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5-EA7B-4C11-A219-7A6BDDC11E70}"/>
            </c:ext>
          </c:extLst>
        </c:ser>
        <c:ser>
          <c:idx val="5"/>
          <c:order val="6"/>
          <c:tx>
            <c:strRef>
              <c:f>算定結果!$C$28</c:f>
              <c:strCache>
                <c:ptCount val="1"/>
                <c:pt idx="0">
                  <c:v>焼却</c:v>
                </c:pt>
              </c:strCache>
            </c:strRef>
          </c:tx>
          <c:spPr>
            <a:solidFill>
              <a:schemeClr val="accent6"/>
            </a:solidFill>
            <a:ln>
              <a:noFill/>
            </a:ln>
            <a:effectLst/>
          </c:spPr>
          <c:invertIfNegative val="0"/>
          <c:cat>
            <c:strRef>
              <c:f>算定結果!$D$21:$U$21</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算定結果!$D$28:$U$28</c:f>
              <c:numCache>
                <c:formatCode>#,##0.0_ ;[Red]\-#,##0.0\ </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6-EA7B-4C11-A219-7A6BDDC11E70}"/>
            </c:ext>
          </c:extLst>
        </c:ser>
        <c:ser>
          <c:idx val="6"/>
          <c:order val="7"/>
          <c:tx>
            <c:strRef>
              <c:f>算定結果!$C$29</c:f>
              <c:strCache>
                <c:ptCount val="1"/>
                <c:pt idx="0">
                  <c:v>輸送3</c:v>
                </c:pt>
              </c:strCache>
            </c:strRef>
          </c:tx>
          <c:spPr>
            <a:solidFill>
              <a:schemeClr val="accent1">
                <a:lumMod val="75000"/>
              </a:schemeClr>
            </a:solidFill>
            <a:ln>
              <a:noFill/>
            </a:ln>
            <a:effectLst/>
          </c:spPr>
          <c:invertIfNegative val="0"/>
          <c:cat>
            <c:strRef>
              <c:f>算定結果!$D$21:$U$21</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算定結果!$D$29:$U$29</c:f>
              <c:numCache>
                <c:formatCode>#,##0.0_ ;[Red]\-#,##0.0\ </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7-EA7B-4C11-A219-7A6BDDC11E70}"/>
            </c:ext>
          </c:extLst>
        </c:ser>
        <c:ser>
          <c:idx val="8"/>
          <c:order val="8"/>
          <c:tx>
            <c:strRef>
              <c:f>算定結果!$C$30</c:f>
              <c:strCache>
                <c:ptCount val="1"/>
                <c:pt idx="0">
                  <c:v>埋立</c:v>
                </c:pt>
              </c:strCache>
            </c:strRef>
          </c:tx>
          <c:spPr>
            <a:solidFill>
              <a:schemeClr val="accent1">
                <a:lumMod val="50000"/>
              </a:schemeClr>
            </a:solidFill>
            <a:ln>
              <a:noFill/>
            </a:ln>
            <a:effectLst/>
          </c:spPr>
          <c:invertIfNegative val="0"/>
          <c:cat>
            <c:strRef>
              <c:f>算定結果!$D$21:$U$21</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算定結果!$D$30:$U$30</c:f>
              <c:numCache>
                <c:formatCode>#,##0_ ;[Red]\-#,##0\ </c:formatCode>
                <c:ptCount val="18"/>
              </c:numCache>
            </c:numRef>
          </c:val>
          <c:extLst xmlns:c15="http://schemas.microsoft.com/office/drawing/2012/chart">
            <c:ext xmlns:c16="http://schemas.microsoft.com/office/drawing/2014/chart" uri="{C3380CC4-5D6E-409C-BE32-E72D297353CC}">
              <c16:uniqueId val="{0000000D-EA7B-4C11-A219-7A6BDDC11E70}"/>
            </c:ext>
          </c:extLst>
        </c:ser>
        <c:dLbls>
          <c:showLegendKey val="0"/>
          <c:showVal val="0"/>
          <c:showCatName val="0"/>
          <c:showSerName val="0"/>
          <c:showPercent val="0"/>
          <c:showBubbleSize val="0"/>
        </c:dLbls>
        <c:gapWidth val="150"/>
        <c:overlap val="100"/>
        <c:axId val="78592944"/>
        <c:axId val="78595856"/>
        <c:extLst/>
      </c:barChart>
      <c:lineChart>
        <c:grouping val="standard"/>
        <c:varyColors val="0"/>
        <c:ser>
          <c:idx val="9"/>
          <c:order val="9"/>
          <c:tx>
            <c:strRef>
              <c:f>算定結果!$C$31</c:f>
              <c:strCache>
                <c:ptCount val="1"/>
                <c:pt idx="0">
                  <c:v>CO2排出量合計</c:v>
                </c:pt>
              </c:strCache>
            </c:strRef>
          </c:tx>
          <c:spPr>
            <a:ln w="28575" cap="rnd">
              <a:noFill/>
              <a:round/>
            </a:ln>
            <a:effectLst/>
          </c:spPr>
          <c:marker>
            <c:symbol val="diamond"/>
            <c:size val="7"/>
            <c:spPr>
              <a:solidFill>
                <a:schemeClr val="accent4">
                  <a:lumMod val="60000"/>
                </a:schemeClr>
              </a:solidFill>
              <a:ln w="9525">
                <a:solidFill>
                  <a:schemeClr val="accent4">
                    <a:lumMod val="60000"/>
                  </a:schemeClr>
                </a:solidFill>
              </a:ln>
              <a:effectLst/>
            </c:spPr>
          </c:marker>
          <c:dLbls>
            <c:dLbl>
              <c:idx val="10"/>
              <c:layout>
                <c:manualLayout>
                  <c:x val="-2.5452949883477027E-2"/>
                  <c:y val="-9.571471010301789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244-4BB8-9FF2-0C249CB0D51F}"/>
                </c:ext>
              </c:extLst>
            </c:dLbl>
            <c:dLbl>
              <c:idx val="11"/>
              <c:layout>
                <c:manualLayout>
                  <c:x val="-2.5452949883477027E-2"/>
                  <c:y val="-8.94475741742678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A7B-4C11-A219-7A6BDDC11E70}"/>
                </c:ext>
              </c:extLst>
            </c:dLbl>
            <c:dLbl>
              <c:idx val="13"/>
              <c:layout>
                <c:manualLayout>
                  <c:x val="-5.974658381682757E-2"/>
                  <c:y val="-3.6176918779892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244-4BB8-9FF2-0C249CB0D51F}"/>
                </c:ext>
              </c:extLst>
            </c:dLbl>
            <c:dLbl>
              <c:idx val="14"/>
              <c:layout>
                <c:manualLayout>
                  <c:x val="-7.1062978630963461E-2"/>
                  <c:y val="-3.93104867442672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244-4BB8-9FF2-0C249CB0D51F}"/>
                </c:ext>
              </c:extLst>
            </c:dLbl>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算定結果!$D$21:$U$21</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算定結果!$D$31:$U$31</c:f>
              <c:numCache>
                <c:formatCode>#,##0_ ;[Red]\-#,##0\ </c:formatCode>
                <c:ptCount val="18"/>
                <c:pt idx="0" formatCode="#,##0_);[Red]\(#,##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smooth val="0"/>
          <c:extLst>
            <c:ext xmlns:c16="http://schemas.microsoft.com/office/drawing/2014/chart" uri="{C3380CC4-5D6E-409C-BE32-E72D297353CC}">
              <c16:uniqueId val="{0000000C-EA7B-4C11-A219-7A6BDDC11E70}"/>
            </c:ext>
          </c:extLst>
        </c:ser>
        <c:dLbls>
          <c:showLegendKey val="0"/>
          <c:showVal val="0"/>
          <c:showCatName val="0"/>
          <c:showSerName val="0"/>
          <c:showPercent val="0"/>
          <c:showBubbleSize val="0"/>
        </c:dLbls>
        <c:marker val="1"/>
        <c:smooth val="0"/>
        <c:axId val="78592944"/>
        <c:axId val="78595856"/>
      </c:lineChart>
      <c:catAx>
        <c:axId val="78592944"/>
        <c:scaling>
          <c:orientation val="minMax"/>
        </c:scaling>
        <c:delete val="0"/>
        <c:axPos val="b"/>
        <c:numFmt formatCode="General" sourceLinked="1"/>
        <c:majorTickMark val="in"/>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crossAx val="78595856"/>
        <c:crosses val="autoZero"/>
        <c:auto val="1"/>
        <c:lblAlgn val="ctr"/>
        <c:lblOffset val="100"/>
        <c:noMultiLvlLbl val="0"/>
      </c:catAx>
      <c:valAx>
        <c:axId val="78595856"/>
        <c:scaling>
          <c:orientation val="minMax"/>
        </c:scaling>
        <c:delete val="0"/>
        <c:axPos val="l"/>
        <c:majorGridlines>
          <c:spPr>
            <a:ln w="9525" cap="flat" cmpd="sng" algn="ctr">
              <a:solidFill>
                <a:schemeClr val="tx1">
                  <a:lumMod val="15000"/>
                  <a:lumOff val="85000"/>
                </a:schemeClr>
              </a:solidFill>
              <a:round/>
            </a:ln>
            <a:effectLst/>
          </c:spPr>
        </c:majorGridlines>
        <c:numFmt formatCode="#,##0_ ;[Red]\-#,##0\ "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crossAx val="78592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400">
          <a:solidFill>
            <a:sysClr val="windowText" lastClr="000000"/>
          </a:solidFill>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altLang="ja-JP" sz="1680" b="0" i="0" u="none" strike="noStrike" kern="1200" spc="0" baseline="0">
                <a:solidFill>
                  <a:sysClr val="windowText" lastClr="000000"/>
                </a:solidFill>
                <a:latin typeface="+mn-lt"/>
                <a:ea typeface="+mn-ea"/>
                <a:cs typeface="+mn-cs"/>
              </a:defRPr>
            </a:pPr>
            <a:r>
              <a:rPr lang="ja-JP"/>
              <a:t>環境影響（</a:t>
            </a:r>
            <a:r>
              <a:rPr lang="en-US"/>
              <a:t>CO2</a:t>
            </a:r>
            <a:r>
              <a:rPr lang="ja-JP"/>
              <a:t>排出量）検証</a:t>
            </a:r>
          </a:p>
        </c:rich>
      </c:tx>
      <c:layout>
        <c:manualLayout>
          <c:xMode val="edge"/>
          <c:yMode val="edge"/>
          <c:x val="0.38896262249034441"/>
          <c:y val="0"/>
        </c:manualLayout>
      </c:layout>
      <c:overlay val="0"/>
      <c:spPr>
        <a:noFill/>
        <a:ln>
          <a:noFill/>
        </a:ln>
        <a:effectLst/>
      </c:spPr>
      <c:txPr>
        <a:bodyPr rot="0" spcFirstLastPara="1" vertOverflow="ellipsis" vert="horz" wrap="square" anchor="ctr" anchorCtr="1"/>
        <a:lstStyle/>
        <a:p>
          <a:pPr>
            <a:defRPr lang="en-US" altLang="ja-JP" sz="1680" b="0" i="0" u="none" strike="noStrike" kern="1200" spc="0" baseline="0">
              <a:solidFill>
                <a:sysClr val="windowText" lastClr="000000"/>
              </a:solidFill>
              <a:latin typeface="+mn-lt"/>
              <a:ea typeface="+mn-ea"/>
              <a:cs typeface="+mn-cs"/>
            </a:defRPr>
          </a:pPr>
          <a:endParaRPr lang="ja-JP"/>
        </a:p>
      </c:txPr>
    </c:title>
    <c:autoTitleDeleted val="0"/>
    <c:plotArea>
      <c:layout/>
      <c:barChart>
        <c:barDir val="col"/>
        <c:grouping val="stacked"/>
        <c:varyColors val="0"/>
        <c:ser>
          <c:idx val="0"/>
          <c:order val="0"/>
          <c:tx>
            <c:strRef>
              <c:f>算定結果!$AB$22</c:f>
              <c:strCache>
                <c:ptCount val="1"/>
                <c:pt idx="0">
                  <c:v>収集・運搬</c:v>
                </c:pt>
              </c:strCache>
            </c:strRef>
          </c:tx>
          <c:spPr>
            <a:solidFill>
              <a:schemeClr val="accent1"/>
            </a:solidFill>
            <a:ln>
              <a:noFill/>
            </a:ln>
            <a:effectLst/>
          </c:spPr>
          <c:invertIfNegative val="0"/>
          <c:cat>
            <c:strRef>
              <c:f>算定結果!$AC$21:$AT$21</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算定結果!$AC$22:$AT$22</c:f>
              <c:numCache>
                <c:formatCode>#,##0.00_ ;[Red]\-#,##0.00\ </c:formatCode>
                <c:ptCount val="18"/>
              </c:numCache>
            </c:numRef>
          </c:val>
          <c:extLst>
            <c:ext xmlns:c16="http://schemas.microsoft.com/office/drawing/2014/chart" uri="{C3380CC4-5D6E-409C-BE32-E72D297353CC}">
              <c16:uniqueId val="{00000000-53AA-4189-9645-C3FB42C78E47}"/>
            </c:ext>
          </c:extLst>
        </c:ser>
        <c:ser>
          <c:idx val="1"/>
          <c:order val="1"/>
          <c:tx>
            <c:strRef>
              <c:f>算定結果!$AB$23</c:f>
              <c:strCache>
                <c:ptCount val="1"/>
                <c:pt idx="0">
                  <c:v>選別・ベール化</c:v>
                </c:pt>
              </c:strCache>
            </c:strRef>
          </c:tx>
          <c:spPr>
            <a:solidFill>
              <a:schemeClr val="accent2"/>
            </a:solidFill>
            <a:ln>
              <a:noFill/>
            </a:ln>
            <a:effectLst/>
          </c:spPr>
          <c:invertIfNegative val="0"/>
          <c:cat>
            <c:strRef>
              <c:f>算定結果!$AC$21:$AT$21</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算定結果!$AC$23:$AT$23</c:f>
              <c:numCache>
                <c:formatCode>#,##0.00_ ;[Red]\-#,##0.00\ </c:formatCode>
                <c:ptCount val="18"/>
              </c:numCache>
            </c:numRef>
          </c:val>
          <c:extLst>
            <c:ext xmlns:c16="http://schemas.microsoft.com/office/drawing/2014/chart" uri="{C3380CC4-5D6E-409C-BE32-E72D297353CC}">
              <c16:uniqueId val="{00000001-53AA-4189-9645-C3FB42C78E47}"/>
            </c:ext>
          </c:extLst>
        </c:ser>
        <c:ser>
          <c:idx val="2"/>
          <c:order val="2"/>
          <c:tx>
            <c:strRef>
              <c:f>算定結果!$AB$24</c:f>
              <c:strCache>
                <c:ptCount val="1"/>
                <c:pt idx="0">
                  <c:v>輸送1</c:v>
                </c:pt>
              </c:strCache>
            </c:strRef>
          </c:tx>
          <c:spPr>
            <a:solidFill>
              <a:schemeClr val="accent3"/>
            </a:solidFill>
            <a:ln>
              <a:noFill/>
            </a:ln>
            <a:effectLst/>
          </c:spPr>
          <c:invertIfNegative val="0"/>
          <c:cat>
            <c:strRef>
              <c:f>算定結果!$AC$21:$AT$21</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算定結果!$AC$24:$AT$24</c:f>
              <c:numCache>
                <c:formatCode>#,##0.00_ ;[Red]\-#,##0.00\ </c:formatCode>
                <c:ptCount val="18"/>
              </c:numCache>
            </c:numRef>
          </c:val>
          <c:extLst>
            <c:ext xmlns:c16="http://schemas.microsoft.com/office/drawing/2014/chart" uri="{C3380CC4-5D6E-409C-BE32-E72D297353CC}">
              <c16:uniqueId val="{00000002-53AA-4189-9645-C3FB42C78E47}"/>
            </c:ext>
          </c:extLst>
        </c:ser>
        <c:ser>
          <c:idx val="3"/>
          <c:order val="3"/>
          <c:tx>
            <c:strRef>
              <c:f>算定結果!$AB$25</c:f>
              <c:strCache>
                <c:ptCount val="1"/>
                <c:pt idx="0">
                  <c:v>再生処理</c:v>
                </c:pt>
              </c:strCache>
            </c:strRef>
          </c:tx>
          <c:spPr>
            <a:solidFill>
              <a:schemeClr val="accent4"/>
            </a:solidFill>
            <a:ln>
              <a:noFill/>
            </a:ln>
            <a:effectLst/>
          </c:spPr>
          <c:invertIfNegative val="0"/>
          <c:cat>
            <c:strRef>
              <c:f>算定結果!$AC$21:$AT$21</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算定結果!$AC$25:$AT$25</c:f>
              <c:numCache>
                <c:formatCode>#,##0.00_ ;[Red]\-#,##0.00\ </c:formatCode>
                <c:ptCount val="18"/>
              </c:numCache>
            </c:numRef>
          </c:val>
          <c:extLst>
            <c:ext xmlns:c16="http://schemas.microsoft.com/office/drawing/2014/chart" uri="{C3380CC4-5D6E-409C-BE32-E72D297353CC}">
              <c16:uniqueId val="{00000003-53AA-4189-9645-C3FB42C78E47}"/>
            </c:ext>
          </c:extLst>
        </c:ser>
        <c:ser>
          <c:idx val="7"/>
          <c:order val="4"/>
          <c:tx>
            <c:strRef>
              <c:f>算定結果!$AB$26</c:f>
              <c:strCache>
                <c:ptCount val="1"/>
                <c:pt idx="0">
                  <c:v>新規製造</c:v>
                </c:pt>
              </c:strCache>
            </c:strRef>
          </c:tx>
          <c:spPr>
            <a:solidFill>
              <a:schemeClr val="accent2">
                <a:lumMod val="60000"/>
              </a:schemeClr>
            </a:solidFill>
            <a:ln>
              <a:noFill/>
            </a:ln>
            <a:effectLst/>
          </c:spPr>
          <c:invertIfNegative val="0"/>
          <c:cat>
            <c:strRef>
              <c:f>算定結果!$AC$21:$AT$21</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算定結果!$AC$26:$AT$26</c:f>
              <c:numCache>
                <c:formatCode>#,##0.00_ ;[Red]\-#,##0.00\ </c:formatCode>
                <c:ptCount val="18"/>
              </c:numCache>
            </c:numRef>
          </c:val>
          <c:extLst>
            <c:ext xmlns:c16="http://schemas.microsoft.com/office/drawing/2014/chart" uri="{C3380CC4-5D6E-409C-BE32-E72D297353CC}">
              <c16:uniqueId val="{00000004-53AA-4189-9645-C3FB42C78E47}"/>
            </c:ext>
          </c:extLst>
        </c:ser>
        <c:ser>
          <c:idx val="4"/>
          <c:order val="5"/>
          <c:tx>
            <c:strRef>
              <c:f>算定結果!$AB$27</c:f>
              <c:strCache>
                <c:ptCount val="1"/>
                <c:pt idx="0">
                  <c:v>輸送2</c:v>
                </c:pt>
              </c:strCache>
            </c:strRef>
          </c:tx>
          <c:spPr>
            <a:solidFill>
              <a:schemeClr val="accent5"/>
            </a:solidFill>
            <a:ln>
              <a:noFill/>
            </a:ln>
            <a:effectLst/>
          </c:spPr>
          <c:invertIfNegative val="0"/>
          <c:cat>
            <c:strRef>
              <c:f>算定結果!$AC$21:$AT$21</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算定結果!$AC$27:$AT$27</c:f>
              <c:numCache>
                <c:formatCode>#,##0.00_ ;[Red]\-#,##0.00\ </c:formatCode>
                <c:ptCount val="18"/>
              </c:numCache>
            </c:numRef>
          </c:val>
          <c:extLst>
            <c:ext xmlns:c16="http://schemas.microsoft.com/office/drawing/2014/chart" uri="{C3380CC4-5D6E-409C-BE32-E72D297353CC}">
              <c16:uniqueId val="{00000005-53AA-4189-9645-C3FB42C78E47}"/>
            </c:ext>
          </c:extLst>
        </c:ser>
        <c:ser>
          <c:idx val="5"/>
          <c:order val="6"/>
          <c:tx>
            <c:strRef>
              <c:f>算定結果!$AB$28</c:f>
              <c:strCache>
                <c:ptCount val="1"/>
                <c:pt idx="0">
                  <c:v>焼却</c:v>
                </c:pt>
              </c:strCache>
            </c:strRef>
          </c:tx>
          <c:spPr>
            <a:solidFill>
              <a:schemeClr val="accent6"/>
            </a:solidFill>
            <a:ln>
              <a:noFill/>
            </a:ln>
            <a:effectLst/>
          </c:spPr>
          <c:invertIfNegative val="0"/>
          <c:cat>
            <c:strRef>
              <c:f>算定結果!$AC$21:$AT$21</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算定結果!$AC$28:$AT$28</c:f>
              <c:numCache>
                <c:formatCode>#,##0.00_ ;[Red]\-#,##0.00\ </c:formatCode>
                <c:ptCount val="18"/>
              </c:numCache>
            </c:numRef>
          </c:val>
          <c:extLst>
            <c:ext xmlns:c16="http://schemas.microsoft.com/office/drawing/2014/chart" uri="{C3380CC4-5D6E-409C-BE32-E72D297353CC}">
              <c16:uniqueId val="{00000006-53AA-4189-9645-C3FB42C78E47}"/>
            </c:ext>
          </c:extLst>
        </c:ser>
        <c:ser>
          <c:idx val="6"/>
          <c:order val="7"/>
          <c:tx>
            <c:strRef>
              <c:f>算定結果!$AB$29</c:f>
              <c:strCache>
                <c:ptCount val="1"/>
                <c:pt idx="0">
                  <c:v>輸送3</c:v>
                </c:pt>
              </c:strCache>
            </c:strRef>
          </c:tx>
          <c:spPr>
            <a:solidFill>
              <a:schemeClr val="accent1">
                <a:lumMod val="60000"/>
              </a:schemeClr>
            </a:solidFill>
            <a:ln>
              <a:noFill/>
            </a:ln>
            <a:effectLst/>
          </c:spPr>
          <c:invertIfNegative val="0"/>
          <c:cat>
            <c:strRef>
              <c:f>算定結果!$AC$21:$AT$21</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算定結果!$AC$29:$AT$29</c:f>
              <c:numCache>
                <c:formatCode>#,##0.00_ ;[Red]\-#,##0.00\ </c:formatCode>
                <c:ptCount val="18"/>
              </c:numCache>
            </c:numRef>
          </c:val>
          <c:extLst>
            <c:ext xmlns:c16="http://schemas.microsoft.com/office/drawing/2014/chart" uri="{C3380CC4-5D6E-409C-BE32-E72D297353CC}">
              <c16:uniqueId val="{00000007-53AA-4189-9645-C3FB42C78E47}"/>
            </c:ext>
          </c:extLst>
        </c:ser>
        <c:ser>
          <c:idx val="8"/>
          <c:order val="8"/>
          <c:tx>
            <c:strRef>
              <c:f>算定結果!$AB$30</c:f>
              <c:strCache>
                <c:ptCount val="1"/>
                <c:pt idx="0">
                  <c:v>埋立</c:v>
                </c:pt>
              </c:strCache>
            </c:strRef>
          </c:tx>
          <c:spPr>
            <a:solidFill>
              <a:schemeClr val="accent3">
                <a:lumMod val="60000"/>
              </a:schemeClr>
            </a:solidFill>
            <a:ln>
              <a:noFill/>
            </a:ln>
            <a:effectLst/>
          </c:spPr>
          <c:invertIfNegative val="0"/>
          <c:cat>
            <c:strRef>
              <c:f>算定結果!$AC$21:$AT$21</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算定結果!$AC$30:$AT$30</c:f>
              <c:numCache>
                <c:formatCode>#,##0.00_ ;[Red]\-#,##0.00\ </c:formatCode>
                <c:ptCount val="18"/>
              </c:numCache>
            </c:numRef>
          </c:val>
          <c:extLst xmlns:c15="http://schemas.microsoft.com/office/drawing/2012/chart">
            <c:ext xmlns:c16="http://schemas.microsoft.com/office/drawing/2014/chart" uri="{C3380CC4-5D6E-409C-BE32-E72D297353CC}">
              <c16:uniqueId val="{00000009-53AA-4189-9645-C3FB42C78E47}"/>
            </c:ext>
          </c:extLst>
        </c:ser>
        <c:dLbls>
          <c:showLegendKey val="0"/>
          <c:showVal val="0"/>
          <c:showCatName val="0"/>
          <c:showSerName val="0"/>
          <c:showPercent val="0"/>
          <c:showBubbleSize val="0"/>
        </c:dLbls>
        <c:gapWidth val="150"/>
        <c:overlap val="100"/>
        <c:axId val="78592944"/>
        <c:axId val="78595856"/>
        <c:extLst/>
      </c:barChart>
      <c:lineChart>
        <c:grouping val="standard"/>
        <c:varyColors val="0"/>
        <c:ser>
          <c:idx val="9"/>
          <c:order val="9"/>
          <c:tx>
            <c:strRef>
              <c:f>算定結果!$AB$31</c:f>
              <c:strCache>
                <c:ptCount val="1"/>
                <c:pt idx="0">
                  <c:v>CO2排出量合計</c:v>
                </c:pt>
              </c:strCache>
            </c:strRef>
          </c:tx>
          <c:spPr>
            <a:ln w="28575" cap="rnd">
              <a:noFill/>
              <a:round/>
            </a:ln>
            <a:effectLst/>
          </c:spPr>
          <c:marker>
            <c:symbol val="diamond"/>
            <c:size val="8"/>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altLang="ja-JP" sz="1400" b="1" i="0" u="none" strike="noStrike" kern="1200" baseline="0">
                    <a:solidFill>
                      <a:sysClr val="windowText" lastClr="000000"/>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算定結果!$AC$21:$AT$21</c:f>
              <c:strCache>
                <c:ptCount val="18"/>
                <c:pt idx="0">
                  <c:v>可燃ごみ</c:v>
                </c:pt>
                <c:pt idx="1">
                  <c:v>容器包装</c:v>
                </c:pt>
                <c:pt idx="2">
                  <c:v>現行1</c:v>
                </c:pt>
                <c:pt idx="3">
                  <c:v>可燃ごみ</c:v>
                </c:pt>
                <c:pt idx="4">
                  <c:v>容器包装</c:v>
                </c:pt>
                <c:pt idx="5">
                  <c:v>現行2</c:v>
                </c:pt>
                <c:pt idx="6">
                  <c:v>可燃ごみ</c:v>
                </c:pt>
                <c:pt idx="7">
                  <c:v>容器包装</c:v>
                </c:pt>
                <c:pt idx="8">
                  <c:v>現行3</c:v>
                </c:pt>
                <c:pt idx="9">
                  <c:v>可燃ごみ</c:v>
                </c:pt>
                <c:pt idx="10">
                  <c:v>一括回収</c:v>
                </c:pt>
                <c:pt idx="11">
                  <c:v>移行後1</c:v>
                </c:pt>
                <c:pt idx="12">
                  <c:v>可燃ごみ</c:v>
                </c:pt>
                <c:pt idx="13">
                  <c:v>一括回収</c:v>
                </c:pt>
                <c:pt idx="14">
                  <c:v>移行後2</c:v>
                </c:pt>
                <c:pt idx="15">
                  <c:v>可燃ごみ</c:v>
                </c:pt>
                <c:pt idx="16">
                  <c:v>一括回収</c:v>
                </c:pt>
                <c:pt idx="17">
                  <c:v>移行後3</c:v>
                </c:pt>
              </c:strCache>
            </c:strRef>
          </c:cat>
          <c:val>
            <c:numRef>
              <c:f>算定結果!$AC$31:$AT$31</c:f>
              <c:numCache>
                <c:formatCode>#,##0_ ;[Red]\-#,##0\ </c:formatCode>
                <c:ptCount val="18"/>
              </c:numCache>
            </c:numRef>
          </c:val>
          <c:smooth val="0"/>
          <c:extLst>
            <c:ext xmlns:c16="http://schemas.microsoft.com/office/drawing/2014/chart" uri="{C3380CC4-5D6E-409C-BE32-E72D297353CC}">
              <c16:uniqueId val="{00000008-53AA-4189-9645-C3FB42C78E47}"/>
            </c:ext>
          </c:extLst>
        </c:ser>
        <c:dLbls>
          <c:showLegendKey val="0"/>
          <c:showVal val="0"/>
          <c:showCatName val="0"/>
          <c:showSerName val="0"/>
          <c:showPercent val="0"/>
          <c:showBubbleSize val="0"/>
        </c:dLbls>
        <c:marker val="1"/>
        <c:smooth val="0"/>
        <c:axId val="78592944"/>
        <c:axId val="78595856"/>
      </c:lineChart>
      <c:catAx>
        <c:axId val="78592944"/>
        <c:scaling>
          <c:orientation val="minMax"/>
        </c:scaling>
        <c:delete val="0"/>
        <c:axPos val="b"/>
        <c:numFmt formatCode="General" sourceLinked="1"/>
        <c:majorTickMark val="in"/>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lang="en-US" altLang="ja-JP" sz="1400" b="0" i="0" u="none" strike="noStrike" kern="1200" baseline="0">
                <a:solidFill>
                  <a:sysClr val="windowText" lastClr="000000"/>
                </a:solidFill>
                <a:latin typeface="+mn-lt"/>
                <a:ea typeface="+mn-ea"/>
                <a:cs typeface="+mn-cs"/>
              </a:defRPr>
            </a:pPr>
            <a:endParaRPr lang="ja-JP"/>
          </a:p>
        </c:txPr>
        <c:crossAx val="78595856"/>
        <c:crosses val="autoZero"/>
        <c:auto val="1"/>
        <c:lblAlgn val="ctr"/>
        <c:lblOffset val="100"/>
        <c:noMultiLvlLbl val="0"/>
      </c:catAx>
      <c:valAx>
        <c:axId val="78595856"/>
        <c:scaling>
          <c:orientation val="minMax"/>
        </c:scaling>
        <c:delete val="0"/>
        <c:axPos val="l"/>
        <c:majorGridlines>
          <c:spPr>
            <a:ln w="9525" cap="flat" cmpd="sng" algn="ctr">
              <a:solidFill>
                <a:schemeClr val="tx1">
                  <a:lumMod val="15000"/>
                  <a:lumOff val="85000"/>
                </a:schemeClr>
              </a:solidFill>
              <a:round/>
            </a:ln>
            <a:effectLst/>
          </c:spPr>
        </c:majorGridlines>
        <c:numFmt formatCode="#,##0_ ;[Red]\-#,##0\ "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lang="en-US" altLang="ja-JP" sz="1400" b="0" i="0" u="none" strike="noStrike" kern="1200" baseline="0">
                <a:solidFill>
                  <a:sysClr val="windowText" lastClr="000000"/>
                </a:solidFill>
                <a:latin typeface="+mn-lt"/>
                <a:ea typeface="+mn-ea"/>
                <a:cs typeface="+mn-cs"/>
              </a:defRPr>
            </a:pPr>
            <a:endParaRPr lang="ja-JP"/>
          </a:p>
        </c:txPr>
        <c:crossAx val="78592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altLang="ja-JP" sz="1400" b="0" i="0" u="none" strike="noStrike" kern="1200" baseline="0">
              <a:solidFill>
                <a:sysClr val="windowText" lastClr="000000"/>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altLang="ja-JP" sz="1400" b="0" i="0" u="none" strike="noStrike" kern="1200" baseline="0">
          <a:solidFill>
            <a:sysClr val="windowText" lastClr="000000"/>
          </a:solidFill>
          <a:latin typeface="+mn-lt"/>
          <a:ea typeface="+mn-ea"/>
          <a:cs typeface="+mn-cs"/>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算定結果!$B$105:$C$105</c:f>
              <c:strCache>
                <c:ptCount val="2"/>
                <c:pt idx="1">
                  <c:v>収集・運搬</c:v>
                </c:pt>
              </c:strCache>
            </c:strRef>
          </c:tx>
          <c:spPr>
            <a:solidFill>
              <a:schemeClr val="accent1"/>
            </a:solidFill>
            <a:ln>
              <a:noFill/>
            </a:ln>
            <a:effectLst/>
          </c:spPr>
          <c:invertIfNegative val="0"/>
          <c:cat>
            <c:multiLvlStrRef>
              <c:f>算定結果!$D$103:$O$104</c:f>
              <c:multiLvlStrCache>
                <c:ptCount val="12"/>
                <c:lvl>
                  <c:pt idx="0">
                    <c:v>CO2排出量</c:v>
                  </c:pt>
                  <c:pt idx="1">
                    <c:v>コスト</c:v>
                  </c:pt>
                  <c:pt idx="2">
                    <c:v>CO2排出量</c:v>
                  </c:pt>
                  <c:pt idx="3">
                    <c:v>コスト</c:v>
                  </c:pt>
                  <c:pt idx="4">
                    <c:v>CO2排出量</c:v>
                  </c:pt>
                  <c:pt idx="5">
                    <c:v>コスト</c:v>
                  </c:pt>
                  <c:pt idx="6">
                    <c:v>CO2排出量</c:v>
                  </c:pt>
                  <c:pt idx="7">
                    <c:v>コスト</c:v>
                  </c:pt>
                  <c:pt idx="8">
                    <c:v>CO2排出量</c:v>
                  </c:pt>
                  <c:pt idx="9">
                    <c:v>コスト</c:v>
                  </c:pt>
                  <c:pt idx="10">
                    <c:v>CO2排出量</c:v>
                  </c:pt>
                  <c:pt idx="11">
                    <c:v>コスト</c:v>
                  </c:pt>
                </c:lvl>
                <c:lvl>
                  <c:pt idx="0">
                    <c:v>現行1</c:v>
                  </c:pt>
                  <c:pt idx="2">
                    <c:v>現行2</c:v>
                  </c:pt>
                  <c:pt idx="4">
                    <c:v>現行3</c:v>
                  </c:pt>
                  <c:pt idx="6">
                    <c:v>移行後1</c:v>
                  </c:pt>
                  <c:pt idx="8">
                    <c:v>移行後2</c:v>
                  </c:pt>
                  <c:pt idx="10">
                    <c:v>移行後3</c:v>
                  </c:pt>
                </c:lvl>
              </c:multiLvlStrCache>
            </c:multiLvlStrRef>
          </c:cat>
          <c:val>
            <c:numRef>
              <c:f>算定結果!$D$105:$O$105</c:f>
              <c:numCache>
                <c:formatCode>#,##0_ ;[Red]\-#,##0\ </c:formatCode>
                <c:ptCount val="12"/>
                <c:pt idx="0">
                  <c:v>0</c:v>
                </c:pt>
                <c:pt idx="2">
                  <c:v>0</c:v>
                </c:pt>
                <c:pt idx="4">
                  <c:v>0</c:v>
                </c:pt>
                <c:pt idx="6">
                  <c:v>0</c:v>
                </c:pt>
                <c:pt idx="8">
                  <c:v>0</c:v>
                </c:pt>
                <c:pt idx="10">
                  <c:v>0</c:v>
                </c:pt>
              </c:numCache>
            </c:numRef>
          </c:val>
          <c:extLst>
            <c:ext xmlns:c16="http://schemas.microsoft.com/office/drawing/2014/chart" uri="{C3380CC4-5D6E-409C-BE32-E72D297353CC}">
              <c16:uniqueId val="{00000000-E1E8-4704-BA62-B447F1C53C55}"/>
            </c:ext>
          </c:extLst>
        </c:ser>
        <c:ser>
          <c:idx val="1"/>
          <c:order val="1"/>
          <c:tx>
            <c:strRef>
              <c:f>算定結果!$B$106:$C$106</c:f>
              <c:strCache>
                <c:ptCount val="2"/>
                <c:pt idx="1">
                  <c:v>選別・ベール化</c:v>
                </c:pt>
              </c:strCache>
            </c:strRef>
          </c:tx>
          <c:spPr>
            <a:solidFill>
              <a:schemeClr val="accent2"/>
            </a:solidFill>
            <a:ln>
              <a:noFill/>
            </a:ln>
            <a:effectLst/>
          </c:spPr>
          <c:invertIfNegative val="0"/>
          <c:cat>
            <c:multiLvlStrRef>
              <c:f>算定結果!$D$103:$O$104</c:f>
              <c:multiLvlStrCache>
                <c:ptCount val="12"/>
                <c:lvl>
                  <c:pt idx="0">
                    <c:v>CO2排出量</c:v>
                  </c:pt>
                  <c:pt idx="1">
                    <c:v>コスト</c:v>
                  </c:pt>
                  <c:pt idx="2">
                    <c:v>CO2排出量</c:v>
                  </c:pt>
                  <c:pt idx="3">
                    <c:v>コスト</c:v>
                  </c:pt>
                  <c:pt idx="4">
                    <c:v>CO2排出量</c:v>
                  </c:pt>
                  <c:pt idx="5">
                    <c:v>コスト</c:v>
                  </c:pt>
                  <c:pt idx="6">
                    <c:v>CO2排出量</c:v>
                  </c:pt>
                  <c:pt idx="7">
                    <c:v>コスト</c:v>
                  </c:pt>
                  <c:pt idx="8">
                    <c:v>CO2排出量</c:v>
                  </c:pt>
                  <c:pt idx="9">
                    <c:v>コスト</c:v>
                  </c:pt>
                  <c:pt idx="10">
                    <c:v>CO2排出量</c:v>
                  </c:pt>
                  <c:pt idx="11">
                    <c:v>コスト</c:v>
                  </c:pt>
                </c:lvl>
                <c:lvl>
                  <c:pt idx="0">
                    <c:v>現行1</c:v>
                  </c:pt>
                  <c:pt idx="2">
                    <c:v>現行2</c:v>
                  </c:pt>
                  <c:pt idx="4">
                    <c:v>現行3</c:v>
                  </c:pt>
                  <c:pt idx="6">
                    <c:v>移行後1</c:v>
                  </c:pt>
                  <c:pt idx="8">
                    <c:v>移行後2</c:v>
                  </c:pt>
                  <c:pt idx="10">
                    <c:v>移行後3</c:v>
                  </c:pt>
                </c:lvl>
              </c:multiLvlStrCache>
            </c:multiLvlStrRef>
          </c:cat>
          <c:val>
            <c:numRef>
              <c:f>算定結果!$D$106:$O$106</c:f>
              <c:numCache>
                <c:formatCode>#,##0_ ;[Red]\-#,##0\ </c:formatCode>
                <c:ptCount val="12"/>
                <c:pt idx="0">
                  <c:v>0</c:v>
                </c:pt>
                <c:pt idx="2">
                  <c:v>0</c:v>
                </c:pt>
                <c:pt idx="4">
                  <c:v>0</c:v>
                </c:pt>
                <c:pt idx="6">
                  <c:v>0</c:v>
                </c:pt>
                <c:pt idx="8">
                  <c:v>0</c:v>
                </c:pt>
                <c:pt idx="10">
                  <c:v>0</c:v>
                </c:pt>
              </c:numCache>
            </c:numRef>
          </c:val>
          <c:extLst>
            <c:ext xmlns:c16="http://schemas.microsoft.com/office/drawing/2014/chart" uri="{C3380CC4-5D6E-409C-BE32-E72D297353CC}">
              <c16:uniqueId val="{00000001-E1E8-4704-BA62-B447F1C53C55}"/>
            </c:ext>
          </c:extLst>
        </c:ser>
        <c:ser>
          <c:idx val="2"/>
          <c:order val="2"/>
          <c:tx>
            <c:strRef>
              <c:f>算定結果!$B$107:$C$107</c:f>
              <c:strCache>
                <c:ptCount val="2"/>
                <c:pt idx="1">
                  <c:v>輸送1</c:v>
                </c:pt>
              </c:strCache>
            </c:strRef>
          </c:tx>
          <c:spPr>
            <a:solidFill>
              <a:schemeClr val="accent3"/>
            </a:solidFill>
            <a:ln>
              <a:noFill/>
            </a:ln>
            <a:effectLst/>
          </c:spPr>
          <c:invertIfNegative val="0"/>
          <c:cat>
            <c:multiLvlStrRef>
              <c:f>算定結果!$D$103:$O$104</c:f>
              <c:multiLvlStrCache>
                <c:ptCount val="12"/>
                <c:lvl>
                  <c:pt idx="0">
                    <c:v>CO2排出量</c:v>
                  </c:pt>
                  <c:pt idx="1">
                    <c:v>コスト</c:v>
                  </c:pt>
                  <c:pt idx="2">
                    <c:v>CO2排出量</c:v>
                  </c:pt>
                  <c:pt idx="3">
                    <c:v>コスト</c:v>
                  </c:pt>
                  <c:pt idx="4">
                    <c:v>CO2排出量</c:v>
                  </c:pt>
                  <c:pt idx="5">
                    <c:v>コスト</c:v>
                  </c:pt>
                  <c:pt idx="6">
                    <c:v>CO2排出量</c:v>
                  </c:pt>
                  <c:pt idx="7">
                    <c:v>コスト</c:v>
                  </c:pt>
                  <c:pt idx="8">
                    <c:v>CO2排出量</c:v>
                  </c:pt>
                  <c:pt idx="9">
                    <c:v>コスト</c:v>
                  </c:pt>
                  <c:pt idx="10">
                    <c:v>CO2排出量</c:v>
                  </c:pt>
                  <c:pt idx="11">
                    <c:v>コスト</c:v>
                  </c:pt>
                </c:lvl>
                <c:lvl>
                  <c:pt idx="0">
                    <c:v>現行1</c:v>
                  </c:pt>
                  <c:pt idx="2">
                    <c:v>現行2</c:v>
                  </c:pt>
                  <c:pt idx="4">
                    <c:v>現行3</c:v>
                  </c:pt>
                  <c:pt idx="6">
                    <c:v>移行後1</c:v>
                  </c:pt>
                  <c:pt idx="8">
                    <c:v>移行後2</c:v>
                  </c:pt>
                  <c:pt idx="10">
                    <c:v>移行後3</c:v>
                  </c:pt>
                </c:lvl>
              </c:multiLvlStrCache>
            </c:multiLvlStrRef>
          </c:cat>
          <c:val>
            <c:numRef>
              <c:f>算定結果!$D$107:$O$107</c:f>
              <c:numCache>
                <c:formatCode>#,##0_ ;[Red]\-#,##0\ </c:formatCode>
                <c:ptCount val="12"/>
                <c:pt idx="0">
                  <c:v>0</c:v>
                </c:pt>
                <c:pt idx="2">
                  <c:v>0</c:v>
                </c:pt>
                <c:pt idx="4">
                  <c:v>0</c:v>
                </c:pt>
                <c:pt idx="6">
                  <c:v>0</c:v>
                </c:pt>
                <c:pt idx="8">
                  <c:v>0</c:v>
                </c:pt>
                <c:pt idx="10">
                  <c:v>0</c:v>
                </c:pt>
              </c:numCache>
            </c:numRef>
          </c:val>
          <c:extLst>
            <c:ext xmlns:c16="http://schemas.microsoft.com/office/drawing/2014/chart" uri="{C3380CC4-5D6E-409C-BE32-E72D297353CC}">
              <c16:uniqueId val="{00000002-E1E8-4704-BA62-B447F1C53C55}"/>
            </c:ext>
          </c:extLst>
        </c:ser>
        <c:ser>
          <c:idx val="3"/>
          <c:order val="3"/>
          <c:tx>
            <c:strRef>
              <c:f>算定結果!$B$108:$C$108</c:f>
              <c:strCache>
                <c:ptCount val="2"/>
                <c:pt idx="1">
                  <c:v>再生処理</c:v>
                </c:pt>
              </c:strCache>
            </c:strRef>
          </c:tx>
          <c:spPr>
            <a:solidFill>
              <a:schemeClr val="accent4"/>
            </a:solidFill>
            <a:ln>
              <a:noFill/>
            </a:ln>
            <a:effectLst/>
          </c:spPr>
          <c:invertIfNegative val="0"/>
          <c:cat>
            <c:multiLvlStrRef>
              <c:f>算定結果!$D$103:$O$104</c:f>
              <c:multiLvlStrCache>
                <c:ptCount val="12"/>
                <c:lvl>
                  <c:pt idx="0">
                    <c:v>CO2排出量</c:v>
                  </c:pt>
                  <c:pt idx="1">
                    <c:v>コスト</c:v>
                  </c:pt>
                  <c:pt idx="2">
                    <c:v>CO2排出量</c:v>
                  </c:pt>
                  <c:pt idx="3">
                    <c:v>コスト</c:v>
                  </c:pt>
                  <c:pt idx="4">
                    <c:v>CO2排出量</c:v>
                  </c:pt>
                  <c:pt idx="5">
                    <c:v>コスト</c:v>
                  </c:pt>
                  <c:pt idx="6">
                    <c:v>CO2排出量</c:v>
                  </c:pt>
                  <c:pt idx="7">
                    <c:v>コスト</c:v>
                  </c:pt>
                  <c:pt idx="8">
                    <c:v>CO2排出量</c:v>
                  </c:pt>
                  <c:pt idx="9">
                    <c:v>コスト</c:v>
                  </c:pt>
                  <c:pt idx="10">
                    <c:v>CO2排出量</c:v>
                  </c:pt>
                  <c:pt idx="11">
                    <c:v>コスト</c:v>
                  </c:pt>
                </c:lvl>
                <c:lvl>
                  <c:pt idx="0">
                    <c:v>現行1</c:v>
                  </c:pt>
                  <c:pt idx="2">
                    <c:v>現行2</c:v>
                  </c:pt>
                  <c:pt idx="4">
                    <c:v>現行3</c:v>
                  </c:pt>
                  <c:pt idx="6">
                    <c:v>移行後1</c:v>
                  </c:pt>
                  <c:pt idx="8">
                    <c:v>移行後2</c:v>
                  </c:pt>
                  <c:pt idx="10">
                    <c:v>移行後3</c:v>
                  </c:pt>
                </c:lvl>
              </c:multiLvlStrCache>
            </c:multiLvlStrRef>
          </c:cat>
          <c:val>
            <c:numRef>
              <c:f>算定結果!$D$108:$O$108</c:f>
              <c:numCache>
                <c:formatCode>#,##0_ ;[Red]\-#,##0\ </c:formatCode>
                <c:ptCount val="12"/>
                <c:pt idx="0">
                  <c:v>0</c:v>
                </c:pt>
                <c:pt idx="2">
                  <c:v>0</c:v>
                </c:pt>
                <c:pt idx="4">
                  <c:v>0</c:v>
                </c:pt>
                <c:pt idx="6">
                  <c:v>0</c:v>
                </c:pt>
                <c:pt idx="8">
                  <c:v>0</c:v>
                </c:pt>
                <c:pt idx="10">
                  <c:v>0</c:v>
                </c:pt>
              </c:numCache>
            </c:numRef>
          </c:val>
          <c:extLst>
            <c:ext xmlns:c16="http://schemas.microsoft.com/office/drawing/2014/chart" uri="{C3380CC4-5D6E-409C-BE32-E72D297353CC}">
              <c16:uniqueId val="{00000003-E1E8-4704-BA62-B447F1C53C55}"/>
            </c:ext>
          </c:extLst>
        </c:ser>
        <c:ser>
          <c:idx val="4"/>
          <c:order val="4"/>
          <c:tx>
            <c:strRef>
              <c:f>算定結果!$B$109:$C$109</c:f>
              <c:strCache>
                <c:ptCount val="2"/>
                <c:pt idx="1">
                  <c:v>輸送2</c:v>
                </c:pt>
              </c:strCache>
            </c:strRef>
          </c:tx>
          <c:spPr>
            <a:solidFill>
              <a:schemeClr val="accent5"/>
            </a:solidFill>
            <a:ln>
              <a:noFill/>
            </a:ln>
            <a:effectLst/>
          </c:spPr>
          <c:invertIfNegative val="0"/>
          <c:cat>
            <c:multiLvlStrRef>
              <c:f>算定結果!$D$103:$O$104</c:f>
              <c:multiLvlStrCache>
                <c:ptCount val="12"/>
                <c:lvl>
                  <c:pt idx="0">
                    <c:v>CO2排出量</c:v>
                  </c:pt>
                  <c:pt idx="1">
                    <c:v>コスト</c:v>
                  </c:pt>
                  <c:pt idx="2">
                    <c:v>CO2排出量</c:v>
                  </c:pt>
                  <c:pt idx="3">
                    <c:v>コスト</c:v>
                  </c:pt>
                  <c:pt idx="4">
                    <c:v>CO2排出量</c:v>
                  </c:pt>
                  <c:pt idx="5">
                    <c:v>コスト</c:v>
                  </c:pt>
                  <c:pt idx="6">
                    <c:v>CO2排出量</c:v>
                  </c:pt>
                  <c:pt idx="7">
                    <c:v>コスト</c:v>
                  </c:pt>
                  <c:pt idx="8">
                    <c:v>CO2排出量</c:v>
                  </c:pt>
                  <c:pt idx="9">
                    <c:v>コスト</c:v>
                  </c:pt>
                  <c:pt idx="10">
                    <c:v>CO2排出量</c:v>
                  </c:pt>
                  <c:pt idx="11">
                    <c:v>コスト</c:v>
                  </c:pt>
                </c:lvl>
                <c:lvl>
                  <c:pt idx="0">
                    <c:v>現行1</c:v>
                  </c:pt>
                  <c:pt idx="2">
                    <c:v>現行2</c:v>
                  </c:pt>
                  <c:pt idx="4">
                    <c:v>現行3</c:v>
                  </c:pt>
                  <c:pt idx="6">
                    <c:v>移行後1</c:v>
                  </c:pt>
                  <c:pt idx="8">
                    <c:v>移行後2</c:v>
                  </c:pt>
                  <c:pt idx="10">
                    <c:v>移行後3</c:v>
                  </c:pt>
                </c:lvl>
              </c:multiLvlStrCache>
            </c:multiLvlStrRef>
          </c:cat>
          <c:val>
            <c:numRef>
              <c:f>算定結果!$D$109:$O$109</c:f>
              <c:numCache>
                <c:formatCode>#,##0_ ;[Red]\-#,##0\ </c:formatCode>
                <c:ptCount val="12"/>
                <c:pt idx="0">
                  <c:v>0</c:v>
                </c:pt>
                <c:pt idx="2">
                  <c:v>0</c:v>
                </c:pt>
                <c:pt idx="4">
                  <c:v>0</c:v>
                </c:pt>
                <c:pt idx="6">
                  <c:v>0</c:v>
                </c:pt>
                <c:pt idx="8">
                  <c:v>0</c:v>
                </c:pt>
                <c:pt idx="10">
                  <c:v>0</c:v>
                </c:pt>
              </c:numCache>
            </c:numRef>
          </c:val>
          <c:extLst>
            <c:ext xmlns:c16="http://schemas.microsoft.com/office/drawing/2014/chart" uri="{C3380CC4-5D6E-409C-BE32-E72D297353CC}">
              <c16:uniqueId val="{00000004-E1E8-4704-BA62-B447F1C53C55}"/>
            </c:ext>
          </c:extLst>
        </c:ser>
        <c:ser>
          <c:idx val="5"/>
          <c:order val="5"/>
          <c:tx>
            <c:strRef>
              <c:f>算定結果!$B$110:$C$110</c:f>
              <c:strCache>
                <c:ptCount val="2"/>
                <c:pt idx="1">
                  <c:v>焼却</c:v>
                </c:pt>
              </c:strCache>
            </c:strRef>
          </c:tx>
          <c:spPr>
            <a:solidFill>
              <a:schemeClr val="accent6"/>
            </a:solidFill>
            <a:ln>
              <a:noFill/>
            </a:ln>
            <a:effectLst/>
          </c:spPr>
          <c:invertIfNegative val="0"/>
          <c:cat>
            <c:multiLvlStrRef>
              <c:f>算定結果!$D$103:$O$104</c:f>
              <c:multiLvlStrCache>
                <c:ptCount val="12"/>
                <c:lvl>
                  <c:pt idx="0">
                    <c:v>CO2排出量</c:v>
                  </c:pt>
                  <c:pt idx="1">
                    <c:v>コスト</c:v>
                  </c:pt>
                  <c:pt idx="2">
                    <c:v>CO2排出量</c:v>
                  </c:pt>
                  <c:pt idx="3">
                    <c:v>コスト</c:v>
                  </c:pt>
                  <c:pt idx="4">
                    <c:v>CO2排出量</c:v>
                  </c:pt>
                  <c:pt idx="5">
                    <c:v>コスト</c:v>
                  </c:pt>
                  <c:pt idx="6">
                    <c:v>CO2排出量</c:v>
                  </c:pt>
                  <c:pt idx="7">
                    <c:v>コスト</c:v>
                  </c:pt>
                  <c:pt idx="8">
                    <c:v>CO2排出量</c:v>
                  </c:pt>
                  <c:pt idx="9">
                    <c:v>コスト</c:v>
                  </c:pt>
                  <c:pt idx="10">
                    <c:v>CO2排出量</c:v>
                  </c:pt>
                  <c:pt idx="11">
                    <c:v>コスト</c:v>
                  </c:pt>
                </c:lvl>
                <c:lvl>
                  <c:pt idx="0">
                    <c:v>現行1</c:v>
                  </c:pt>
                  <c:pt idx="2">
                    <c:v>現行2</c:v>
                  </c:pt>
                  <c:pt idx="4">
                    <c:v>現行3</c:v>
                  </c:pt>
                  <c:pt idx="6">
                    <c:v>移行後1</c:v>
                  </c:pt>
                  <c:pt idx="8">
                    <c:v>移行後2</c:v>
                  </c:pt>
                  <c:pt idx="10">
                    <c:v>移行後3</c:v>
                  </c:pt>
                </c:lvl>
              </c:multiLvlStrCache>
            </c:multiLvlStrRef>
          </c:cat>
          <c:val>
            <c:numRef>
              <c:f>算定結果!$D$110:$O$110</c:f>
              <c:numCache>
                <c:formatCode>#,##0_ ;[Red]\-#,##0\ </c:formatCode>
                <c:ptCount val="12"/>
                <c:pt idx="0">
                  <c:v>0</c:v>
                </c:pt>
                <c:pt idx="2">
                  <c:v>0</c:v>
                </c:pt>
                <c:pt idx="4">
                  <c:v>0</c:v>
                </c:pt>
                <c:pt idx="6">
                  <c:v>0</c:v>
                </c:pt>
                <c:pt idx="8">
                  <c:v>0</c:v>
                </c:pt>
                <c:pt idx="10">
                  <c:v>0</c:v>
                </c:pt>
              </c:numCache>
            </c:numRef>
          </c:val>
          <c:extLst>
            <c:ext xmlns:c16="http://schemas.microsoft.com/office/drawing/2014/chart" uri="{C3380CC4-5D6E-409C-BE32-E72D297353CC}">
              <c16:uniqueId val="{00000005-E1E8-4704-BA62-B447F1C53C55}"/>
            </c:ext>
          </c:extLst>
        </c:ser>
        <c:ser>
          <c:idx val="6"/>
          <c:order val="6"/>
          <c:tx>
            <c:strRef>
              <c:f>算定結果!$B$111:$C$111</c:f>
              <c:strCache>
                <c:ptCount val="2"/>
                <c:pt idx="1">
                  <c:v>輸送3</c:v>
                </c:pt>
              </c:strCache>
            </c:strRef>
          </c:tx>
          <c:spPr>
            <a:solidFill>
              <a:schemeClr val="accent1">
                <a:lumMod val="75000"/>
              </a:schemeClr>
            </a:solidFill>
            <a:ln>
              <a:noFill/>
            </a:ln>
            <a:effectLst/>
          </c:spPr>
          <c:invertIfNegative val="0"/>
          <c:cat>
            <c:multiLvlStrRef>
              <c:f>算定結果!$D$103:$O$104</c:f>
              <c:multiLvlStrCache>
                <c:ptCount val="12"/>
                <c:lvl>
                  <c:pt idx="0">
                    <c:v>CO2排出量</c:v>
                  </c:pt>
                  <c:pt idx="1">
                    <c:v>コスト</c:v>
                  </c:pt>
                  <c:pt idx="2">
                    <c:v>CO2排出量</c:v>
                  </c:pt>
                  <c:pt idx="3">
                    <c:v>コスト</c:v>
                  </c:pt>
                  <c:pt idx="4">
                    <c:v>CO2排出量</c:v>
                  </c:pt>
                  <c:pt idx="5">
                    <c:v>コスト</c:v>
                  </c:pt>
                  <c:pt idx="6">
                    <c:v>CO2排出量</c:v>
                  </c:pt>
                  <c:pt idx="7">
                    <c:v>コスト</c:v>
                  </c:pt>
                  <c:pt idx="8">
                    <c:v>CO2排出量</c:v>
                  </c:pt>
                  <c:pt idx="9">
                    <c:v>コスト</c:v>
                  </c:pt>
                  <c:pt idx="10">
                    <c:v>CO2排出量</c:v>
                  </c:pt>
                  <c:pt idx="11">
                    <c:v>コスト</c:v>
                  </c:pt>
                </c:lvl>
                <c:lvl>
                  <c:pt idx="0">
                    <c:v>現行1</c:v>
                  </c:pt>
                  <c:pt idx="2">
                    <c:v>現行2</c:v>
                  </c:pt>
                  <c:pt idx="4">
                    <c:v>現行3</c:v>
                  </c:pt>
                  <c:pt idx="6">
                    <c:v>移行後1</c:v>
                  </c:pt>
                  <c:pt idx="8">
                    <c:v>移行後2</c:v>
                  </c:pt>
                  <c:pt idx="10">
                    <c:v>移行後3</c:v>
                  </c:pt>
                </c:lvl>
              </c:multiLvlStrCache>
            </c:multiLvlStrRef>
          </c:cat>
          <c:val>
            <c:numRef>
              <c:f>算定結果!$D$111:$O$111</c:f>
              <c:numCache>
                <c:formatCode>#,##0_ ;[Red]\-#,##0\ </c:formatCode>
                <c:ptCount val="12"/>
                <c:pt idx="0">
                  <c:v>0</c:v>
                </c:pt>
                <c:pt idx="2">
                  <c:v>0</c:v>
                </c:pt>
                <c:pt idx="4">
                  <c:v>0</c:v>
                </c:pt>
                <c:pt idx="6">
                  <c:v>0</c:v>
                </c:pt>
                <c:pt idx="8">
                  <c:v>0</c:v>
                </c:pt>
                <c:pt idx="10">
                  <c:v>0</c:v>
                </c:pt>
              </c:numCache>
            </c:numRef>
          </c:val>
          <c:extLst>
            <c:ext xmlns:c16="http://schemas.microsoft.com/office/drawing/2014/chart" uri="{C3380CC4-5D6E-409C-BE32-E72D297353CC}">
              <c16:uniqueId val="{00000006-E1E8-4704-BA62-B447F1C53C55}"/>
            </c:ext>
          </c:extLst>
        </c:ser>
        <c:ser>
          <c:idx val="7"/>
          <c:order val="7"/>
          <c:tx>
            <c:strRef>
              <c:f>算定結果!$B$112:$C$112</c:f>
              <c:strCache>
                <c:ptCount val="2"/>
                <c:pt idx="1">
                  <c:v>埋立</c:v>
                </c:pt>
              </c:strCache>
            </c:strRef>
          </c:tx>
          <c:spPr>
            <a:solidFill>
              <a:schemeClr val="accent1">
                <a:lumMod val="50000"/>
              </a:schemeClr>
            </a:solidFill>
            <a:ln>
              <a:noFill/>
            </a:ln>
            <a:effectLst/>
          </c:spPr>
          <c:invertIfNegative val="0"/>
          <c:cat>
            <c:multiLvlStrRef>
              <c:f>算定結果!$D$103:$O$104</c:f>
              <c:multiLvlStrCache>
                <c:ptCount val="12"/>
                <c:lvl>
                  <c:pt idx="0">
                    <c:v>CO2排出量</c:v>
                  </c:pt>
                  <c:pt idx="1">
                    <c:v>コスト</c:v>
                  </c:pt>
                  <c:pt idx="2">
                    <c:v>CO2排出量</c:v>
                  </c:pt>
                  <c:pt idx="3">
                    <c:v>コスト</c:v>
                  </c:pt>
                  <c:pt idx="4">
                    <c:v>CO2排出量</c:v>
                  </c:pt>
                  <c:pt idx="5">
                    <c:v>コスト</c:v>
                  </c:pt>
                  <c:pt idx="6">
                    <c:v>CO2排出量</c:v>
                  </c:pt>
                  <c:pt idx="7">
                    <c:v>コスト</c:v>
                  </c:pt>
                  <c:pt idx="8">
                    <c:v>CO2排出量</c:v>
                  </c:pt>
                  <c:pt idx="9">
                    <c:v>コスト</c:v>
                  </c:pt>
                  <c:pt idx="10">
                    <c:v>CO2排出量</c:v>
                  </c:pt>
                  <c:pt idx="11">
                    <c:v>コスト</c:v>
                  </c:pt>
                </c:lvl>
                <c:lvl>
                  <c:pt idx="0">
                    <c:v>現行1</c:v>
                  </c:pt>
                  <c:pt idx="2">
                    <c:v>現行2</c:v>
                  </c:pt>
                  <c:pt idx="4">
                    <c:v>現行3</c:v>
                  </c:pt>
                  <c:pt idx="6">
                    <c:v>移行後1</c:v>
                  </c:pt>
                  <c:pt idx="8">
                    <c:v>移行後2</c:v>
                  </c:pt>
                  <c:pt idx="10">
                    <c:v>移行後3</c:v>
                  </c:pt>
                </c:lvl>
              </c:multiLvlStrCache>
            </c:multiLvlStrRef>
          </c:cat>
          <c:val>
            <c:numRef>
              <c:f>算定結果!$D$112:$O$112</c:f>
              <c:numCache>
                <c:formatCode>#,##0_ ;[Red]\-#,##0\ </c:formatCode>
                <c:ptCount val="12"/>
                <c:pt idx="0">
                  <c:v>0</c:v>
                </c:pt>
                <c:pt idx="2">
                  <c:v>0</c:v>
                </c:pt>
                <c:pt idx="4">
                  <c:v>0</c:v>
                </c:pt>
                <c:pt idx="6">
                  <c:v>0</c:v>
                </c:pt>
                <c:pt idx="8">
                  <c:v>0</c:v>
                </c:pt>
                <c:pt idx="10">
                  <c:v>0</c:v>
                </c:pt>
              </c:numCache>
            </c:numRef>
          </c:val>
          <c:extLst>
            <c:ext xmlns:c16="http://schemas.microsoft.com/office/drawing/2014/chart" uri="{C3380CC4-5D6E-409C-BE32-E72D297353CC}">
              <c16:uniqueId val="{00000007-E1E8-4704-BA62-B447F1C53C55}"/>
            </c:ext>
          </c:extLst>
        </c:ser>
        <c:dLbls>
          <c:showLegendKey val="0"/>
          <c:showVal val="0"/>
          <c:showCatName val="0"/>
          <c:showSerName val="0"/>
          <c:showPercent val="0"/>
          <c:showBubbleSize val="0"/>
        </c:dLbls>
        <c:gapWidth val="150"/>
        <c:overlap val="100"/>
        <c:axId val="440441264"/>
        <c:axId val="298575792"/>
      </c:barChart>
      <c:barChart>
        <c:barDir val="col"/>
        <c:grouping val="stacked"/>
        <c:varyColors val="0"/>
        <c:ser>
          <c:idx val="9"/>
          <c:order val="9"/>
          <c:tx>
            <c:strRef>
              <c:f>算定結果!$B$114:$C$114</c:f>
              <c:strCache>
                <c:ptCount val="2"/>
                <c:pt idx="1">
                  <c:v>収集・運搬</c:v>
                </c:pt>
              </c:strCache>
            </c:strRef>
          </c:tx>
          <c:spPr>
            <a:solidFill>
              <a:schemeClr val="accent1"/>
            </a:solidFill>
            <a:ln>
              <a:noFill/>
            </a:ln>
            <a:effectLst/>
          </c:spPr>
          <c:invertIfNegative val="0"/>
          <c:cat>
            <c:multiLvlStrRef>
              <c:f>算定結果!$D$103:$O$104</c:f>
              <c:multiLvlStrCache>
                <c:ptCount val="12"/>
                <c:lvl>
                  <c:pt idx="0">
                    <c:v>CO2排出量</c:v>
                  </c:pt>
                  <c:pt idx="1">
                    <c:v>コスト</c:v>
                  </c:pt>
                  <c:pt idx="2">
                    <c:v>CO2排出量</c:v>
                  </c:pt>
                  <c:pt idx="3">
                    <c:v>コスト</c:v>
                  </c:pt>
                  <c:pt idx="4">
                    <c:v>CO2排出量</c:v>
                  </c:pt>
                  <c:pt idx="5">
                    <c:v>コスト</c:v>
                  </c:pt>
                  <c:pt idx="6">
                    <c:v>CO2排出量</c:v>
                  </c:pt>
                  <c:pt idx="7">
                    <c:v>コスト</c:v>
                  </c:pt>
                  <c:pt idx="8">
                    <c:v>CO2排出量</c:v>
                  </c:pt>
                  <c:pt idx="9">
                    <c:v>コスト</c:v>
                  </c:pt>
                  <c:pt idx="10">
                    <c:v>CO2排出量</c:v>
                  </c:pt>
                  <c:pt idx="11">
                    <c:v>コスト</c:v>
                  </c:pt>
                </c:lvl>
                <c:lvl>
                  <c:pt idx="0">
                    <c:v>現行1</c:v>
                  </c:pt>
                  <c:pt idx="2">
                    <c:v>現行2</c:v>
                  </c:pt>
                  <c:pt idx="4">
                    <c:v>現行3</c:v>
                  </c:pt>
                  <c:pt idx="6">
                    <c:v>移行後1</c:v>
                  </c:pt>
                  <c:pt idx="8">
                    <c:v>移行後2</c:v>
                  </c:pt>
                  <c:pt idx="10">
                    <c:v>移行後3</c:v>
                  </c:pt>
                </c:lvl>
              </c:multiLvlStrCache>
            </c:multiLvlStrRef>
          </c:cat>
          <c:val>
            <c:numRef>
              <c:f>算定結果!$D$114:$O$114</c:f>
              <c:numCache>
                <c:formatCode>#,##0_ ;[Red]\-#,##0\ </c:formatCode>
                <c:ptCount val="12"/>
                <c:pt idx="1">
                  <c:v>0</c:v>
                </c:pt>
                <c:pt idx="3">
                  <c:v>0</c:v>
                </c:pt>
                <c:pt idx="5">
                  <c:v>0</c:v>
                </c:pt>
                <c:pt idx="7">
                  <c:v>0</c:v>
                </c:pt>
                <c:pt idx="9">
                  <c:v>0</c:v>
                </c:pt>
                <c:pt idx="11">
                  <c:v>0</c:v>
                </c:pt>
              </c:numCache>
            </c:numRef>
          </c:val>
          <c:extLst>
            <c:ext xmlns:c16="http://schemas.microsoft.com/office/drawing/2014/chart" uri="{C3380CC4-5D6E-409C-BE32-E72D297353CC}">
              <c16:uniqueId val="{00000009-E1E8-4704-BA62-B447F1C53C55}"/>
            </c:ext>
          </c:extLst>
        </c:ser>
        <c:ser>
          <c:idx val="10"/>
          <c:order val="10"/>
          <c:tx>
            <c:strRef>
              <c:f>算定結果!$B$115:$C$115</c:f>
              <c:strCache>
                <c:ptCount val="2"/>
                <c:pt idx="1">
                  <c:v>選別・ベール化</c:v>
                </c:pt>
              </c:strCache>
            </c:strRef>
          </c:tx>
          <c:spPr>
            <a:solidFill>
              <a:schemeClr val="accent2"/>
            </a:solidFill>
            <a:ln>
              <a:noFill/>
            </a:ln>
            <a:effectLst/>
          </c:spPr>
          <c:invertIfNegative val="0"/>
          <c:cat>
            <c:multiLvlStrRef>
              <c:f>算定結果!$D$103:$O$104</c:f>
              <c:multiLvlStrCache>
                <c:ptCount val="12"/>
                <c:lvl>
                  <c:pt idx="0">
                    <c:v>CO2排出量</c:v>
                  </c:pt>
                  <c:pt idx="1">
                    <c:v>コスト</c:v>
                  </c:pt>
                  <c:pt idx="2">
                    <c:v>CO2排出量</c:v>
                  </c:pt>
                  <c:pt idx="3">
                    <c:v>コスト</c:v>
                  </c:pt>
                  <c:pt idx="4">
                    <c:v>CO2排出量</c:v>
                  </c:pt>
                  <c:pt idx="5">
                    <c:v>コスト</c:v>
                  </c:pt>
                  <c:pt idx="6">
                    <c:v>CO2排出量</c:v>
                  </c:pt>
                  <c:pt idx="7">
                    <c:v>コスト</c:v>
                  </c:pt>
                  <c:pt idx="8">
                    <c:v>CO2排出量</c:v>
                  </c:pt>
                  <c:pt idx="9">
                    <c:v>コスト</c:v>
                  </c:pt>
                  <c:pt idx="10">
                    <c:v>CO2排出量</c:v>
                  </c:pt>
                  <c:pt idx="11">
                    <c:v>コスト</c:v>
                  </c:pt>
                </c:lvl>
                <c:lvl>
                  <c:pt idx="0">
                    <c:v>現行1</c:v>
                  </c:pt>
                  <c:pt idx="2">
                    <c:v>現行2</c:v>
                  </c:pt>
                  <c:pt idx="4">
                    <c:v>現行3</c:v>
                  </c:pt>
                  <c:pt idx="6">
                    <c:v>移行後1</c:v>
                  </c:pt>
                  <c:pt idx="8">
                    <c:v>移行後2</c:v>
                  </c:pt>
                  <c:pt idx="10">
                    <c:v>移行後3</c:v>
                  </c:pt>
                </c:lvl>
              </c:multiLvlStrCache>
            </c:multiLvlStrRef>
          </c:cat>
          <c:val>
            <c:numRef>
              <c:f>算定結果!$D$115:$O$115</c:f>
              <c:numCache>
                <c:formatCode>#,##0_ ;[Red]\-#,##0\ </c:formatCode>
                <c:ptCount val="12"/>
                <c:pt idx="1">
                  <c:v>0</c:v>
                </c:pt>
                <c:pt idx="3">
                  <c:v>0</c:v>
                </c:pt>
                <c:pt idx="5">
                  <c:v>0</c:v>
                </c:pt>
                <c:pt idx="7">
                  <c:v>0</c:v>
                </c:pt>
                <c:pt idx="9">
                  <c:v>0</c:v>
                </c:pt>
                <c:pt idx="11">
                  <c:v>0</c:v>
                </c:pt>
              </c:numCache>
            </c:numRef>
          </c:val>
          <c:extLst>
            <c:ext xmlns:c16="http://schemas.microsoft.com/office/drawing/2014/chart" uri="{C3380CC4-5D6E-409C-BE32-E72D297353CC}">
              <c16:uniqueId val="{0000000A-E1E8-4704-BA62-B447F1C53C55}"/>
            </c:ext>
          </c:extLst>
        </c:ser>
        <c:ser>
          <c:idx val="11"/>
          <c:order val="11"/>
          <c:tx>
            <c:strRef>
              <c:f>算定結果!$B$116:$C$116</c:f>
              <c:strCache>
                <c:ptCount val="2"/>
                <c:pt idx="1">
                  <c:v>輸送1</c:v>
                </c:pt>
              </c:strCache>
            </c:strRef>
          </c:tx>
          <c:spPr>
            <a:solidFill>
              <a:schemeClr val="accent6">
                <a:lumMod val="60000"/>
              </a:schemeClr>
            </a:solidFill>
            <a:ln>
              <a:noFill/>
            </a:ln>
            <a:effectLst/>
          </c:spPr>
          <c:invertIfNegative val="0"/>
          <c:dPt>
            <c:idx val="1"/>
            <c:invertIfNegative val="0"/>
            <c:bubble3D val="0"/>
            <c:spPr>
              <a:solidFill>
                <a:schemeClr val="accent3"/>
              </a:solidFill>
              <a:ln>
                <a:noFill/>
              </a:ln>
              <a:effectLst/>
            </c:spPr>
            <c:extLst>
              <c:ext xmlns:c16="http://schemas.microsoft.com/office/drawing/2014/chart" uri="{C3380CC4-5D6E-409C-BE32-E72D297353CC}">
                <c16:uniqueId val="{00000012-E1E8-4704-BA62-B447F1C53C55}"/>
              </c:ext>
            </c:extLst>
          </c:dPt>
          <c:dPt>
            <c:idx val="3"/>
            <c:invertIfNegative val="0"/>
            <c:bubble3D val="0"/>
            <c:spPr>
              <a:solidFill>
                <a:schemeClr val="accent3"/>
              </a:solidFill>
              <a:ln>
                <a:noFill/>
              </a:ln>
              <a:effectLst/>
            </c:spPr>
            <c:extLst>
              <c:ext xmlns:c16="http://schemas.microsoft.com/office/drawing/2014/chart" uri="{C3380CC4-5D6E-409C-BE32-E72D297353CC}">
                <c16:uniqueId val="{00000013-E1E8-4704-BA62-B447F1C53C55}"/>
              </c:ext>
            </c:extLst>
          </c:dPt>
          <c:dPt>
            <c:idx val="5"/>
            <c:invertIfNegative val="0"/>
            <c:bubble3D val="0"/>
            <c:spPr>
              <a:solidFill>
                <a:schemeClr val="accent3"/>
              </a:solidFill>
              <a:ln>
                <a:noFill/>
              </a:ln>
              <a:effectLst/>
            </c:spPr>
            <c:extLst>
              <c:ext xmlns:c16="http://schemas.microsoft.com/office/drawing/2014/chart" uri="{C3380CC4-5D6E-409C-BE32-E72D297353CC}">
                <c16:uniqueId val="{00000014-E1E8-4704-BA62-B447F1C53C55}"/>
              </c:ext>
            </c:extLst>
          </c:dPt>
          <c:dPt>
            <c:idx val="7"/>
            <c:invertIfNegative val="0"/>
            <c:bubble3D val="0"/>
            <c:spPr>
              <a:solidFill>
                <a:schemeClr val="accent3"/>
              </a:solidFill>
              <a:ln>
                <a:noFill/>
              </a:ln>
              <a:effectLst/>
            </c:spPr>
            <c:extLst>
              <c:ext xmlns:c16="http://schemas.microsoft.com/office/drawing/2014/chart" uri="{C3380CC4-5D6E-409C-BE32-E72D297353CC}">
                <c16:uniqueId val="{00000015-E1E8-4704-BA62-B447F1C53C55}"/>
              </c:ext>
            </c:extLst>
          </c:dPt>
          <c:dPt>
            <c:idx val="9"/>
            <c:invertIfNegative val="0"/>
            <c:bubble3D val="0"/>
            <c:spPr>
              <a:solidFill>
                <a:schemeClr val="accent3"/>
              </a:solidFill>
              <a:ln>
                <a:noFill/>
              </a:ln>
              <a:effectLst/>
            </c:spPr>
            <c:extLst>
              <c:ext xmlns:c16="http://schemas.microsoft.com/office/drawing/2014/chart" uri="{C3380CC4-5D6E-409C-BE32-E72D297353CC}">
                <c16:uniqueId val="{00000016-E1E8-4704-BA62-B447F1C53C55}"/>
              </c:ext>
            </c:extLst>
          </c:dPt>
          <c:dPt>
            <c:idx val="11"/>
            <c:invertIfNegative val="0"/>
            <c:bubble3D val="0"/>
            <c:spPr>
              <a:solidFill>
                <a:schemeClr val="accent3"/>
              </a:solidFill>
              <a:ln>
                <a:noFill/>
              </a:ln>
              <a:effectLst/>
            </c:spPr>
            <c:extLst>
              <c:ext xmlns:c16="http://schemas.microsoft.com/office/drawing/2014/chart" uri="{C3380CC4-5D6E-409C-BE32-E72D297353CC}">
                <c16:uniqueId val="{00000017-E1E8-4704-BA62-B447F1C53C55}"/>
              </c:ext>
            </c:extLst>
          </c:dPt>
          <c:cat>
            <c:multiLvlStrRef>
              <c:f>算定結果!$D$103:$O$104</c:f>
              <c:multiLvlStrCache>
                <c:ptCount val="12"/>
                <c:lvl>
                  <c:pt idx="0">
                    <c:v>CO2排出量</c:v>
                  </c:pt>
                  <c:pt idx="1">
                    <c:v>コスト</c:v>
                  </c:pt>
                  <c:pt idx="2">
                    <c:v>CO2排出量</c:v>
                  </c:pt>
                  <c:pt idx="3">
                    <c:v>コスト</c:v>
                  </c:pt>
                  <c:pt idx="4">
                    <c:v>CO2排出量</c:v>
                  </c:pt>
                  <c:pt idx="5">
                    <c:v>コスト</c:v>
                  </c:pt>
                  <c:pt idx="6">
                    <c:v>CO2排出量</c:v>
                  </c:pt>
                  <c:pt idx="7">
                    <c:v>コスト</c:v>
                  </c:pt>
                  <c:pt idx="8">
                    <c:v>CO2排出量</c:v>
                  </c:pt>
                  <c:pt idx="9">
                    <c:v>コスト</c:v>
                  </c:pt>
                  <c:pt idx="10">
                    <c:v>CO2排出量</c:v>
                  </c:pt>
                  <c:pt idx="11">
                    <c:v>コスト</c:v>
                  </c:pt>
                </c:lvl>
                <c:lvl>
                  <c:pt idx="0">
                    <c:v>現行1</c:v>
                  </c:pt>
                  <c:pt idx="2">
                    <c:v>現行2</c:v>
                  </c:pt>
                  <c:pt idx="4">
                    <c:v>現行3</c:v>
                  </c:pt>
                  <c:pt idx="6">
                    <c:v>移行後1</c:v>
                  </c:pt>
                  <c:pt idx="8">
                    <c:v>移行後2</c:v>
                  </c:pt>
                  <c:pt idx="10">
                    <c:v>移行後3</c:v>
                  </c:pt>
                </c:lvl>
              </c:multiLvlStrCache>
            </c:multiLvlStrRef>
          </c:cat>
          <c:val>
            <c:numRef>
              <c:f>算定結果!$D$116:$O$116</c:f>
              <c:numCache>
                <c:formatCode>#,##0_ ;[Red]\-#,##0\ </c:formatCode>
                <c:ptCount val="12"/>
                <c:pt idx="1">
                  <c:v>0</c:v>
                </c:pt>
                <c:pt idx="3">
                  <c:v>0</c:v>
                </c:pt>
                <c:pt idx="5">
                  <c:v>0</c:v>
                </c:pt>
                <c:pt idx="7">
                  <c:v>0</c:v>
                </c:pt>
                <c:pt idx="9">
                  <c:v>0</c:v>
                </c:pt>
                <c:pt idx="11">
                  <c:v>0</c:v>
                </c:pt>
              </c:numCache>
            </c:numRef>
          </c:val>
          <c:extLst>
            <c:ext xmlns:c16="http://schemas.microsoft.com/office/drawing/2014/chart" uri="{C3380CC4-5D6E-409C-BE32-E72D297353CC}">
              <c16:uniqueId val="{0000000B-E1E8-4704-BA62-B447F1C53C55}"/>
            </c:ext>
          </c:extLst>
        </c:ser>
        <c:ser>
          <c:idx val="12"/>
          <c:order val="12"/>
          <c:tx>
            <c:strRef>
              <c:f>算定結果!$B$117:$C$117</c:f>
              <c:strCache>
                <c:ptCount val="2"/>
                <c:pt idx="1">
                  <c:v>再生処理</c:v>
                </c:pt>
              </c:strCache>
            </c:strRef>
          </c:tx>
          <c:spPr>
            <a:solidFill>
              <a:schemeClr val="accent3"/>
            </a:solidFill>
            <a:ln>
              <a:noFill/>
            </a:ln>
            <a:effectLst/>
          </c:spPr>
          <c:invertIfNegative val="0"/>
          <c:cat>
            <c:multiLvlStrRef>
              <c:f>算定結果!$D$103:$O$104</c:f>
              <c:multiLvlStrCache>
                <c:ptCount val="12"/>
                <c:lvl>
                  <c:pt idx="0">
                    <c:v>CO2排出量</c:v>
                  </c:pt>
                  <c:pt idx="1">
                    <c:v>コスト</c:v>
                  </c:pt>
                  <c:pt idx="2">
                    <c:v>CO2排出量</c:v>
                  </c:pt>
                  <c:pt idx="3">
                    <c:v>コスト</c:v>
                  </c:pt>
                  <c:pt idx="4">
                    <c:v>CO2排出量</c:v>
                  </c:pt>
                  <c:pt idx="5">
                    <c:v>コスト</c:v>
                  </c:pt>
                  <c:pt idx="6">
                    <c:v>CO2排出量</c:v>
                  </c:pt>
                  <c:pt idx="7">
                    <c:v>コスト</c:v>
                  </c:pt>
                  <c:pt idx="8">
                    <c:v>CO2排出量</c:v>
                  </c:pt>
                  <c:pt idx="9">
                    <c:v>コスト</c:v>
                  </c:pt>
                  <c:pt idx="10">
                    <c:v>CO2排出量</c:v>
                  </c:pt>
                  <c:pt idx="11">
                    <c:v>コスト</c:v>
                  </c:pt>
                </c:lvl>
                <c:lvl>
                  <c:pt idx="0">
                    <c:v>現行1</c:v>
                  </c:pt>
                  <c:pt idx="2">
                    <c:v>現行2</c:v>
                  </c:pt>
                  <c:pt idx="4">
                    <c:v>現行3</c:v>
                  </c:pt>
                  <c:pt idx="6">
                    <c:v>移行後1</c:v>
                  </c:pt>
                  <c:pt idx="8">
                    <c:v>移行後2</c:v>
                  </c:pt>
                  <c:pt idx="10">
                    <c:v>移行後3</c:v>
                  </c:pt>
                </c:lvl>
              </c:multiLvlStrCache>
            </c:multiLvlStrRef>
          </c:cat>
          <c:val>
            <c:numRef>
              <c:f>算定結果!$D$117:$O$117</c:f>
              <c:numCache>
                <c:formatCode>#,##0_ ;[Red]\-#,##0\ </c:formatCode>
                <c:ptCount val="12"/>
                <c:pt idx="1">
                  <c:v>0</c:v>
                </c:pt>
                <c:pt idx="3">
                  <c:v>0</c:v>
                </c:pt>
                <c:pt idx="5">
                  <c:v>0</c:v>
                </c:pt>
                <c:pt idx="7">
                  <c:v>0</c:v>
                </c:pt>
                <c:pt idx="9">
                  <c:v>0</c:v>
                </c:pt>
                <c:pt idx="11">
                  <c:v>0</c:v>
                </c:pt>
              </c:numCache>
            </c:numRef>
          </c:val>
          <c:extLst>
            <c:ext xmlns:c16="http://schemas.microsoft.com/office/drawing/2014/chart" uri="{C3380CC4-5D6E-409C-BE32-E72D297353CC}">
              <c16:uniqueId val="{0000000C-E1E8-4704-BA62-B447F1C53C55}"/>
            </c:ext>
          </c:extLst>
        </c:ser>
        <c:ser>
          <c:idx val="13"/>
          <c:order val="13"/>
          <c:tx>
            <c:strRef>
              <c:f>算定結果!$B$118:$C$118</c:f>
              <c:strCache>
                <c:ptCount val="2"/>
                <c:pt idx="1">
                  <c:v>輸送2</c:v>
                </c:pt>
              </c:strCache>
            </c:strRef>
          </c:tx>
          <c:spPr>
            <a:solidFill>
              <a:schemeClr val="accent5"/>
            </a:solidFill>
            <a:ln>
              <a:noFill/>
            </a:ln>
            <a:effectLst/>
          </c:spPr>
          <c:invertIfNegative val="0"/>
          <c:cat>
            <c:multiLvlStrRef>
              <c:f>算定結果!$D$103:$O$104</c:f>
              <c:multiLvlStrCache>
                <c:ptCount val="12"/>
                <c:lvl>
                  <c:pt idx="0">
                    <c:v>CO2排出量</c:v>
                  </c:pt>
                  <c:pt idx="1">
                    <c:v>コスト</c:v>
                  </c:pt>
                  <c:pt idx="2">
                    <c:v>CO2排出量</c:v>
                  </c:pt>
                  <c:pt idx="3">
                    <c:v>コスト</c:v>
                  </c:pt>
                  <c:pt idx="4">
                    <c:v>CO2排出量</c:v>
                  </c:pt>
                  <c:pt idx="5">
                    <c:v>コスト</c:v>
                  </c:pt>
                  <c:pt idx="6">
                    <c:v>CO2排出量</c:v>
                  </c:pt>
                  <c:pt idx="7">
                    <c:v>コスト</c:v>
                  </c:pt>
                  <c:pt idx="8">
                    <c:v>CO2排出量</c:v>
                  </c:pt>
                  <c:pt idx="9">
                    <c:v>コスト</c:v>
                  </c:pt>
                  <c:pt idx="10">
                    <c:v>CO2排出量</c:v>
                  </c:pt>
                  <c:pt idx="11">
                    <c:v>コスト</c:v>
                  </c:pt>
                </c:lvl>
                <c:lvl>
                  <c:pt idx="0">
                    <c:v>現行1</c:v>
                  </c:pt>
                  <c:pt idx="2">
                    <c:v>現行2</c:v>
                  </c:pt>
                  <c:pt idx="4">
                    <c:v>現行3</c:v>
                  </c:pt>
                  <c:pt idx="6">
                    <c:v>移行後1</c:v>
                  </c:pt>
                  <c:pt idx="8">
                    <c:v>移行後2</c:v>
                  </c:pt>
                  <c:pt idx="10">
                    <c:v>移行後3</c:v>
                  </c:pt>
                </c:lvl>
              </c:multiLvlStrCache>
            </c:multiLvlStrRef>
          </c:cat>
          <c:val>
            <c:numRef>
              <c:f>算定結果!$D$118:$O$118</c:f>
              <c:numCache>
                <c:formatCode>#,##0_ ;[Red]\-#,##0\ </c:formatCode>
                <c:ptCount val="12"/>
                <c:pt idx="1">
                  <c:v>0</c:v>
                </c:pt>
                <c:pt idx="3">
                  <c:v>0</c:v>
                </c:pt>
                <c:pt idx="5">
                  <c:v>0</c:v>
                </c:pt>
                <c:pt idx="7">
                  <c:v>0</c:v>
                </c:pt>
                <c:pt idx="9">
                  <c:v>0</c:v>
                </c:pt>
                <c:pt idx="11">
                  <c:v>0</c:v>
                </c:pt>
              </c:numCache>
            </c:numRef>
          </c:val>
          <c:extLst>
            <c:ext xmlns:c16="http://schemas.microsoft.com/office/drawing/2014/chart" uri="{C3380CC4-5D6E-409C-BE32-E72D297353CC}">
              <c16:uniqueId val="{0000000D-E1E8-4704-BA62-B447F1C53C55}"/>
            </c:ext>
          </c:extLst>
        </c:ser>
        <c:ser>
          <c:idx val="14"/>
          <c:order val="14"/>
          <c:tx>
            <c:strRef>
              <c:f>算定結果!$B$119:$C$119</c:f>
              <c:strCache>
                <c:ptCount val="2"/>
                <c:pt idx="1">
                  <c:v>焼却</c:v>
                </c:pt>
              </c:strCache>
            </c:strRef>
          </c:tx>
          <c:spPr>
            <a:solidFill>
              <a:schemeClr val="accent6"/>
            </a:solidFill>
            <a:ln>
              <a:noFill/>
            </a:ln>
            <a:effectLst/>
          </c:spPr>
          <c:invertIfNegative val="0"/>
          <c:cat>
            <c:multiLvlStrRef>
              <c:f>算定結果!$D$103:$O$104</c:f>
              <c:multiLvlStrCache>
                <c:ptCount val="12"/>
                <c:lvl>
                  <c:pt idx="0">
                    <c:v>CO2排出量</c:v>
                  </c:pt>
                  <c:pt idx="1">
                    <c:v>コスト</c:v>
                  </c:pt>
                  <c:pt idx="2">
                    <c:v>CO2排出量</c:v>
                  </c:pt>
                  <c:pt idx="3">
                    <c:v>コスト</c:v>
                  </c:pt>
                  <c:pt idx="4">
                    <c:v>CO2排出量</c:v>
                  </c:pt>
                  <c:pt idx="5">
                    <c:v>コスト</c:v>
                  </c:pt>
                  <c:pt idx="6">
                    <c:v>CO2排出量</c:v>
                  </c:pt>
                  <c:pt idx="7">
                    <c:v>コスト</c:v>
                  </c:pt>
                  <c:pt idx="8">
                    <c:v>CO2排出量</c:v>
                  </c:pt>
                  <c:pt idx="9">
                    <c:v>コスト</c:v>
                  </c:pt>
                  <c:pt idx="10">
                    <c:v>CO2排出量</c:v>
                  </c:pt>
                  <c:pt idx="11">
                    <c:v>コスト</c:v>
                  </c:pt>
                </c:lvl>
                <c:lvl>
                  <c:pt idx="0">
                    <c:v>現行1</c:v>
                  </c:pt>
                  <c:pt idx="2">
                    <c:v>現行2</c:v>
                  </c:pt>
                  <c:pt idx="4">
                    <c:v>現行3</c:v>
                  </c:pt>
                  <c:pt idx="6">
                    <c:v>移行後1</c:v>
                  </c:pt>
                  <c:pt idx="8">
                    <c:v>移行後2</c:v>
                  </c:pt>
                  <c:pt idx="10">
                    <c:v>移行後3</c:v>
                  </c:pt>
                </c:lvl>
              </c:multiLvlStrCache>
            </c:multiLvlStrRef>
          </c:cat>
          <c:val>
            <c:numRef>
              <c:f>算定結果!$D$119:$O$119</c:f>
              <c:numCache>
                <c:formatCode>#,##0_ ;[Red]\-#,##0\ </c:formatCode>
                <c:ptCount val="12"/>
                <c:pt idx="1">
                  <c:v>0</c:v>
                </c:pt>
                <c:pt idx="3">
                  <c:v>0</c:v>
                </c:pt>
                <c:pt idx="5">
                  <c:v>0</c:v>
                </c:pt>
                <c:pt idx="7">
                  <c:v>0</c:v>
                </c:pt>
                <c:pt idx="9">
                  <c:v>0</c:v>
                </c:pt>
                <c:pt idx="11">
                  <c:v>0</c:v>
                </c:pt>
              </c:numCache>
            </c:numRef>
          </c:val>
          <c:extLst>
            <c:ext xmlns:c16="http://schemas.microsoft.com/office/drawing/2014/chart" uri="{C3380CC4-5D6E-409C-BE32-E72D297353CC}">
              <c16:uniqueId val="{0000000E-E1E8-4704-BA62-B447F1C53C55}"/>
            </c:ext>
          </c:extLst>
        </c:ser>
        <c:ser>
          <c:idx val="15"/>
          <c:order val="15"/>
          <c:tx>
            <c:strRef>
              <c:f>算定結果!$B$120:$C$120</c:f>
              <c:strCache>
                <c:ptCount val="2"/>
                <c:pt idx="1">
                  <c:v>輸送3</c:v>
                </c:pt>
              </c:strCache>
            </c:strRef>
          </c:tx>
          <c:spPr>
            <a:solidFill>
              <a:schemeClr val="accent1">
                <a:lumMod val="75000"/>
              </a:schemeClr>
            </a:solidFill>
            <a:ln>
              <a:noFill/>
            </a:ln>
            <a:effectLst/>
          </c:spPr>
          <c:invertIfNegative val="0"/>
          <c:cat>
            <c:multiLvlStrRef>
              <c:f>算定結果!$D$103:$O$104</c:f>
              <c:multiLvlStrCache>
                <c:ptCount val="12"/>
                <c:lvl>
                  <c:pt idx="0">
                    <c:v>CO2排出量</c:v>
                  </c:pt>
                  <c:pt idx="1">
                    <c:v>コスト</c:v>
                  </c:pt>
                  <c:pt idx="2">
                    <c:v>CO2排出量</c:v>
                  </c:pt>
                  <c:pt idx="3">
                    <c:v>コスト</c:v>
                  </c:pt>
                  <c:pt idx="4">
                    <c:v>CO2排出量</c:v>
                  </c:pt>
                  <c:pt idx="5">
                    <c:v>コスト</c:v>
                  </c:pt>
                  <c:pt idx="6">
                    <c:v>CO2排出量</c:v>
                  </c:pt>
                  <c:pt idx="7">
                    <c:v>コスト</c:v>
                  </c:pt>
                  <c:pt idx="8">
                    <c:v>CO2排出量</c:v>
                  </c:pt>
                  <c:pt idx="9">
                    <c:v>コスト</c:v>
                  </c:pt>
                  <c:pt idx="10">
                    <c:v>CO2排出量</c:v>
                  </c:pt>
                  <c:pt idx="11">
                    <c:v>コスト</c:v>
                  </c:pt>
                </c:lvl>
                <c:lvl>
                  <c:pt idx="0">
                    <c:v>現行1</c:v>
                  </c:pt>
                  <c:pt idx="2">
                    <c:v>現行2</c:v>
                  </c:pt>
                  <c:pt idx="4">
                    <c:v>現行3</c:v>
                  </c:pt>
                  <c:pt idx="6">
                    <c:v>移行後1</c:v>
                  </c:pt>
                  <c:pt idx="8">
                    <c:v>移行後2</c:v>
                  </c:pt>
                  <c:pt idx="10">
                    <c:v>移行後3</c:v>
                  </c:pt>
                </c:lvl>
              </c:multiLvlStrCache>
            </c:multiLvlStrRef>
          </c:cat>
          <c:val>
            <c:numRef>
              <c:f>算定結果!$D$120:$O$120</c:f>
              <c:numCache>
                <c:formatCode>#,##0_ ;[Red]\-#,##0\ </c:formatCode>
                <c:ptCount val="12"/>
                <c:pt idx="1">
                  <c:v>0</c:v>
                </c:pt>
                <c:pt idx="3">
                  <c:v>0</c:v>
                </c:pt>
                <c:pt idx="5">
                  <c:v>0</c:v>
                </c:pt>
                <c:pt idx="7">
                  <c:v>0</c:v>
                </c:pt>
                <c:pt idx="9">
                  <c:v>0</c:v>
                </c:pt>
                <c:pt idx="11">
                  <c:v>0</c:v>
                </c:pt>
              </c:numCache>
            </c:numRef>
          </c:val>
          <c:extLst>
            <c:ext xmlns:c16="http://schemas.microsoft.com/office/drawing/2014/chart" uri="{C3380CC4-5D6E-409C-BE32-E72D297353CC}">
              <c16:uniqueId val="{0000000F-E1E8-4704-BA62-B447F1C53C55}"/>
            </c:ext>
          </c:extLst>
        </c:ser>
        <c:ser>
          <c:idx val="16"/>
          <c:order val="16"/>
          <c:tx>
            <c:strRef>
              <c:f>算定結果!$B$121:$C$121</c:f>
              <c:strCache>
                <c:ptCount val="2"/>
                <c:pt idx="1">
                  <c:v>埋立</c:v>
                </c:pt>
              </c:strCache>
            </c:strRef>
          </c:tx>
          <c:spPr>
            <a:solidFill>
              <a:schemeClr val="accent1">
                <a:lumMod val="50000"/>
              </a:schemeClr>
            </a:solidFill>
            <a:ln>
              <a:noFill/>
            </a:ln>
            <a:effectLst/>
          </c:spPr>
          <c:invertIfNegative val="0"/>
          <c:cat>
            <c:multiLvlStrRef>
              <c:f>算定結果!$D$103:$O$104</c:f>
              <c:multiLvlStrCache>
                <c:ptCount val="12"/>
                <c:lvl>
                  <c:pt idx="0">
                    <c:v>CO2排出量</c:v>
                  </c:pt>
                  <c:pt idx="1">
                    <c:v>コスト</c:v>
                  </c:pt>
                  <c:pt idx="2">
                    <c:v>CO2排出量</c:v>
                  </c:pt>
                  <c:pt idx="3">
                    <c:v>コスト</c:v>
                  </c:pt>
                  <c:pt idx="4">
                    <c:v>CO2排出量</c:v>
                  </c:pt>
                  <c:pt idx="5">
                    <c:v>コスト</c:v>
                  </c:pt>
                  <c:pt idx="6">
                    <c:v>CO2排出量</c:v>
                  </c:pt>
                  <c:pt idx="7">
                    <c:v>コスト</c:v>
                  </c:pt>
                  <c:pt idx="8">
                    <c:v>CO2排出量</c:v>
                  </c:pt>
                  <c:pt idx="9">
                    <c:v>コスト</c:v>
                  </c:pt>
                  <c:pt idx="10">
                    <c:v>CO2排出量</c:v>
                  </c:pt>
                  <c:pt idx="11">
                    <c:v>コスト</c:v>
                  </c:pt>
                </c:lvl>
                <c:lvl>
                  <c:pt idx="0">
                    <c:v>現行1</c:v>
                  </c:pt>
                  <c:pt idx="2">
                    <c:v>現行2</c:v>
                  </c:pt>
                  <c:pt idx="4">
                    <c:v>現行3</c:v>
                  </c:pt>
                  <c:pt idx="6">
                    <c:v>移行後1</c:v>
                  </c:pt>
                  <c:pt idx="8">
                    <c:v>移行後2</c:v>
                  </c:pt>
                  <c:pt idx="10">
                    <c:v>移行後3</c:v>
                  </c:pt>
                </c:lvl>
              </c:multiLvlStrCache>
            </c:multiLvlStrRef>
          </c:cat>
          <c:val>
            <c:numRef>
              <c:f>算定結果!$D$121:$O$121</c:f>
              <c:numCache>
                <c:formatCode>#,##0_ ;[Red]\-#,##0\ </c:formatCode>
                <c:ptCount val="12"/>
                <c:pt idx="1">
                  <c:v>0</c:v>
                </c:pt>
                <c:pt idx="3">
                  <c:v>0</c:v>
                </c:pt>
                <c:pt idx="5">
                  <c:v>0</c:v>
                </c:pt>
                <c:pt idx="7">
                  <c:v>0</c:v>
                </c:pt>
                <c:pt idx="9">
                  <c:v>0</c:v>
                </c:pt>
                <c:pt idx="11">
                  <c:v>0</c:v>
                </c:pt>
              </c:numCache>
            </c:numRef>
          </c:val>
          <c:extLst>
            <c:ext xmlns:c16="http://schemas.microsoft.com/office/drawing/2014/chart" uri="{C3380CC4-5D6E-409C-BE32-E72D297353CC}">
              <c16:uniqueId val="{00000010-E1E8-4704-BA62-B447F1C53C55}"/>
            </c:ext>
          </c:extLst>
        </c:ser>
        <c:dLbls>
          <c:showLegendKey val="0"/>
          <c:showVal val="0"/>
          <c:showCatName val="0"/>
          <c:showSerName val="0"/>
          <c:showPercent val="0"/>
          <c:showBubbleSize val="0"/>
        </c:dLbls>
        <c:gapWidth val="150"/>
        <c:overlap val="100"/>
        <c:axId val="475489920"/>
        <c:axId val="228861488"/>
      </c:barChart>
      <c:lineChart>
        <c:grouping val="standard"/>
        <c:varyColors val="0"/>
        <c:ser>
          <c:idx val="8"/>
          <c:order val="8"/>
          <c:tx>
            <c:strRef>
              <c:f>算定結果!$B$113:$C$113</c:f>
              <c:strCache>
                <c:ptCount val="2"/>
                <c:pt idx="1">
                  <c:v>合計</c:v>
                </c:pt>
              </c:strCache>
            </c:strRef>
          </c:tx>
          <c:spPr>
            <a:ln w="28575" cap="rnd">
              <a:solidFill>
                <a:schemeClr val="tx1"/>
              </a:solidFill>
              <a:round/>
            </a:ln>
            <a:effectLst/>
          </c:spPr>
          <c:marker>
            <c:symbol val="circle"/>
            <c:size val="5"/>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算定結果!$D$103:$O$104</c:f>
              <c:multiLvlStrCache>
                <c:ptCount val="12"/>
                <c:lvl>
                  <c:pt idx="0">
                    <c:v>CO2排出量</c:v>
                  </c:pt>
                  <c:pt idx="1">
                    <c:v>コスト</c:v>
                  </c:pt>
                  <c:pt idx="2">
                    <c:v>CO2排出量</c:v>
                  </c:pt>
                  <c:pt idx="3">
                    <c:v>コスト</c:v>
                  </c:pt>
                  <c:pt idx="4">
                    <c:v>CO2排出量</c:v>
                  </c:pt>
                  <c:pt idx="5">
                    <c:v>コスト</c:v>
                  </c:pt>
                  <c:pt idx="6">
                    <c:v>CO2排出量</c:v>
                  </c:pt>
                  <c:pt idx="7">
                    <c:v>コスト</c:v>
                  </c:pt>
                  <c:pt idx="8">
                    <c:v>CO2排出量</c:v>
                  </c:pt>
                  <c:pt idx="9">
                    <c:v>コスト</c:v>
                  </c:pt>
                  <c:pt idx="10">
                    <c:v>CO2排出量</c:v>
                  </c:pt>
                  <c:pt idx="11">
                    <c:v>コスト</c:v>
                  </c:pt>
                </c:lvl>
                <c:lvl>
                  <c:pt idx="0">
                    <c:v>現行1</c:v>
                  </c:pt>
                  <c:pt idx="2">
                    <c:v>現行2</c:v>
                  </c:pt>
                  <c:pt idx="4">
                    <c:v>現行3</c:v>
                  </c:pt>
                  <c:pt idx="6">
                    <c:v>移行後1</c:v>
                  </c:pt>
                  <c:pt idx="8">
                    <c:v>移行後2</c:v>
                  </c:pt>
                  <c:pt idx="10">
                    <c:v>移行後3</c:v>
                  </c:pt>
                </c:lvl>
              </c:multiLvlStrCache>
            </c:multiLvlStrRef>
          </c:cat>
          <c:val>
            <c:numRef>
              <c:f>算定結果!$D$113:$O$113</c:f>
              <c:numCache>
                <c:formatCode>#,##0_ ;[Red]\-#,##0\ </c:formatCode>
                <c:ptCount val="12"/>
                <c:pt idx="0">
                  <c:v>0</c:v>
                </c:pt>
                <c:pt idx="2">
                  <c:v>0</c:v>
                </c:pt>
                <c:pt idx="4">
                  <c:v>0</c:v>
                </c:pt>
                <c:pt idx="6">
                  <c:v>0</c:v>
                </c:pt>
                <c:pt idx="8">
                  <c:v>0</c:v>
                </c:pt>
                <c:pt idx="10">
                  <c:v>0</c:v>
                </c:pt>
              </c:numCache>
            </c:numRef>
          </c:val>
          <c:smooth val="0"/>
          <c:extLst>
            <c:ext xmlns:c16="http://schemas.microsoft.com/office/drawing/2014/chart" uri="{C3380CC4-5D6E-409C-BE32-E72D297353CC}">
              <c16:uniqueId val="{00000008-E1E8-4704-BA62-B447F1C53C55}"/>
            </c:ext>
          </c:extLst>
        </c:ser>
        <c:dLbls>
          <c:showLegendKey val="0"/>
          <c:showVal val="0"/>
          <c:showCatName val="0"/>
          <c:showSerName val="0"/>
          <c:showPercent val="0"/>
          <c:showBubbleSize val="0"/>
        </c:dLbls>
        <c:marker val="1"/>
        <c:smooth val="0"/>
        <c:axId val="440441264"/>
        <c:axId val="298575792"/>
      </c:lineChart>
      <c:lineChart>
        <c:grouping val="standard"/>
        <c:varyColors val="0"/>
        <c:ser>
          <c:idx val="17"/>
          <c:order val="17"/>
          <c:tx>
            <c:strRef>
              <c:f>算定結果!$B$122:$C$122</c:f>
              <c:strCache>
                <c:ptCount val="2"/>
                <c:pt idx="1">
                  <c:v>合計</c:v>
                </c:pt>
              </c:strCache>
            </c:strRef>
          </c:tx>
          <c:spPr>
            <a:ln w="28575" cap="rnd">
              <a:noFill/>
              <a:round/>
            </a:ln>
            <a:effectLst/>
          </c:spPr>
          <c:marker>
            <c:symbol val="circle"/>
            <c:size val="5"/>
            <c:spPr>
              <a:solidFill>
                <a:schemeClr val="tx1"/>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算定結果!$D$103:$O$104</c:f>
              <c:multiLvlStrCache>
                <c:ptCount val="12"/>
                <c:lvl>
                  <c:pt idx="0">
                    <c:v>CO2排出量</c:v>
                  </c:pt>
                  <c:pt idx="1">
                    <c:v>コスト</c:v>
                  </c:pt>
                  <c:pt idx="2">
                    <c:v>CO2排出量</c:v>
                  </c:pt>
                  <c:pt idx="3">
                    <c:v>コスト</c:v>
                  </c:pt>
                  <c:pt idx="4">
                    <c:v>CO2排出量</c:v>
                  </c:pt>
                  <c:pt idx="5">
                    <c:v>コスト</c:v>
                  </c:pt>
                  <c:pt idx="6">
                    <c:v>CO2排出量</c:v>
                  </c:pt>
                  <c:pt idx="7">
                    <c:v>コスト</c:v>
                  </c:pt>
                  <c:pt idx="8">
                    <c:v>CO2排出量</c:v>
                  </c:pt>
                  <c:pt idx="9">
                    <c:v>コスト</c:v>
                  </c:pt>
                  <c:pt idx="10">
                    <c:v>CO2排出量</c:v>
                  </c:pt>
                  <c:pt idx="11">
                    <c:v>コスト</c:v>
                  </c:pt>
                </c:lvl>
                <c:lvl>
                  <c:pt idx="0">
                    <c:v>現行1</c:v>
                  </c:pt>
                  <c:pt idx="2">
                    <c:v>現行2</c:v>
                  </c:pt>
                  <c:pt idx="4">
                    <c:v>現行3</c:v>
                  </c:pt>
                  <c:pt idx="6">
                    <c:v>移行後1</c:v>
                  </c:pt>
                  <c:pt idx="8">
                    <c:v>移行後2</c:v>
                  </c:pt>
                  <c:pt idx="10">
                    <c:v>移行後3</c:v>
                  </c:pt>
                </c:lvl>
              </c:multiLvlStrCache>
            </c:multiLvlStrRef>
          </c:cat>
          <c:val>
            <c:numRef>
              <c:f>算定結果!$D$122:$O$122</c:f>
              <c:numCache>
                <c:formatCode>#,##0_ ;[Red]\-#,##0\ </c:formatCode>
                <c:ptCount val="12"/>
                <c:pt idx="1">
                  <c:v>0</c:v>
                </c:pt>
                <c:pt idx="3">
                  <c:v>0</c:v>
                </c:pt>
                <c:pt idx="5">
                  <c:v>0</c:v>
                </c:pt>
                <c:pt idx="7">
                  <c:v>0</c:v>
                </c:pt>
                <c:pt idx="9">
                  <c:v>0</c:v>
                </c:pt>
                <c:pt idx="11">
                  <c:v>0</c:v>
                </c:pt>
              </c:numCache>
            </c:numRef>
          </c:val>
          <c:smooth val="0"/>
          <c:extLst>
            <c:ext xmlns:c16="http://schemas.microsoft.com/office/drawing/2014/chart" uri="{C3380CC4-5D6E-409C-BE32-E72D297353CC}">
              <c16:uniqueId val="{00000011-E1E8-4704-BA62-B447F1C53C55}"/>
            </c:ext>
          </c:extLst>
        </c:ser>
        <c:dLbls>
          <c:showLegendKey val="0"/>
          <c:showVal val="0"/>
          <c:showCatName val="0"/>
          <c:showSerName val="0"/>
          <c:showPercent val="0"/>
          <c:showBubbleSize val="0"/>
        </c:dLbls>
        <c:marker val="1"/>
        <c:smooth val="0"/>
        <c:axId val="475489920"/>
        <c:axId val="228861488"/>
      </c:lineChart>
      <c:catAx>
        <c:axId val="440441264"/>
        <c:scaling>
          <c:orientation val="minMax"/>
        </c:scaling>
        <c:delete val="0"/>
        <c:axPos val="b"/>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ja-JP"/>
          </a:p>
        </c:txPr>
        <c:crossAx val="298575792"/>
        <c:crosses val="autoZero"/>
        <c:auto val="1"/>
        <c:lblAlgn val="ctr"/>
        <c:lblOffset val="100"/>
        <c:noMultiLvlLbl val="0"/>
      </c:catAx>
      <c:valAx>
        <c:axId val="298575792"/>
        <c:scaling>
          <c:orientation val="minMax"/>
          <c:max val="50000"/>
        </c:scaling>
        <c:delete val="0"/>
        <c:axPos val="l"/>
        <c:majorGridlines>
          <c:spPr>
            <a:ln w="9525" cap="flat" cmpd="sng" algn="ctr">
              <a:solidFill>
                <a:schemeClr val="tx1">
                  <a:lumMod val="15000"/>
                  <a:lumOff val="85000"/>
                </a:schemeClr>
              </a:solidFill>
              <a:round/>
            </a:ln>
            <a:effectLst/>
          </c:spPr>
        </c:majorGridlines>
        <c:numFmt formatCode="#,##0_ ;[Red]\-#,##0\ "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ja-JP"/>
          </a:p>
        </c:txPr>
        <c:crossAx val="440441264"/>
        <c:crosses val="autoZero"/>
        <c:crossBetween val="between"/>
      </c:valAx>
      <c:valAx>
        <c:axId val="228861488"/>
        <c:scaling>
          <c:orientation val="minMax"/>
          <c:max val="3000000"/>
          <c:min val="-500000"/>
        </c:scaling>
        <c:delete val="0"/>
        <c:axPos val="r"/>
        <c:numFmt formatCode="#,##0_ ;[Red]\-#,##0\ "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ja-JP"/>
          </a:p>
        </c:txPr>
        <c:crossAx val="475489920"/>
        <c:crosses val="max"/>
        <c:crossBetween val="between"/>
      </c:valAx>
      <c:catAx>
        <c:axId val="475489920"/>
        <c:scaling>
          <c:orientation val="minMax"/>
        </c:scaling>
        <c:delete val="1"/>
        <c:axPos val="b"/>
        <c:numFmt formatCode="General" sourceLinked="1"/>
        <c:majorTickMark val="out"/>
        <c:minorTickMark val="none"/>
        <c:tickLblPos val="nextTo"/>
        <c:crossAx val="228861488"/>
        <c:crosses val="autoZero"/>
        <c:auto val="1"/>
        <c:lblAlgn val="ctr"/>
        <c:lblOffset val="100"/>
        <c:noMultiLvlLbl val="0"/>
      </c:catAx>
      <c:spPr>
        <a:noFill/>
        <a:ln>
          <a:solidFill>
            <a:schemeClr val="tx1"/>
          </a:solidFill>
        </a:ln>
        <a:effectLst/>
      </c:spPr>
    </c:plotArea>
    <c:legend>
      <c:legendPos val="b"/>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7"/>
        <c:delete val="1"/>
      </c:legendEntry>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arget="../media/image1.jpeg" Type="http://schemas.openxmlformats.org/officeDocument/2006/relationships/image"/></Relationships>
</file>

<file path=xl/drawings/_rels/drawing2.xml.rels><?xml version="1.0" encoding="UTF-8" standalone="yes"?><Relationships xmlns="http://schemas.openxmlformats.org/package/2006/relationships"><Relationship Id="rId1" Target="../media/image2.png" Type="http://schemas.openxmlformats.org/officeDocument/2006/relationships/image"/><Relationship Id="rId2" Target="../media/image3.png" Type="http://schemas.openxmlformats.org/officeDocument/2006/relationships/image"/><Relationship Id="rId3" Target="../media/image4.png" Type="http://schemas.openxmlformats.org/officeDocument/2006/relationships/image"/><Relationship Id="rId4" Target="../media/image5.png" Type="http://schemas.openxmlformats.org/officeDocument/2006/relationships/image"/></Relationships>
</file>

<file path=xl/drawings/_rels/drawing3.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editAs="oneCell">
    <xdr:from>
      <xdr:col>2</xdr:col>
      <xdr:colOff>171449</xdr:colOff>
      <xdr:row>13</xdr:row>
      <xdr:rowOff>76200</xdr:rowOff>
    </xdr:from>
    <xdr:to>
      <xdr:col>22</xdr:col>
      <xdr:colOff>284210</xdr:colOff>
      <xdr:row>36</xdr:row>
      <xdr:rowOff>133350</xdr:rowOff>
    </xdr:to>
    <xdr:pic>
      <xdr:nvPicPr>
        <xdr:cNvPr id="2" name="図 1">
          <a:extLst>
            <a:ext uri="{FF2B5EF4-FFF2-40B4-BE49-F238E27FC236}">
              <a16:creationId xmlns:a16="http://schemas.microsoft.com/office/drawing/2014/main" id="{E3CD5FB3-664C-C232-BBD6-3890BEE1617E}"/>
            </a:ext>
          </a:extLst>
        </xdr:cNvPr>
        <xdr:cNvPicPr>
          <a:picLocks noChangeAspect="1"/>
        </xdr:cNvPicPr>
      </xdr:nvPicPr>
      <xdr:blipFill>
        <a:blip xmlns:r="http://schemas.openxmlformats.org/officeDocument/2006/relationships" r:embed="rId1"/>
        <a:stretch>
          <a:fillRect/>
        </a:stretch>
      </xdr:blipFill>
      <xdr:spPr>
        <a:xfrm>
          <a:off x="1543049" y="2428875"/>
          <a:ext cx="13828761" cy="421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447675</xdr:colOff>
      <xdr:row>37</xdr:row>
      <xdr:rowOff>66675</xdr:rowOff>
    </xdr:from>
    <xdr:to>
      <xdr:col>24</xdr:col>
      <xdr:colOff>439171</xdr:colOff>
      <xdr:row>45</xdr:row>
      <xdr:rowOff>19245</xdr:rowOff>
    </xdr:to>
    <xdr:pic>
      <xdr:nvPicPr>
        <xdr:cNvPr id="11" name="図 10">
          <a:extLst>
            <a:ext uri="{FF2B5EF4-FFF2-40B4-BE49-F238E27FC236}">
              <a16:creationId xmlns:a16="http://schemas.microsoft.com/office/drawing/2014/main" id="{6DAC803C-4CCC-B5EC-4F4C-750290CD3908}"/>
            </a:ext>
          </a:extLst>
        </xdr:cNvPr>
        <xdr:cNvPicPr>
          <a:picLocks noChangeAspect="1"/>
        </xdr:cNvPicPr>
      </xdr:nvPicPr>
      <xdr:blipFill>
        <a:blip xmlns:r="http://schemas.openxmlformats.org/officeDocument/2006/relationships" r:embed="rId1"/>
        <a:stretch>
          <a:fillRect/>
        </a:stretch>
      </xdr:blipFill>
      <xdr:spPr>
        <a:xfrm>
          <a:off x="8858250" y="7162800"/>
          <a:ext cx="7316221" cy="1400370"/>
        </a:xfrm>
        <a:prstGeom prst="rect">
          <a:avLst/>
        </a:prstGeom>
      </xdr:spPr>
    </xdr:pic>
    <xdr:clientData/>
  </xdr:twoCellAnchor>
  <xdr:twoCellAnchor>
    <xdr:from>
      <xdr:col>18</xdr:col>
      <xdr:colOff>335756</xdr:colOff>
      <xdr:row>42</xdr:row>
      <xdr:rowOff>142875</xdr:rowOff>
    </xdr:from>
    <xdr:to>
      <xdr:col>24</xdr:col>
      <xdr:colOff>297656</xdr:colOff>
      <xdr:row>44</xdr:row>
      <xdr:rowOff>66674</xdr:rowOff>
    </xdr:to>
    <xdr:sp macro="" textlink="">
      <xdr:nvSpPr>
        <xdr:cNvPr id="12" name="正方形/長方形 11">
          <a:extLst>
            <a:ext uri="{FF2B5EF4-FFF2-40B4-BE49-F238E27FC236}">
              <a16:creationId xmlns:a16="http://schemas.microsoft.com/office/drawing/2014/main" id="{7C698139-BDF5-0C28-0AD4-676338065831}"/>
            </a:ext>
          </a:extLst>
        </xdr:cNvPr>
        <xdr:cNvSpPr/>
      </xdr:nvSpPr>
      <xdr:spPr bwMode="gray">
        <a:xfrm>
          <a:off x="12242006" y="8096250"/>
          <a:ext cx="3879056" cy="280987"/>
        </a:xfrm>
        <a:prstGeom prst="rect">
          <a:avLst/>
        </a:prstGeom>
        <a:noFill/>
        <a:ln w="28575" algn="ctr">
          <a:solidFill>
            <a:srgbClr val="ED8B00"/>
          </a:solidFill>
          <a:miter lim="800000"/>
          <a:headEnd/>
          <a:tailEnd/>
        </a:ln>
        <a:effectLst/>
      </xdr:spPr>
      <xdr:txBody>
        <a:bodyPr vertOverflow="clip" horzOverflow="clip" wrap="square" lIns="72000" tIns="36000" rIns="72000" bIns="36000" rtlCol="0" anchor="ctr">
          <a:noAutofit/>
        </a:bodyPr>
        <a:lstStyle/>
        <a:p>
          <a:pPr algn="ctr" fontAlgn="auto">
            <a:spcBef>
              <a:spcPts val="0"/>
            </a:spcBef>
            <a:spcAft>
              <a:spcPts val="0"/>
            </a:spcAft>
            <a:buClr>
              <a:srgbClr val="000000"/>
            </a:buClr>
          </a:pPr>
          <a:endParaRPr kumimoji="1" lang="ja-JP" altLang="en-US" sz="1100">
            <a:solidFill>
              <a:sysClr val="windowText" lastClr="000000"/>
            </a:solidFill>
            <a:latin typeface="ＭＳ Ｐゴシック" pitchFamily="50" charset="-128"/>
            <a:cs typeface="+mn-cs"/>
          </a:endParaRPr>
        </a:p>
      </xdr:txBody>
    </xdr:sp>
    <xdr:clientData/>
  </xdr:twoCellAnchor>
  <xdr:twoCellAnchor>
    <xdr:from>
      <xdr:col>15</xdr:col>
      <xdr:colOff>333374</xdr:colOff>
      <xdr:row>36</xdr:row>
      <xdr:rowOff>121310</xdr:rowOff>
    </xdr:from>
    <xdr:to>
      <xdr:col>19</xdr:col>
      <xdr:colOff>114299</xdr:colOff>
      <xdr:row>40</xdr:row>
      <xdr:rowOff>43664</xdr:rowOff>
    </xdr:to>
    <xdr:sp macro="" textlink="">
      <xdr:nvSpPr>
        <xdr:cNvPr id="13" name="吹き出し: 四角形 12">
          <a:extLst>
            <a:ext uri="{FF2B5EF4-FFF2-40B4-BE49-F238E27FC236}">
              <a16:creationId xmlns:a16="http://schemas.microsoft.com/office/drawing/2014/main" id="{F7391414-5117-4DF3-8ADF-86125F5C7DEC}"/>
            </a:ext>
          </a:extLst>
        </xdr:cNvPr>
        <xdr:cNvSpPr/>
      </xdr:nvSpPr>
      <xdr:spPr bwMode="gray">
        <a:xfrm>
          <a:off x="10115549" y="7026935"/>
          <a:ext cx="2524125" cy="655779"/>
        </a:xfrm>
        <a:prstGeom prst="wedgeRectCallout">
          <a:avLst>
            <a:gd name="adj1" fmla="val 36907"/>
            <a:gd name="adj2" fmla="val 151479"/>
          </a:avLst>
        </a:prstGeom>
        <a:solidFill>
          <a:srgbClr val="FFCD00"/>
        </a:solidFill>
        <a:ln w="12700" algn="ctr">
          <a:noFill/>
          <a:miter lim="800000"/>
          <a:headEnd/>
          <a:tailEnd/>
        </a:ln>
        <a:effectLst/>
      </xdr:spPr>
      <xdr:txBody>
        <a:bodyPr vertOverflow="clip" horzOverflow="clip" wrap="square" lIns="72000" tIns="36000" rIns="72000" bIns="36000" rtlCol="0" anchor="ctr">
          <a:spAutoFit/>
        </a:bodyPr>
        <a:lstStyle/>
        <a:p>
          <a:pPr algn="l" fontAlgn="auto">
            <a:spcBef>
              <a:spcPts val="0"/>
            </a:spcBef>
            <a:spcAft>
              <a:spcPts val="0"/>
            </a:spcAft>
            <a:buClr>
              <a:srgbClr val="000000"/>
            </a:buClr>
          </a:pPr>
          <a:r>
            <a:rPr kumimoji="1" lang="ja-JP" altLang="en-US" sz="1100">
              <a:solidFill>
                <a:sysClr val="windowText" lastClr="000000"/>
              </a:solidFill>
              <a:latin typeface="ＭＳ Ｐゴシック" pitchFamily="50" charset="-128"/>
              <a:cs typeface="+mn-cs"/>
            </a:rPr>
            <a:t>黄色のセルで算定される数値を、「パラメータ」シートの</a:t>
          </a:r>
          <a:r>
            <a:rPr kumimoji="1" lang="en-US" altLang="ja-JP" sz="1100">
              <a:solidFill>
                <a:sysClr val="windowText" lastClr="000000"/>
              </a:solidFill>
              <a:latin typeface="ＭＳ Ｐゴシック" pitchFamily="50" charset="-128"/>
              <a:cs typeface="+mn-cs"/>
            </a:rPr>
            <a:t>K11</a:t>
          </a:r>
          <a:r>
            <a:rPr kumimoji="1" lang="ja-JP" altLang="en-US" sz="1100">
              <a:solidFill>
                <a:sysClr val="windowText" lastClr="000000"/>
              </a:solidFill>
              <a:latin typeface="ＭＳ Ｐゴシック" pitchFamily="50" charset="-128"/>
              <a:cs typeface="+mn-cs"/>
            </a:rPr>
            <a:t>セルに入力してください</a:t>
          </a:r>
        </a:p>
      </xdr:txBody>
    </xdr:sp>
    <xdr:clientData/>
  </xdr:twoCellAnchor>
  <xdr:twoCellAnchor editAs="oneCell">
    <xdr:from>
      <xdr:col>13</xdr:col>
      <xdr:colOff>419100</xdr:colOff>
      <xdr:row>47</xdr:row>
      <xdr:rowOff>171450</xdr:rowOff>
    </xdr:from>
    <xdr:to>
      <xdr:col>24</xdr:col>
      <xdr:colOff>543965</xdr:colOff>
      <xdr:row>59</xdr:row>
      <xdr:rowOff>76200</xdr:rowOff>
    </xdr:to>
    <xdr:pic>
      <xdr:nvPicPr>
        <xdr:cNvPr id="14" name="図 13">
          <a:extLst>
            <a:ext uri="{FF2B5EF4-FFF2-40B4-BE49-F238E27FC236}">
              <a16:creationId xmlns:a16="http://schemas.microsoft.com/office/drawing/2014/main" id="{32C11F6C-AAEC-B9B1-DCD9-D6ED8933E934}"/>
            </a:ext>
          </a:extLst>
        </xdr:cNvPr>
        <xdr:cNvPicPr>
          <a:picLocks noChangeAspect="1"/>
        </xdr:cNvPicPr>
      </xdr:nvPicPr>
      <xdr:blipFill>
        <a:blip xmlns:r="http://schemas.openxmlformats.org/officeDocument/2006/relationships" r:embed="rId2"/>
        <a:stretch>
          <a:fillRect/>
        </a:stretch>
      </xdr:blipFill>
      <xdr:spPr>
        <a:xfrm>
          <a:off x="8829675" y="9077325"/>
          <a:ext cx="7449590" cy="2219325"/>
        </a:xfrm>
        <a:prstGeom prst="rect">
          <a:avLst/>
        </a:prstGeom>
      </xdr:spPr>
    </xdr:pic>
    <xdr:clientData/>
  </xdr:twoCellAnchor>
  <xdr:twoCellAnchor>
    <xdr:from>
      <xdr:col>18</xdr:col>
      <xdr:colOff>390525</xdr:colOff>
      <xdr:row>52</xdr:row>
      <xdr:rowOff>9525</xdr:rowOff>
    </xdr:from>
    <xdr:to>
      <xdr:col>24</xdr:col>
      <xdr:colOff>352425</xdr:colOff>
      <xdr:row>53</xdr:row>
      <xdr:rowOff>0</xdr:rowOff>
    </xdr:to>
    <xdr:sp macro="" textlink="">
      <xdr:nvSpPr>
        <xdr:cNvPr id="15" name="正方形/長方形 14">
          <a:extLst>
            <a:ext uri="{FF2B5EF4-FFF2-40B4-BE49-F238E27FC236}">
              <a16:creationId xmlns:a16="http://schemas.microsoft.com/office/drawing/2014/main" id="{62DD0458-8B1C-4700-A3C6-61DE69909E4E}"/>
            </a:ext>
          </a:extLst>
        </xdr:cNvPr>
        <xdr:cNvSpPr/>
      </xdr:nvSpPr>
      <xdr:spPr bwMode="gray">
        <a:xfrm>
          <a:off x="12230100" y="9896475"/>
          <a:ext cx="3857625" cy="180975"/>
        </a:xfrm>
        <a:prstGeom prst="rect">
          <a:avLst/>
        </a:prstGeom>
        <a:noFill/>
        <a:ln w="28575" algn="ctr">
          <a:solidFill>
            <a:schemeClr val="accent1"/>
          </a:solidFill>
          <a:miter lim="800000"/>
          <a:headEnd/>
          <a:tailEnd/>
        </a:ln>
        <a:effectLst/>
      </xdr:spPr>
      <xdr:txBody>
        <a:bodyPr vertOverflow="clip" horzOverflow="clip" wrap="square" lIns="72000" tIns="36000" rIns="72000" bIns="36000" rtlCol="0" anchor="ctr">
          <a:noAutofit/>
        </a:bodyPr>
        <a:lstStyle/>
        <a:p>
          <a:pPr algn="ctr" fontAlgn="auto">
            <a:spcBef>
              <a:spcPts val="0"/>
            </a:spcBef>
            <a:spcAft>
              <a:spcPts val="0"/>
            </a:spcAft>
            <a:buClr>
              <a:srgbClr val="000000"/>
            </a:buClr>
          </a:pPr>
          <a:endParaRPr kumimoji="1" lang="ja-JP" altLang="en-US" sz="1100">
            <a:solidFill>
              <a:sysClr val="windowText" lastClr="000000"/>
            </a:solidFill>
            <a:latin typeface="ＭＳ Ｐゴシック" pitchFamily="50" charset="-128"/>
            <a:cs typeface="+mn-cs"/>
          </a:endParaRPr>
        </a:p>
      </xdr:txBody>
    </xdr:sp>
    <xdr:clientData/>
  </xdr:twoCellAnchor>
  <xdr:twoCellAnchor>
    <xdr:from>
      <xdr:col>14</xdr:col>
      <xdr:colOff>276224</xdr:colOff>
      <xdr:row>48</xdr:row>
      <xdr:rowOff>199379</xdr:rowOff>
    </xdr:from>
    <xdr:to>
      <xdr:col>18</xdr:col>
      <xdr:colOff>57149</xdr:colOff>
      <xdr:row>53</xdr:row>
      <xdr:rowOff>32271</xdr:rowOff>
    </xdr:to>
    <xdr:sp macro="" textlink="">
      <xdr:nvSpPr>
        <xdr:cNvPr id="17" name="吹き出し: 四角形 16">
          <a:extLst>
            <a:ext uri="{FF2B5EF4-FFF2-40B4-BE49-F238E27FC236}">
              <a16:creationId xmlns:a16="http://schemas.microsoft.com/office/drawing/2014/main" id="{3ABEFCF9-36C2-4B71-A693-6638E5BA10CA}"/>
            </a:ext>
          </a:extLst>
        </xdr:cNvPr>
        <xdr:cNvSpPr/>
      </xdr:nvSpPr>
      <xdr:spPr bwMode="gray">
        <a:xfrm>
          <a:off x="9372599" y="9286229"/>
          <a:ext cx="2524125" cy="823492"/>
        </a:xfrm>
        <a:prstGeom prst="wedgeRectCallout">
          <a:avLst>
            <a:gd name="adj1" fmla="val 60680"/>
            <a:gd name="adj2" fmla="val 52173"/>
          </a:avLst>
        </a:prstGeom>
        <a:solidFill>
          <a:schemeClr val="accent1"/>
        </a:solidFill>
        <a:ln w="12700" algn="ctr">
          <a:noFill/>
          <a:miter lim="800000"/>
          <a:headEnd/>
          <a:tailEnd/>
        </a:ln>
        <a:effectLst/>
      </xdr:spPr>
      <xdr:txBody>
        <a:bodyPr vertOverflow="clip" horzOverflow="clip" wrap="square" lIns="72000" tIns="36000" rIns="72000" bIns="36000" rtlCol="0" anchor="ctr">
          <a:spAutoFit/>
        </a:bodyPr>
        <a:lstStyle/>
        <a:p>
          <a:pPr algn="l" fontAlgn="auto">
            <a:spcBef>
              <a:spcPts val="0"/>
            </a:spcBef>
            <a:spcAft>
              <a:spcPts val="0"/>
            </a:spcAft>
            <a:buClr>
              <a:srgbClr val="000000"/>
            </a:buClr>
          </a:pPr>
          <a:r>
            <a:rPr kumimoji="1" lang="ja-JP" altLang="en-US" sz="1100">
              <a:solidFill>
                <a:sysClr val="windowText" lastClr="000000"/>
              </a:solidFill>
              <a:latin typeface="ＭＳ Ｐゴシック" pitchFamily="50" charset="-128"/>
              <a:cs typeface="+mn-cs"/>
            </a:rPr>
            <a:t>「仮定値算定シート」の緑色のセルは自治体毎で数値が異なることが想定されるため、実績値を入力してください</a:t>
          </a:r>
        </a:p>
      </xdr:txBody>
    </xdr:sp>
    <xdr:clientData/>
  </xdr:twoCellAnchor>
  <xdr:twoCellAnchor editAs="oneCell">
    <xdr:from>
      <xdr:col>26</xdr:col>
      <xdr:colOff>462436</xdr:colOff>
      <xdr:row>37</xdr:row>
      <xdr:rowOff>123824</xdr:rowOff>
    </xdr:from>
    <xdr:to>
      <xdr:col>37</xdr:col>
      <xdr:colOff>533400</xdr:colOff>
      <xdr:row>57</xdr:row>
      <xdr:rowOff>85348</xdr:rowOff>
    </xdr:to>
    <xdr:pic>
      <xdr:nvPicPr>
        <xdr:cNvPr id="22" name="図 21">
          <a:extLst>
            <a:ext uri="{FF2B5EF4-FFF2-40B4-BE49-F238E27FC236}">
              <a16:creationId xmlns:a16="http://schemas.microsoft.com/office/drawing/2014/main" id="{912F9295-52E9-7C3E-7F3A-3F3B7469E7EA}"/>
            </a:ext>
          </a:extLst>
        </xdr:cNvPr>
        <xdr:cNvPicPr>
          <a:picLocks noChangeAspect="1"/>
        </xdr:cNvPicPr>
      </xdr:nvPicPr>
      <xdr:blipFill>
        <a:blip xmlns:r="http://schemas.openxmlformats.org/officeDocument/2006/relationships" r:embed="rId3"/>
        <a:stretch>
          <a:fillRect/>
        </a:stretch>
      </xdr:blipFill>
      <xdr:spPr>
        <a:xfrm>
          <a:off x="17750311" y="7219949"/>
          <a:ext cx="7614764" cy="3704849"/>
        </a:xfrm>
        <a:prstGeom prst="rect">
          <a:avLst/>
        </a:prstGeom>
      </xdr:spPr>
    </xdr:pic>
    <xdr:clientData/>
  </xdr:twoCellAnchor>
  <xdr:twoCellAnchor>
    <xdr:from>
      <xdr:col>18</xdr:col>
      <xdr:colOff>390525</xdr:colOff>
      <xdr:row>55</xdr:row>
      <xdr:rowOff>59533</xdr:rowOff>
    </xdr:from>
    <xdr:to>
      <xdr:col>24</xdr:col>
      <xdr:colOff>352425</xdr:colOff>
      <xdr:row>56</xdr:row>
      <xdr:rowOff>78583</xdr:rowOff>
    </xdr:to>
    <xdr:sp macro="" textlink="">
      <xdr:nvSpPr>
        <xdr:cNvPr id="23" name="正方形/長方形 22">
          <a:extLst>
            <a:ext uri="{FF2B5EF4-FFF2-40B4-BE49-F238E27FC236}">
              <a16:creationId xmlns:a16="http://schemas.microsoft.com/office/drawing/2014/main" id="{E2C84EFC-1E69-4A8D-9D8C-EA000A49E746}"/>
            </a:ext>
          </a:extLst>
        </xdr:cNvPr>
        <xdr:cNvSpPr/>
      </xdr:nvSpPr>
      <xdr:spPr bwMode="gray">
        <a:xfrm>
          <a:off x="12296775" y="10453689"/>
          <a:ext cx="3879056" cy="209550"/>
        </a:xfrm>
        <a:prstGeom prst="rect">
          <a:avLst/>
        </a:prstGeom>
        <a:noFill/>
        <a:ln w="28575" algn="ctr">
          <a:solidFill>
            <a:schemeClr val="accent1"/>
          </a:solidFill>
          <a:miter lim="800000"/>
          <a:headEnd/>
          <a:tailEnd/>
        </a:ln>
        <a:effectLst/>
      </xdr:spPr>
      <xdr:txBody>
        <a:bodyPr vertOverflow="clip" horzOverflow="clip" wrap="square" lIns="72000" tIns="36000" rIns="72000" bIns="36000" rtlCol="0" anchor="ctr">
          <a:noAutofit/>
        </a:bodyPr>
        <a:lstStyle/>
        <a:p>
          <a:pPr algn="ctr" fontAlgn="auto">
            <a:spcBef>
              <a:spcPts val="0"/>
            </a:spcBef>
            <a:spcAft>
              <a:spcPts val="0"/>
            </a:spcAft>
            <a:buClr>
              <a:srgbClr val="000000"/>
            </a:buClr>
          </a:pPr>
          <a:endParaRPr kumimoji="1" lang="ja-JP" altLang="en-US" sz="1100">
            <a:solidFill>
              <a:sysClr val="windowText" lastClr="000000"/>
            </a:solidFill>
            <a:latin typeface="ＭＳ Ｐゴシック" pitchFamily="50" charset="-128"/>
            <a:cs typeface="+mn-cs"/>
          </a:endParaRPr>
        </a:p>
      </xdr:txBody>
    </xdr:sp>
    <xdr:clientData/>
  </xdr:twoCellAnchor>
  <xdr:twoCellAnchor>
    <xdr:from>
      <xdr:col>28</xdr:col>
      <xdr:colOff>85726</xdr:colOff>
      <xdr:row>39</xdr:row>
      <xdr:rowOff>57151</xdr:rowOff>
    </xdr:from>
    <xdr:to>
      <xdr:col>37</xdr:col>
      <xdr:colOff>523876</xdr:colOff>
      <xdr:row>47</xdr:row>
      <xdr:rowOff>85725</xdr:rowOff>
    </xdr:to>
    <xdr:sp macro="" textlink="">
      <xdr:nvSpPr>
        <xdr:cNvPr id="16" name="正方形/長方形 15">
          <a:extLst>
            <a:ext uri="{FF2B5EF4-FFF2-40B4-BE49-F238E27FC236}">
              <a16:creationId xmlns:a16="http://schemas.microsoft.com/office/drawing/2014/main" id="{3D80E7BD-7A73-4A25-9DFD-2D914FF9CCE1}"/>
            </a:ext>
          </a:extLst>
        </xdr:cNvPr>
        <xdr:cNvSpPr/>
      </xdr:nvSpPr>
      <xdr:spPr bwMode="gray">
        <a:xfrm>
          <a:off x="18745201" y="7515226"/>
          <a:ext cx="6610350" cy="1476374"/>
        </a:xfrm>
        <a:prstGeom prst="rect">
          <a:avLst/>
        </a:prstGeom>
        <a:noFill/>
        <a:ln w="28575" algn="ctr">
          <a:solidFill>
            <a:schemeClr val="accent6"/>
          </a:solidFill>
          <a:miter lim="800000"/>
          <a:headEnd/>
          <a:tailEnd/>
        </a:ln>
        <a:effectLst/>
      </xdr:spPr>
      <xdr:txBody>
        <a:bodyPr vertOverflow="clip" horzOverflow="clip" wrap="square" lIns="72000" tIns="36000" rIns="72000" bIns="36000" rtlCol="0" anchor="ctr">
          <a:noAutofit/>
        </a:bodyPr>
        <a:lstStyle/>
        <a:p>
          <a:pPr algn="ctr" fontAlgn="auto">
            <a:spcBef>
              <a:spcPts val="0"/>
            </a:spcBef>
            <a:spcAft>
              <a:spcPts val="0"/>
            </a:spcAft>
            <a:buClr>
              <a:srgbClr val="000000"/>
            </a:buClr>
          </a:pPr>
          <a:endParaRPr kumimoji="1" lang="ja-JP" altLang="en-US" sz="1100">
            <a:solidFill>
              <a:sysClr val="windowText" lastClr="000000"/>
            </a:solidFill>
            <a:latin typeface="ＭＳ Ｐゴシック" pitchFamily="50" charset="-128"/>
            <a:cs typeface="+mn-cs"/>
          </a:endParaRPr>
        </a:p>
      </xdr:txBody>
    </xdr:sp>
    <xdr:clientData/>
  </xdr:twoCellAnchor>
  <xdr:twoCellAnchor>
    <xdr:from>
      <xdr:col>27</xdr:col>
      <xdr:colOff>95250</xdr:colOff>
      <xdr:row>48</xdr:row>
      <xdr:rowOff>19051</xdr:rowOff>
    </xdr:from>
    <xdr:to>
      <xdr:col>37</xdr:col>
      <xdr:colOff>552449</xdr:colOff>
      <xdr:row>57</xdr:row>
      <xdr:rowOff>66675</xdr:rowOff>
    </xdr:to>
    <xdr:sp macro="" textlink="">
      <xdr:nvSpPr>
        <xdr:cNvPr id="24" name="正方形/長方形 23">
          <a:extLst>
            <a:ext uri="{FF2B5EF4-FFF2-40B4-BE49-F238E27FC236}">
              <a16:creationId xmlns:a16="http://schemas.microsoft.com/office/drawing/2014/main" id="{8AC9EEBA-EAAA-4B07-9267-E1C3E3A0C196}"/>
            </a:ext>
          </a:extLst>
        </xdr:cNvPr>
        <xdr:cNvSpPr/>
      </xdr:nvSpPr>
      <xdr:spPr bwMode="gray">
        <a:xfrm>
          <a:off x="18068925" y="9105901"/>
          <a:ext cx="7315199" cy="1800224"/>
        </a:xfrm>
        <a:prstGeom prst="rect">
          <a:avLst/>
        </a:prstGeom>
        <a:noFill/>
        <a:ln w="28575" algn="ctr">
          <a:solidFill>
            <a:schemeClr val="accent6"/>
          </a:solidFill>
          <a:miter lim="800000"/>
          <a:headEnd/>
          <a:tailEnd/>
        </a:ln>
        <a:effectLst/>
      </xdr:spPr>
      <xdr:txBody>
        <a:bodyPr vertOverflow="clip" horzOverflow="clip" wrap="square" lIns="72000" tIns="36000" rIns="72000" bIns="36000" rtlCol="0" anchor="ctr">
          <a:noAutofit/>
        </a:bodyPr>
        <a:lstStyle/>
        <a:p>
          <a:pPr algn="ctr" fontAlgn="auto">
            <a:spcBef>
              <a:spcPts val="0"/>
            </a:spcBef>
            <a:spcAft>
              <a:spcPts val="0"/>
            </a:spcAft>
            <a:buClr>
              <a:srgbClr val="000000"/>
            </a:buClr>
          </a:pPr>
          <a:endParaRPr kumimoji="1" lang="ja-JP" altLang="en-US" sz="1100">
            <a:solidFill>
              <a:sysClr val="windowText" lastClr="000000"/>
            </a:solidFill>
            <a:latin typeface="ＭＳ Ｐゴシック" pitchFamily="50" charset="-128"/>
            <a:cs typeface="+mn-cs"/>
          </a:endParaRPr>
        </a:p>
      </xdr:txBody>
    </xdr:sp>
    <xdr:clientData/>
  </xdr:twoCellAnchor>
  <xdr:twoCellAnchor>
    <xdr:from>
      <xdr:col>25</xdr:col>
      <xdr:colOff>371474</xdr:colOff>
      <xdr:row>37</xdr:row>
      <xdr:rowOff>167067</xdr:rowOff>
    </xdr:from>
    <xdr:to>
      <xdr:col>27</xdr:col>
      <xdr:colOff>571500</xdr:colOff>
      <xdr:row>39</xdr:row>
      <xdr:rowOff>121733</xdr:rowOff>
    </xdr:to>
    <xdr:sp macro="" textlink="">
      <xdr:nvSpPr>
        <xdr:cNvPr id="25" name="吹き出し: 四角形 24">
          <a:extLst>
            <a:ext uri="{FF2B5EF4-FFF2-40B4-BE49-F238E27FC236}">
              <a16:creationId xmlns:a16="http://schemas.microsoft.com/office/drawing/2014/main" id="{F6ADADD5-6F3F-4AFB-AA68-E85E47713A2F}"/>
            </a:ext>
          </a:extLst>
        </xdr:cNvPr>
        <xdr:cNvSpPr/>
      </xdr:nvSpPr>
      <xdr:spPr bwMode="gray">
        <a:xfrm>
          <a:off x="16792574" y="7263192"/>
          <a:ext cx="1752601" cy="316616"/>
        </a:xfrm>
        <a:prstGeom prst="wedgeRectCallout">
          <a:avLst>
            <a:gd name="adj1" fmla="val 60680"/>
            <a:gd name="adj2" fmla="val 52173"/>
          </a:avLst>
        </a:prstGeom>
        <a:solidFill>
          <a:schemeClr val="accent6"/>
        </a:solidFill>
        <a:ln w="12700" algn="ctr">
          <a:noFill/>
          <a:miter lim="800000"/>
          <a:headEnd/>
          <a:tailEnd/>
        </a:ln>
        <a:effectLst/>
      </xdr:spPr>
      <xdr:txBody>
        <a:bodyPr vertOverflow="clip" horzOverflow="clip" wrap="square" lIns="72000" tIns="36000" rIns="72000" bIns="36000" rtlCol="0" anchor="ctr">
          <a:spAutoFit/>
        </a:bodyPr>
        <a:lstStyle/>
        <a:p>
          <a:pPr algn="l" fontAlgn="auto">
            <a:spcBef>
              <a:spcPts val="0"/>
            </a:spcBef>
            <a:spcAft>
              <a:spcPts val="0"/>
            </a:spcAft>
            <a:buClr>
              <a:srgbClr val="000000"/>
            </a:buClr>
          </a:pPr>
          <a:r>
            <a:rPr kumimoji="1" lang="ja-JP" altLang="en-US" sz="1100">
              <a:solidFill>
                <a:schemeClr val="bg1"/>
              </a:solidFill>
              <a:latin typeface="ＭＳ Ｐゴシック" pitchFamily="50" charset="-128"/>
              <a:cs typeface="+mn-cs"/>
            </a:rPr>
            <a:t>算定結果のサマリー</a:t>
          </a:r>
        </a:p>
      </xdr:txBody>
    </xdr:sp>
    <xdr:clientData/>
  </xdr:twoCellAnchor>
  <xdr:twoCellAnchor>
    <xdr:from>
      <xdr:col>25</xdr:col>
      <xdr:colOff>314324</xdr:colOff>
      <xdr:row>46</xdr:row>
      <xdr:rowOff>5142</xdr:rowOff>
    </xdr:from>
    <xdr:to>
      <xdr:col>27</xdr:col>
      <xdr:colOff>514350</xdr:colOff>
      <xdr:row>47</xdr:row>
      <xdr:rowOff>140783</xdr:rowOff>
    </xdr:to>
    <xdr:sp macro="" textlink="">
      <xdr:nvSpPr>
        <xdr:cNvPr id="26" name="吹き出し: 四角形 25">
          <a:extLst>
            <a:ext uri="{FF2B5EF4-FFF2-40B4-BE49-F238E27FC236}">
              <a16:creationId xmlns:a16="http://schemas.microsoft.com/office/drawing/2014/main" id="{32B2A965-82CE-4DA0-B82B-F56D759F1ED3}"/>
            </a:ext>
          </a:extLst>
        </xdr:cNvPr>
        <xdr:cNvSpPr/>
      </xdr:nvSpPr>
      <xdr:spPr bwMode="gray">
        <a:xfrm>
          <a:off x="16735424" y="8730042"/>
          <a:ext cx="1752601" cy="316616"/>
        </a:xfrm>
        <a:prstGeom prst="wedgeRectCallout">
          <a:avLst>
            <a:gd name="adj1" fmla="val 60680"/>
            <a:gd name="adj2" fmla="val 52173"/>
          </a:avLst>
        </a:prstGeom>
        <a:solidFill>
          <a:schemeClr val="accent6"/>
        </a:solidFill>
        <a:ln w="12700" algn="ctr">
          <a:noFill/>
          <a:miter lim="800000"/>
          <a:headEnd/>
          <a:tailEnd/>
        </a:ln>
        <a:effectLst/>
      </xdr:spPr>
      <xdr:txBody>
        <a:bodyPr vertOverflow="clip" horzOverflow="clip" wrap="square" lIns="72000" tIns="36000" rIns="72000" bIns="36000" rtlCol="0" anchor="ctr">
          <a:spAutoFit/>
        </a:bodyPr>
        <a:lstStyle/>
        <a:p>
          <a:pPr algn="l" fontAlgn="auto">
            <a:spcBef>
              <a:spcPts val="0"/>
            </a:spcBef>
            <a:spcAft>
              <a:spcPts val="0"/>
            </a:spcAft>
            <a:buClr>
              <a:srgbClr val="000000"/>
            </a:buClr>
          </a:pPr>
          <a:r>
            <a:rPr kumimoji="1" lang="ja-JP" altLang="en-US" sz="1100">
              <a:solidFill>
                <a:schemeClr val="bg1"/>
              </a:solidFill>
              <a:latin typeface="ＭＳ Ｐゴシック" pitchFamily="50" charset="-128"/>
              <a:cs typeface="+mn-cs"/>
            </a:rPr>
            <a:t>各工程の算定内容</a:t>
          </a:r>
          <a:endParaRPr kumimoji="1" lang="en-US" altLang="ja-JP" sz="1100">
            <a:solidFill>
              <a:schemeClr val="bg1"/>
            </a:solidFill>
            <a:latin typeface="ＭＳ Ｐゴシック" pitchFamily="50" charset="-128"/>
            <a:cs typeface="+mn-cs"/>
          </a:endParaRPr>
        </a:p>
      </xdr:txBody>
    </xdr:sp>
    <xdr:clientData/>
  </xdr:twoCellAnchor>
  <xdr:twoCellAnchor editAs="oneCell">
    <xdr:from>
      <xdr:col>1</xdr:col>
      <xdr:colOff>504825</xdr:colOff>
      <xdr:row>45</xdr:row>
      <xdr:rowOff>84501</xdr:rowOff>
    </xdr:from>
    <xdr:to>
      <xdr:col>11</xdr:col>
      <xdr:colOff>448554</xdr:colOff>
      <xdr:row>54</xdr:row>
      <xdr:rowOff>103794</xdr:rowOff>
    </xdr:to>
    <xdr:pic>
      <xdr:nvPicPr>
        <xdr:cNvPr id="9" name="図 8">
          <a:extLst>
            <a:ext uri="{FF2B5EF4-FFF2-40B4-BE49-F238E27FC236}">
              <a16:creationId xmlns:a16="http://schemas.microsoft.com/office/drawing/2014/main" id="{3FD2C130-3A86-418B-8440-BB6D693DCA11}"/>
            </a:ext>
          </a:extLst>
        </xdr:cNvPr>
        <xdr:cNvPicPr>
          <a:picLocks noChangeAspect="1"/>
        </xdr:cNvPicPr>
      </xdr:nvPicPr>
      <xdr:blipFill>
        <a:blip xmlns:r="http://schemas.openxmlformats.org/officeDocument/2006/relationships" r:embed="rId4"/>
        <a:stretch>
          <a:fillRect/>
        </a:stretch>
      </xdr:blipFill>
      <xdr:spPr>
        <a:xfrm>
          <a:off x="1190625" y="9199926"/>
          <a:ext cx="6296904" cy="1743318"/>
        </a:xfrm>
        <a:prstGeom prst="rect">
          <a:avLst/>
        </a:prstGeom>
      </xdr:spPr>
    </xdr:pic>
    <xdr:clientData/>
  </xdr:twoCellAnchor>
  <xdr:twoCellAnchor>
    <xdr:from>
      <xdr:col>1</xdr:col>
      <xdr:colOff>504825</xdr:colOff>
      <xdr:row>47</xdr:row>
      <xdr:rowOff>160701</xdr:rowOff>
    </xdr:from>
    <xdr:to>
      <xdr:col>3</xdr:col>
      <xdr:colOff>152400</xdr:colOff>
      <xdr:row>55</xdr:row>
      <xdr:rowOff>65451</xdr:rowOff>
    </xdr:to>
    <xdr:sp macro="" textlink="">
      <xdr:nvSpPr>
        <xdr:cNvPr id="18" name="正方形/長方形 17">
          <a:extLst>
            <a:ext uri="{FF2B5EF4-FFF2-40B4-BE49-F238E27FC236}">
              <a16:creationId xmlns:a16="http://schemas.microsoft.com/office/drawing/2014/main" id="{DC4733CB-57D4-4742-87CA-C4588F8C8C09}"/>
            </a:ext>
          </a:extLst>
        </xdr:cNvPr>
        <xdr:cNvSpPr/>
      </xdr:nvSpPr>
      <xdr:spPr bwMode="gray">
        <a:xfrm>
          <a:off x="1190625" y="9638076"/>
          <a:ext cx="704850" cy="1457325"/>
        </a:xfrm>
        <a:prstGeom prst="rect">
          <a:avLst/>
        </a:prstGeom>
        <a:noFill/>
        <a:ln w="28575" algn="ctr">
          <a:solidFill>
            <a:srgbClr val="FFC000"/>
          </a:solidFill>
          <a:miter lim="800000"/>
          <a:headEnd/>
          <a:tailEnd/>
        </a:ln>
        <a:effectLst/>
      </xdr:spPr>
      <xdr:txBody>
        <a:bodyPr vertOverflow="clip" horzOverflow="clip" wrap="square" lIns="72000" tIns="36000" rIns="72000" bIns="36000" rtlCol="0" anchor="ctr">
          <a:noAutofit/>
        </a:bodyPr>
        <a:lstStyle/>
        <a:p>
          <a:pPr algn="ctr" fontAlgn="auto">
            <a:spcBef>
              <a:spcPts val="0"/>
            </a:spcBef>
            <a:spcAft>
              <a:spcPts val="0"/>
            </a:spcAft>
            <a:buClr>
              <a:srgbClr val="000000"/>
            </a:buClr>
          </a:pPr>
          <a:endParaRPr kumimoji="1" lang="ja-JP" altLang="en-US" sz="1100">
            <a:solidFill>
              <a:sysClr val="windowText" lastClr="000000"/>
            </a:solidFill>
            <a:latin typeface="ＭＳ Ｐゴシック" pitchFamily="50" charset="-128"/>
            <a:cs typeface="+mn-cs"/>
          </a:endParaRPr>
        </a:p>
      </xdr:txBody>
    </xdr:sp>
    <xdr:clientData/>
  </xdr:twoCellAnchor>
  <xdr:twoCellAnchor>
    <xdr:from>
      <xdr:col>3</xdr:col>
      <xdr:colOff>161925</xdr:colOff>
      <xdr:row>46</xdr:row>
      <xdr:rowOff>103551</xdr:rowOff>
    </xdr:from>
    <xdr:to>
      <xdr:col>8</xdr:col>
      <xdr:colOff>457200</xdr:colOff>
      <xdr:row>55</xdr:row>
      <xdr:rowOff>65451</xdr:rowOff>
    </xdr:to>
    <xdr:sp macro="" textlink="">
      <xdr:nvSpPr>
        <xdr:cNvPr id="27" name="正方形/長方形 26">
          <a:extLst>
            <a:ext uri="{FF2B5EF4-FFF2-40B4-BE49-F238E27FC236}">
              <a16:creationId xmlns:a16="http://schemas.microsoft.com/office/drawing/2014/main" id="{C0ABD982-A499-4CCF-92AE-E3557743F3AA}"/>
            </a:ext>
          </a:extLst>
        </xdr:cNvPr>
        <xdr:cNvSpPr/>
      </xdr:nvSpPr>
      <xdr:spPr bwMode="gray">
        <a:xfrm>
          <a:off x="1905000" y="9399951"/>
          <a:ext cx="3533775" cy="1695450"/>
        </a:xfrm>
        <a:prstGeom prst="rect">
          <a:avLst/>
        </a:prstGeom>
        <a:noFill/>
        <a:ln w="28575" algn="ctr">
          <a:solidFill>
            <a:schemeClr val="accent1"/>
          </a:solidFill>
          <a:miter lim="800000"/>
          <a:headEnd/>
          <a:tailEnd/>
        </a:ln>
        <a:effectLst/>
      </xdr:spPr>
      <xdr:txBody>
        <a:bodyPr vertOverflow="clip" horzOverflow="clip" wrap="square" lIns="72000" tIns="36000" rIns="72000" bIns="36000" rtlCol="0" anchor="ctr">
          <a:noAutofit/>
        </a:bodyPr>
        <a:lstStyle/>
        <a:p>
          <a:pPr algn="ctr" fontAlgn="auto">
            <a:spcBef>
              <a:spcPts val="0"/>
            </a:spcBef>
            <a:spcAft>
              <a:spcPts val="0"/>
            </a:spcAft>
            <a:buClr>
              <a:srgbClr val="000000"/>
            </a:buClr>
          </a:pPr>
          <a:endParaRPr kumimoji="1" lang="ja-JP" altLang="en-US" sz="1100">
            <a:solidFill>
              <a:sysClr val="windowText" lastClr="000000"/>
            </a:solidFill>
            <a:latin typeface="ＭＳ Ｐゴシック" pitchFamily="50" charset="-128"/>
            <a:cs typeface="+mn-cs"/>
          </a:endParaRPr>
        </a:p>
      </xdr:txBody>
    </xdr:sp>
    <xdr:clientData/>
  </xdr:twoCellAnchor>
  <xdr:twoCellAnchor>
    <xdr:from>
      <xdr:col>8</xdr:col>
      <xdr:colOff>476251</xdr:colOff>
      <xdr:row>46</xdr:row>
      <xdr:rowOff>103551</xdr:rowOff>
    </xdr:from>
    <xdr:to>
      <xdr:col>11</xdr:col>
      <xdr:colOff>438151</xdr:colOff>
      <xdr:row>55</xdr:row>
      <xdr:rowOff>65451</xdr:rowOff>
    </xdr:to>
    <xdr:sp macro="" textlink="">
      <xdr:nvSpPr>
        <xdr:cNvPr id="28" name="正方形/長方形 27">
          <a:extLst>
            <a:ext uri="{FF2B5EF4-FFF2-40B4-BE49-F238E27FC236}">
              <a16:creationId xmlns:a16="http://schemas.microsoft.com/office/drawing/2014/main" id="{BB0420E5-8F2E-4562-A17B-652BC095BF71}"/>
            </a:ext>
          </a:extLst>
        </xdr:cNvPr>
        <xdr:cNvSpPr/>
      </xdr:nvSpPr>
      <xdr:spPr bwMode="gray">
        <a:xfrm>
          <a:off x="5457826" y="9399951"/>
          <a:ext cx="2019300" cy="1695450"/>
        </a:xfrm>
        <a:prstGeom prst="rect">
          <a:avLst/>
        </a:prstGeom>
        <a:noFill/>
        <a:ln w="28575" algn="ctr">
          <a:solidFill>
            <a:schemeClr val="accent5"/>
          </a:solidFill>
          <a:miter lim="800000"/>
          <a:headEnd/>
          <a:tailEnd/>
        </a:ln>
        <a:effectLst/>
      </xdr:spPr>
      <xdr:txBody>
        <a:bodyPr vertOverflow="clip" horzOverflow="clip" wrap="square" lIns="72000" tIns="36000" rIns="72000" bIns="36000" rtlCol="0" anchor="ctr">
          <a:noAutofit/>
        </a:bodyPr>
        <a:lstStyle/>
        <a:p>
          <a:pPr algn="ctr" fontAlgn="auto">
            <a:spcBef>
              <a:spcPts val="0"/>
            </a:spcBef>
            <a:spcAft>
              <a:spcPts val="0"/>
            </a:spcAft>
            <a:buClr>
              <a:srgbClr val="000000"/>
            </a:buClr>
          </a:pPr>
          <a:endParaRPr kumimoji="1" lang="ja-JP" altLang="en-US" sz="1100">
            <a:solidFill>
              <a:sysClr val="windowText" lastClr="000000"/>
            </a:solidFill>
            <a:latin typeface="ＭＳ Ｐゴシック" pitchFamily="50" charset="-128"/>
            <a:cs typeface="+mn-cs"/>
          </a:endParaRPr>
        </a:p>
      </xdr:txBody>
    </xdr:sp>
    <xdr:clientData/>
  </xdr:twoCellAnchor>
  <xdr:twoCellAnchor>
    <xdr:from>
      <xdr:col>0</xdr:col>
      <xdr:colOff>133350</xdr:colOff>
      <xdr:row>40</xdr:row>
      <xdr:rowOff>83855</xdr:rowOff>
    </xdr:from>
    <xdr:to>
      <xdr:col>2</xdr:col>
      <xdr:colOff>361950</xdr:colOff>
      <xdr:row>44</xdr:row>
      <xdr:rowOff>164397</xdr:rowOff>
    </xdr:to>
    <xdr:sp macro="" textlink="">
      <xdr:nvSpPr>
        <xdr:cNvPr id="29" name="吹き出し: 四角形 28">
          <a:extLst>
            <a:ext uri="{FF2B5EF4-FFF2-40B4-BE49-F238E27FC236}">
              <a16:creationId xmlns:a16="http://schemas.microsoft.com/office/drawing/2014/main" id="{AB511A4F-54A6-4F6F-8D18-412866FEF8A8}"/>
            </a:ext>
          </a:extLst>
        </xdr:cNvPr>
        <xdr:cNvSpPr/>
      </xdr:nvSpPr>
      <xdr:spPr bwMode="gray">
        <a:xfrm>
          <a:off x="133350" y="8294405"/>
          <a:ext cx="1600200" cy="804442"/>
        </a:xfrm>
        <a:prstGeom prst="wedgeRectCallout">
          <a:avLst>
            <a:gd name="adj1" fmla="val 22190"/>
            <a:gd name="adj2" fmla="val 110697"/>
          </a:avLst>
        </a:prstGeom>
        <a:solidFill>
          <a:srgbClr val="FFCD00"/>
        </a:solidFill>
        <a:ln w="12700" algn="ctr">
          <a:noFill/>
          <a:miter lim="800000"/>
          <a:headEnd/>
          <a:tailEnd/>
        </a:ln>
        <a:effectLst/>
      </xdr:spPr>
      <xdr:txBody>
        <a:bodyPr vertOverflow="clip" horzOverflow="clip" wrap="square" lIns="72000" tIns="36000" rIns="72000" bIns="36000" rtlCol="0" anchor="ctr">
          <a:spAutoFit/>
        </a:bodyPr>
        <a:lstStyle/>
        <a:p>
          <a:pPr algn="l" fontAlgn="auto">
            <a:spcBef>
              <a:spcPts val="0"/>
            </a:spcBef>
            <a:spcAft>
              <a:spcPts val="0"/>
            </a:spcAft>
            <a:buClr>
              <a:srgbClr val="000000"/>
            </a:buClr>
          </a:pPr>
          <a:r>
            <a:rPr kumimoji="1" lang="ja-JP" altLang="en-US" sz="1100">
              <a:solidFill>
                <a:sysClr val="windowText" lastClr="000000"/>
              </a:solidFill>
              <a:latin typeface="ＭＳ Ｐゴシック" pitchFamily="50" charset="-128"/>
              <a:cs typeface="+mn-cs"/>
            </a:rPr>
            <a:t>算定で使用される数値（実績値・想定値、もしくは仮定値が採用される）</a:t>
          </a:r>
        </a:p>
      </xdr:txBody>
    </xdr:sp>
    <xdr:clientData/>
  </xdr:twoCellAnchor>
  <xdr:twoCellAnchor>
    <xdr:from>
      <xdr:col>3</xdr:col>
      <xdr:colOff>304800</xdr:colOff>
      <xdr:row>38</xdr:row>
      <xdr:rowOff>169581</xdr:rowOff>
    </xdr:from>
    <xdr:to>
      <xdr:col>8</xdr:col>
      <xdr:colOff>57150</xdr:colOff>
      <xdr:row>43</xdr:row>
      <xdr:rowOff>69148</xdr:rowOff>
    </xdr:to>
    <xdr:sp macro="" textlink="">
      <xdr:nvSpPr>
        <xdr:cNvPr id="30" name="吹き出し: 四角形 29">
          <a:extLst>
            <a:ext uri="{FF2B5EF4-FFF2-40B4-BE49-F238E27FC236}">
              <a16:creationId xmlns:a16="http://schemas.microsoft.com/office/drawing/2014/main" id="{6A27EDC6-11A5-4F2B-8A66-BA89CBEA5205}"/>
            </a:ext>
          </a:extLst>
        </xdr:cNvPr>
        <xdr:cNvSpPr/>
      </xdr:nvSpPr>
      <xdr:spPr bwMode="gray">
        <a:xfrm>
          <a:off x="2047875" y="8018181"/>
          <a:ext cx="2990850" cy="804442"/>
        </a:xfrm>
        <a:prstGeom prst="wedgeRectCallout">
          <a:avLst>
            <a:gd name="adj1" fmla="val -45100"/>
            <a:gd name="adj2" fmla="val 139585"/>
          </a:avLst>
        </a:prstGeom>
        <a:solidFill>
          <a:schemeClr val="accent1"/>
        </a:solidFill>
        <a:ln w="12700" algn="ctr">
          <a:noFill/>
          <a:miter lim="800000"/>
          <a:headEnd/>
          <a:tailEnd/>
        </a:ln>
        <a:effectLst/>
      </xdr:spPr>
      <xdr:txBody>
        <a:bodyPr vertOverflow="clip" horzOverflow="clip" wrap="square" lIns="72000" tIns="36000" rIns="72000" bIns="36000" rtlCol="0" anchor="ctr">
          <a:spAutoFit/>
        </a:bodyPr>
        <a:lstStyle/>
        <a:p>
          <a:pPr algn="l" fontAlgn="auto">
            <a:spcBef>
              <a:spcPts val="0"/>
            </a:spcBef>
            <a:spcAft>
              <a:spcPts val="0"/>
            </a:spcAft>
            <a:buClr>
              <a:srgbClr val="000000"/>
            </a:buClr>
          </a:pPr>
          <a:r>
            <a:rPr kumimoji="1" lang="ja-JP" altLang="en-US" sz="1100">
              <a:solidFill>
                <a:sysClr val="windowText" lastClr="000000"/>
              </a:solidFill>
              <a:latin typeface="ＭＳ Ｐゴシック" pitchFamily="50" charset="-128"/>
              <a:cs typeface="+mn-cs"/>
            </a:rPr>
            <a:t>各自治体での実績値、もしくは想定される値を入力する（備考欄（</a:t>
          </a:r>
          <a:r>
            <a:rPr kumimoji="1" lang="en-US" altLang="ja-JP" sz="1100">
              <a:solidFill>
                <a:sysClr val="windowText" lastClr="000000"/>
              </a:solidFill>
              <a:latin typeface="ＭＳ Ｐゴシック" pitchFamily="50" charset="-128"/>
              <a:cs typeface="+mn-cs"/>
            </a:rPr>
            <a:t>J</a:t>
          </a:r>
          <a:r>
            <a:rPr kumimoji="1" lang="ja-JP" altLang="en-US" sz="1100">
              <a:solidFill>
                <a:sysClr val="windowText" lastClr="000000"/>
              </a:solidFill>
              <a:latin typeface="ＭＳ Ｐゴシック" pitchFamily="50" charset="-128"/>
              <a:cs typeface="+mn-cs"/>
            </a:rPr>
            <a:t>列）はメモ欄として適宜ご活用ください）</a:t>
          </a:r>
        </a:p>
      </xdr:txBody>
    </xdr:sp>
    <xdr:clientData/>
  </xdr:twoCellAnchor>
  <xdr:twoCellAnchor>
    <xdr:from>
      <xdr:col>8</xdr:col>
      <xdr:colOff>590550</xdr:colOff>
      <xdr:row>37</xdr:row>
      <xdr:rowOff>47625</xdr:rowOff>
    </xdr:from>
    <xdr:to>
      <xdr:col>13</xdr:col>
      <xdr:colOff>219075</xdr:colOff>
      <xdr:row>43</xdr:row>
      <xdr:rowOff>10130</xdr:rowOff>
    </xdr:to>
    <xdr:sp macro="" textlink="">
      <xdr:nvSpPr>
        <xdr:cNvPr id="31" name="吹き出し: 四角形 30">
          <a:extLst>
            <a:ext uri="{FF2B5EF4-FFF2-40B4-BE49-F238E27FC236}">
              <a16:creationId xmlns:a16="http://schemas.microsoft.com/office/drawing/2014/main" id="{C7BE7DB3-ABB4-4F35-A82C-3906C9FA1DCB}"/>
            </a:ext>
          </a:extLst>
        </xdr:cNvPr>
        <xdr:cNvSpPr/>
      </xdr:nvSpPr>
      <xdr:spPr bwMode="gray">
        <a:xfrm>
          <a:off x="5572125" y="7715250"/>
          <a:ext cx="3057525" cy="1048355"/>
        </a:xfrm>
        <a:prstGeom prst="wedgeRectCallout">
          <a:avLst>
            <a:gd name="adj1" fmla="val -45100"/>
            <a:gd name="adj2" fmla="val 139585"/>
          </a:avLst>
        </a:prstGeom>
        <a:solidFill>
          <a:schemeClr val="accent5"/>
        </a:solidFill>
        <a:ln w="12700" algn="ctr">
          <a:noFill/>
          <a:miter lim="800000"/>
          <a:headEnd/>
          <a:tailEnd/>
        </a:ln>
        <a:effectLst/>
      </xdr:spPr>
      <xdr:txBody>
        <a:bodyPr vertOverflow="clip" horzOverflow="clip" wrap="square" lIns="72000" tIns="36000" rIns="72000" bIns="36000" rtlCol="0" anchor="ctr">
          <a:spAutoFit/>
        </a:bodyPr>
        <a:lstStyle/>
        <a:p>
          <a:pPr algn="l" fontAlgn="auto">
            <a:spcBef>
              <a:spcPts val="0"/>
            </a:spcBef>
            <a:spcAft>
              <a:spcPts val="0"/>
            </a:spcAft>
            <a:buClr>
              <a:srgbClr val="000000"/>
            </a:buClr>
          </a:pPr>
          <a:r>
            <a:rPr kumimoji="1" lang="ja-JP" altLang="en-US" sz="1100">
              <a:solidFill>
                <a:schemeClr val="bg1"/>
              </a:solidFill>
              <a:latin typeface="ＭＳ Ｐゴシック" pitchFamily="50" charset="-128"/>
              <a:cs typeface="+mn-cs"/>
            </a:rPr>
            <a:t>手引きや公開されている数値等を基に算定した仮定値を入力する（備考欄（</a:t>
          </a:r>
          <a:r>
            <a:rPr kumimoji="1" lang="en-US" altLang="ja-JP" sz="1100">
              <a:solidFill>
                <a:schemeClr val="bg1"/>
              </a:solidFill>
              <a:latin typeface="ＭＳ Ｐゴシック" pitchFamily="50" charset="-128"/>
              <a:cs typeface="+mn-cs"/>
            </a:rPr>
            <a:t>L</a:t>
          </a:r>
          <a:r>
            <a:rPr kumimoji="1" lang="ja-JP" altLang="en-US" sz="1100">
              <a:solidFill>
                <a:schemeClr val="bg1"/>
              </a:solidFill>
              <a:latin typeface="ＭＳ Ｐゴシック" pitchFamily="50" charset="-128"/>
              <a:cs typeface="+mn-cs"/>
            </a:rPr>
            <a:t>列）に「仮定値算定シート」と書いてあるセルは「仮定値算定」シートから引用（一部手動で数値を確認する）</a:t>
          </a:r>
        </a:p>
      </xdr:txBody>
    </xdr:sp>
    <xdr:clientData/>
  </xdr:twoCellAnchor>
  <xdr:twoCellAnchor>
    <xdr:from>
      <xdr:col>1</xdr:col>
      <xdr:colOff>428625</xdr:colOff>
      <xdr:row>55</xdr:row>
      <xdr:rowOff>149686</xdr:rowOff>
    </xdr:from>
    <xdr:to>
      <xdr:col>11</xdr:col>
      <xdr:colOff>390525</xdr:colOff>
      <xdr:row>57</xdr:row>
      <xdr:rowOff>107488</xdr:rowOff>
    </xdr:to>
    <xdr:sp macro="" textlink="">
      <xdr:nvSpPr>
        <xdr:cNvPr id="32" name="正方形/長方形 31">
          <a:extLst>
            <a:ext uri="{FF2B5EF4-FFF2-40B4-BE49-F238E27FC236}">
              <a16:creationId xmlns:a16="http://schemas.microsoft.com/office/drawing/2014/main" id="{EB2B1241-0877-09CC-D9E0-B313FD4695D3}"/>
            </a:ext>
          </a:extLst>
        </xdr:cNvPr>
        <xdr:cNvSpPr/>
      </xdr:nvSpPr>
      <xdr:spPr bwMode="gray">
        <a:xfrm>
          <a:off x="1114425" y="10608136"/>
          <a:ext cx="6315075" cy="338802"/>
        </a:xfrm>
        <a:prstGeom prst="rect">
          <a:avLst/>
        </a:prstGeom>
        <a:solidFill>
          <a:schemeClr val="accent4"/>
        </a:solidFill>
        <a:ln w="12700" algn="ctr">
          <a:noFill/>
          <a:miter lim="800000"/>
          <a:headEnd/>
          <a:tailEnd/>
        </a:ln>
        <a:effectLst/>
      </xdr:spPr>
      <xdr:txBody>
        <a:bodyPr vertOverflow="clip" horzOverflow="clip" wrap="square" lIns="72000" tIns="36000" rIns="72000" bIns="36000" rtlCol="0" anchor="ctr">
          <a:spAutoFit/>
        </a:bodyPr>
        <a:lstStyle/>
        <a:p>
          <a:pPr algn="ctr" fontAlgn="auto">
            <a:spcBef>
              <a:spcPts val="0"/>
            </a:spcBef>
            <a:spcAft>
              <a:spcPts val="0"/>
            </a:spcAft>
            <a:buClr>
              <a:srgbClr val="000000"/>
            </a:buClr>
          </a:pPr>
          <a:r>
            <a:rPr kumimoji="1" lang="ja-JP" altLang="en-US" sz="1200" b="1">
              <a:solidFill>
                <a:schemeClr val="bg1"/>
              </a:solidFill>
              <a:latin typeface="ＭＳ Ｐゴシック" pitchFamily="50" charset="-128"/>
              <a:cs typeface="+mn-cs"/>
            </a:rPr>
            <a:t>図</a:t>
          </a:r>
          <a:r>
            <a:rPr kumimoji="1" lang="en-US" altLang="ja-JP" sz="1200" b="1">
              <a:solidFill>
                <a:schemeClr val="bg1"/>
              </a:solidFill>
              <a:latin typeface="ＭＳ Ｐゴシック" pitchFamily="50" charset="-128"/>
              <a:cs typeface="+mn-cs"/>
            </a:rPr>
            <a:t>1 </a:t>
          </a:r>
          <a:r>
            <a:rPr kumimoji="1" lang="ja-JP" altLang="en-US" sz="1200" b="1">
              <a:solidFill>
                <a:schemeClr val="bg1"/>
              </a:solidFill>
              <a:latin typeface="ＭＳ Ｐゴシック" pitchFamily="50" charset="-128"/>
              <a:cs typeface="+mn-cs"/>
            </a:rPr>
            <a:t>数値の入力について</a:t>
          </a:r>
        </a:p>
      </xdr:txBody>
    </xdr:sp>
    <xdr:clientData/>
  </xdr:twoCellAnchor>
  <xdr:twoCellAnchor>
    <xdr:from>
      <xdr:col>1</xdr:col>
      <xdr:colOff>590550</xdr:colOff>
      <xdr:row>53</xdr:row>
      <xdr:rowOff>175068</xdr:rowOff>
    </xdr:from>
    <xdr:to>
      <xdr:col>3</xdr:col>
      <xdr:colOff>76200</xdr:colOff>
      <xdr:row>55</xdr:row>
      <xdr:rowOff>0</xdr:rowOff>
    </xdr:to>
    <xdr:sp macro="" textlink="">
      <xdr:nvSpPr>
        <xdr:cNvPr id="33" name="正方形/長方形 32">
          <a:extLst>
            <a:ext uri="{FF2B5EF4-FFF2-40B4-BE49-F238E27FC236}">
              <a16:creationId xmlns:a16="http://schemas.microsoft.com/office/drawing/2014/main" id="{B07F6C1E-D92E-C10C-9457-0F341B0869DE}"/>
            </a:ext>
          </a:extLst>
        </xdr:cNvPr>
        <xdr:cNvSpPr/>
      </xdr:nvSpPr>
      <xdr:spPr bwMode="gray">
        <a:xfrm>
          <a:off x="1276350" y="10824018"/>
          <a:ext cx="542925" cy="205932"/>
        </a:xfrm>
        <a:prstGeom prst="rect">
          <a:avLst/>
        </a:prstGeom>
        <a:solidFill>
          <a:schemeClr val="bg2"/>
        </a:solidFill>
        <a:ln w="12700" algn="ctr">
          <a:noFill/>
          <a:miter lim="800000"/>
          <a:headEnd/>
          <a:tailEnd/>
        </a:ln>
        <a:effectLst/>
      </xdr:spPr>
      <xdr:txBody>
        <a:bodyPr vertOverflow="clip" horzOverflow="clip" wrap="square" lIns="72000" tIns="36000" rIns="72000" bIns="36000" rtlCol="0" anchor="ctr">
          <a:noAutofit/>
        </a:bodyPr>
        <a:lstStyle/>
        <a:p>
          <a:pPr algn="ctr" fontAlgn="auto">
            <a:spcBef>
              <a:spcPts val="0"/>
            </a:spcBef>
            <a:spcAft>
              <a:spcPts val="0"/>
            </a:spcAft>
            <a:buClr>
              <a:srgbClr val="000000"/>
            </a:buClr>
          </a:pPr>
          <a:r>
            <a:rPr kumimoji="1" lang="en-US" altLang="ja-JP" sz="1100" b="1">
              <a:solidFill>
                <a:schemeClr val="tx1"/>
              </a:solidFill>
              <a:latin typeface="ＭＳ Ｐゴシック" pitchFamily="50" charset="-128"/>
              <a:cs typeface="+mn-cs"/>
            </a:rPr>
            <a:t>H</a:t>
          </a:r>
          <a:r>
            <a:rPr kumimoji="1" lang="ja-JP" altLang="en-US" sz="1100" b="1">
              <a:solidFill>
                <a:schemeClr val="tx1"/>
              </a:solidFill>
              <a:latin typeface="ＭＳ Ｐゴシック" pitchFamily="50" charset="-128"/>
              <a:cs typeface="+mn-cs"/>
            </a:rPr>
            <a:t>列</a:t>
          </a:r>
        </a:p>
      </xdr:txBody>
    </xdr:sp>
    <xdr:clientData/>
  </xdr:twoCellAnchor>
  <xdr:twoCellAnchor>
    <xdr:from>
      <xdr:col>3</xdr:col>
      <xdr:colOff>247650</xdr:colOff>
      <xdr:row>53</xdr:row>
      <xdr:rowOff>184593</xdr:rowOff>
    </xdr:from>
    <xdr:to>
      <xdr:col>4</xdr:col>
      <xdr:colOff>447675</xdr:colOff>
      <xdr:row>55</xdr:row>
      <xdr:rowOff>9525</xdr:rowOff>
    </xdr:to>
    <xdr:sp macro="" textlink="">
      <xdr:nvSpPr>
        <xdr:cNvPr id="34" name="正方形/長方形 33">
          <a:extLst>
            <a:ext uri="{FF2B5EF4-FFF2-40B4-BE49-F238E27FC236}">
              <a16:creationId xmlns:a16="http://schemas.microsoft.com/office/drawing/2014/main" id="{22EAF6BC-65E4-4CEE-9D04-FFA83EE75DC9}"/>
            </a:ext>
          </a:extLst>
        </xdr:cNvPr>
        <xdr:cNvSpPr/>
      </xdr:nvSpPr>
      <xdr:spPr bwMode="gray">
        <a:xfrm>
          <a:off x="1990725" y="10833543"/>
          <a:ext cx="542925" cy="205932"/>
        </a:xfrm>
        <a:prstGeom prst="rect">
          <a:avLst/>
        </a:prstGeom>
        <a:solidFill>
          <a:schemeClr val="bg2"/>
        </a:solidFill>
        <a:ln w="12700" algn="ctr">
          <a:noFill/>
          <a:miter lim="800000"/>
          <a:headEnd/>
          <a:tailEnd/>
        </a:ln>
        <a:effectLst/>
      </xdr:spPr>
      <xdr:txBody>
        <a:bodyPr vertOverflow="clip" horzOverflow="clip" wrap="square" lIns="72000" tIns="36000" rIns="72000" bIns="36000" rtlCol="0" anchor="ctr">
          <a:noAutofit/>
        </a:bodyPr>
        <a:lstStyle/>
        <a:p>
          <a:pPr algn="ctr" fontAlgn="auto">
            <a:spcBef>
              <a:spcPts val="0"/>
            </a:spcBef>
            <a:spcAft>
              <a:spcPts val="0"/>
            </a:spcAft>
            <a:buClr>
              <a:srgbClr val="000000"/>
            </a:buClr>
          </a:pPr>
          <a:r>
            <a:rPr kumimoji="1" lang="en-US" altLang="ja-JP" sz="1100" b="1">
              <a:solidFill>
                <a:schemeClr val="tx1"/>
              </a:solidFill>
              <a:latin typeface="ＭＳ Ｐゴシック" pitchFamily="50" charset="-128"/>
              <a:cs typeface="+mn-cs"/>
            </a:rPr>
            <a:t>I</a:t>
          </a:r>
          <a:r>
            <a:rPr kumimoji="1" lang="ja-JP" altLang="en-US" sz="1100" b="1">
              <a:solidFill>
                <a:schemeClr val="tx1"/>
              </a:solidFill>
              <a:latin typeface="ＭＳ Ｐゴシック" pitchFamily="50" charset="-128"/>
              <a:cs typeface="+mn-cs"/>
            </a:rPr>
            <a:t>列</a:t>
          </a:r>
        </a:p>
      </xdr:txBody>
    </xdr:sp>
    <xdr:clientData/>
  </xdr:twoCellAnchor>
  <xdr:twoCellAnchor>
    <xdr:from>
      <xdr:col>6</xdr:col>
      <xdr:colOff>133350</xdr:colOff>
      <xdr:row>54</xdr:row>
      <xdr:rowOff>3618</xdr:rowOff>
    </xdr:from>
    <xdr:to>
      <xdr:col>6</xdr:col>
      <xdr:colOff>676275</xdr:colOff>
      <xdr:row>55</xdr:row>
      <xdr:rowOff>19050</xdr:rowOff>
    </xdr:to>
    <xdr:sp macro="" textlink="">
      <xdr:nvSpPr>
        <xdr:cNvPr id="35" name="正方形/長方形 34">
          <a:extLst>
            <a:ext uri="{FF2B5EF4-FFF2-40B4-BE49-F238E27FC236}">
              <a16:creationId xmlns:a16="http://schemas.microsoft.com/office/drawing/2014/main" id="{49551059-F165-49B2-B978-DBBF94AB13A9}"/>
            </a:ext>
          </a:extLst>
        </xdr:cNvPr>
        <xdr:cNvSpPr/>
      </xdr:nvSpPr>
      <xdr:spPr bwMode="gray">
        <a:xfrm>
          <a:off x="3743325" y="10843068"/>
          <a:ext cx="542925" cy="205932"/>
        </a:xfrm>
        <a:prstGeom prst="rect">
          <a:avLst/>
        </a:prstGeom>
        <a:solidFill>
          <a:schemeClr val="bg2"/>
        </a:solidFill>
        <a:ln w="12700" algn="ctr">
          <a:noFill/>
          <a:miter lim="800000"/>
          <a:headEnd/>
          <a:tailEnd/>
        </a:ln>
        <a:effectLst/>
      </xdr:spPr>
      <xdr:txBody>
        <a:bodyPr vertOverflow="clip" horzOverflow="clip" wrap="square" lIns="72000" tIns="36000" rIns="72000" bIns="36000" rtlCol="0" anchor="ctr">
          <a:noAutofit/>
        </a:bodyPr>
        <a:lstStyle/>
        <a:p>
          <a:pPr algn="ctr" fontAlgn="auto">
            <a:spcBef>
              <a:spcPts val="0"/>
            </a:spcBef>
            <a:spcAft>
              <a:spcPts val="0"/>
            </a:spcAft>
            <a:buClr>
              <a:srgbClr val="000000"/>
            </a:buClr>
          </a:pPr>
          <a:r>
            <a:rPr kumimoji="1" lang="en-US" altLang="ja-JP" sz="1100" b="1">
              <a:solidFill>
                <a:schemeClr val="tx1"/>
              </a:solidFill>
              <a:latin typeface="ＭＳ Ｐゴシック" pitchFamily="50" charset="-128"/>
              <a:cs typeface="+mn-cs"/>
            </a:rPr>
            <a:t>J</a:t>
          </a:r>
          <a:r>
            <a:rPr kumimoji="1" lang="ja-JP" altLang="en-US" sz="1100" b="1">
              <a:solidFill>
                <a:schemeClr val="tx1"/>
              </a:solidFill>
              <a:latin typeface="ＭＳ Ｐゴシック" pitchFamily="50" charset="-128"/>
              <a:cs typeface="+mn-cs"/>
            </a:rPr>
            <a:t>列</a:t>
          </a:r>
        </a:p>
      </xdr:txBody>
    </xdr:sp>
    <xdr:clientData/>
  </xdr:twoCellAnchor>
  <xdr:twoCellAnchor>
    <xdr:from>
      <xdr:col>8</xdr:col>
      <xdr:colOff>561975</xdr:colOff>
      <xdr:row>54</xdr:row>
      <xdr:rowOff>3618</xdr:rowOff>
    </xdr:from>
    <xdr:to>
      <xdr:col>9</xdr:col>
      <xdr:colOff>419100</xdr:colOff>
      <xdr:row>55</xdr:row>
      <xdr:rowOff>19050</xdr:rowOff>
    </xdr:to>
    <xdr:sp macro="" textlink="">
      <xdr:nvSpPr>
        <xdr:cNvPr id="36" name="正方形/長方形 35">
          <a:extLst>
            <a:ext uri="{FF2B5EF4-FFF2-40B4-BE49-F238E27FC236}">
              <a16:creationId xmlns:a16="http://schemas.microsoft.com/office/drawing/2014/main" id="{F6817D5E-569A-47EC-B77E-6C11CA9BC933}"/>
            </a:ext>
          </a:extLst>
        </xdr:cNvPr>
        <xdr:cNvSpPr/>
      </xdr:nvSpPr>
      <xdr:spPr bwMode="gray">
        <a:xfrm>
          <a:off x="5543550" y="10843068"/>
          <a:ext cx="542925" cy="205932"/>
        </a:xfrm>
        <a:prstGeom prst="rect">
          <a:avLst/>
        </a:prstGeom>
        <a:solidFill>
          <a:schemeClr val="bg2"/>
        </a:solidFill>
        <a:ln w="12700" algn="ctr">
          <a:noFill/>
          <a:miter lim="800000"/>
          <a:headEnd/>
          <a:tailEnd/>
        </a:ln>
        <a:effectLst/>
      </xdr:spPr>
      <xdr:txBody>
        <a:bodyPr vertOverflow="clip" horzOverflow="clip" wrap="square" lIns="72000" tIns="36000" rIns="72000" bIns="36000" rtlCol="0" anchor="ctr">
          <a:noAutofit/>
        </a:bodyPr>
        <a:lstStyle/>
        <a:p>
          <a:pPr algn="ctr" fontAlgn="auto">
            <a:spcBef>
              <a:spcPts val="0"/>
            </a:spcBef>
            <a:spcAft>
              <a:spcPts val="0"/>
            </a:spcAft>
            <a:buClr>
              <a:srgbClr val="000000"/>
            </a:buClr>
          </a:pPr>
          <a:r>
            <a:rPr kumimoji="1" lang="en-US" altLang="ja-JP" sz="1100" b="1">
              <a:solidFill>
                <a:schemeClr val="tx1"/>
              </a:solidFill>
              <a:latin typeface="ＭＳ Ｐゴシック" pitchFamily="50" charset="-128"/>
              <a:cs typeface="+mn-cs"/>
            </a:rPr>
            <a:t>K</a:t>
          </a:r>
          <a:r>
            <a:rPr kumimoji="1" lang="ja-JP" altLang="en-US" sz="1100" b="1">
              <a:solidFill>
                <a:schemeClr val="tx1"/>
              </a:solidFill>
              <a:latin typeface="ＭＳ Ｐゴシック" pitchFamily="50" charset="-128"/>
              <a:cs typeface="+mn-cs"/>
            </a:rPr>
            <a:t>列</a:t>
          </a:r>
        </a:p>
      </xdr:txBody>
    </xdr:sp>
    <xdr:clientData/>
  </xdr:twoCellAnchor>
  <xdr:twoCellAnchor>
    <xdr:from>
      <xdr:col>10</xdr:col>
      <xdr:colOff>114300</xdr:colOff>
      <xdr:row>54</xdr:row>
      <xdr:rowOff>16336</xdr:rowOff>
    </xdr:from>
    <xdr:to>
      <xdr:col>10</xdr:col>
      <xdr:colOff>657225</xdr:colOff>
      <xdr:row>55</xdr:row>
      <xdr:rowOff>31768</xdr:rowOff>
    </xdr:to>
    <xdr:sp macro="" textlink="">
      <xdr:nvSpPr>
        <xdr:cNvPr id="37" name="正方形/長方形 36">
          <a:extLst>
            <a:ext uri="{FF2B5EF4-FFF2-40B4-BE49-F238E27FC236}">
              <a16:creationId xmlns:a16="http://schemas.microsoft.com/office/drawing/2014/main" id="{4610BC7D-A6CC-4A8A-BE52-7CBCF6A8E911}"/>
            </a:ext>
          </a:extLst>
        </xdr:cNvPr>
        <xdr:cNvSpPr/>
      </xdr:nvSpPr>
      <xdr:spPr bwMode="gray">
        <a:xfrm>
          <a:off x="6467475" y="10855786"/>
          <a:ext cx="542925" cy="205932"/>
        </a:xfrm>
        <a:prstGeom prst="rect">
          <a:avLst/>
        </a:prstGeom>
        <a:solidFill>
          <a:schemeClr val="bg2"/>
        </a:solidFill>
        <a:ln w="12700" algn="ctr">
          <a:noFill/>
          <a:miter lim="800000"/>
          <a:headEnd/>
          <a:tailEnd/>
        </a:ln>
        <a:effectLst/>
      </xdr:spPr>
      <xdr:txBody>
        <a:bodyPr vertOverflow="clip" horzOverflow="clip" wrap="square" lIns="72000" tIns="36000" rIns="72000" bIns="36000" rtlCol="0" anchor="ctr">
          <a:noAutofit/>
        </a:bodyPr>
        <a:lstStyle/>
        <a:p>
          <a:pPr algn="ctr" fontAlgn="auto">
            <a:spcBef>
              <a:spcPts val="0"/>
            </a:spcBef>
            <a:spcAft>
              <a:spcPts val="0"/>
            </a:spcAft>
            <a:buClr>
              <a:srgbClr val="000000"/>
            </a:buClr>
          </a:pPr>
          <a:r>
            <a:rPr kumimoji="1" lang="en-US" altLang="ja-JP" sz="1100" b="1">
              <a:solidFill>
                <a:schemeClr val="tx1"/>
              </a:solidFill>
              <a:latin typeface="ＭＳ Ｐゴシック" pitchFamily="50" charset="-128"/>
              <a:cs typeface="+mn-cs"/>
            </a:rPr>
            <a:t>L</a:t>
          </a:r>
          <a:r>
            <a:rPr kumimoji="1" lang="ja-JP" altLang="en-US" sz="1100" b="1">
              <a:solidFill>
                <a:schemeClr val="tx1"/>
              </a:solidFill>
              <a:latin typeface="ＭＳ Ｐゴシック" pitchFamily="50" charset="-128"/>
              <a:cs typeface="+mn-cs"/>
            </a:rPr>
            <a:t>列</a:t>
          </a:r>
        </a:p>
      </xdr:txBody>
    </xdr:sp>
    <xdr:clientData/>
  </xdr:twoCellAnchor>
  <xdr:twoCellAnchor>
    <xdr:from>
      <xdr:col>13</xdr:col>
      <xdr:colOff>438150</xdr:colOff>
      <xdr:row>60</xdr:row>
      <xdr:rowOff>35386</xdr:rowOff>
    </xdr:from>
    <xdr:to>
      <xdr:col>24</xdr:col>
      <xdr:colOff>657225</xdr:colOff>
      <xdr:row>62</xdr:row>
      <xdr:rowOff>2713</xdr:rowOff>
    </xdr:to>
    <xdr:sp macro="" textlink="">
      <xdr:nvSpPr>
        <xdr:cNvPr id="42" name="正方形/長方形 41">
          <a:extLst>
            <a:ext uri="{FF2B5EF4-FFF2-40B4-BE49-F238E27FC236}">
              <a16:creationId xmlns:a16="http://schemas.microsoft.com/office/drawing/2014/main" id="{6D2624FA-4393-4A95-9E33-28BBD81F5D26}"/>
            </a:ext>
          </a:extLst>
        </xdr:cNvPr>
        <xdr:cNvSpPr/>
      </xdr:nvSpPr>
      <xdr:spPr bwMode="gray">
        <a:xfrm>
          <a:off x="8848725" y="11446336"/>
          <a:ext cx="7543800" cy="338802"/>
        </a:xfrm>
        <a:prstGeom prst="rect">
          <a:avLst/>
        </a:prstGeom>
        <a:solidFill>
          <a:schemeClr val="accent4"/>
        </a:solidFill>
        <a:ln w="12700" algn="ctr">
          <a:noFill/>
          <a:miter lim="800000"/>
          <a:headEnd/>
          <a:tailEnd/>
        </a:ln>
        <a:effectLst/>
      </xdr:spPr>
      <xdr:txBody>
        <a:bodyPr vertOverflow="clip" horzOverflow="clip" wrap="square" lIns="72000" tIns="36000" rIns="72000" bIns="36000" rtlCol="0" anchor="ctr">
          <a:spAutoFit/>
        </a:bodyPr>
        <a:lstStyle/>
        <a:p>
          <a:pPr algn="ctr" fontAlgn="auto">
            <a:spcBef>
              <a:spcPts val="0"/>
            </a:spcBef>
            <a:spcAft>
              <a:spcPts val="0"/>
            </a:spcAft>
            <a:buClr>
              <a:srgbClr val="000000"/>
            </a:buClr>
          </a:pPr>
          <a:r>
            <a:rPr kumimoji="1" lang="ja-JP" altLang="en-US" sz="1200" b="1">
              <a:solidFill>
                <a:schemeClr val="bg1"/>
              </a:solidFill>
              <a:latin typeface="ＭＳ Ｐゴシック" pitchFamily="50" charset="-128"/>
              <a:cs typeface="+mn-cs"/>
            </a:rPr>
            <a:t>図</a:t>
          </a:r>
          <a:r>
            <a:rPr kumimoji="1" lang="en-US" altLang="ja-JP" sz="1200" b="1">
              <a:solidFill>
                <a:schemeClr val="bg1"/>
              </a:solidFill>
              <a:latin typeface="ＭＳ Ｐゴシック" pitchFamily="50" charset="-128"/>
              <a:cs typeface="+mn-cs"/>
            </a:rPr>
            <a:t>2 </a:t>
          </a:r>
          <a:r>
            <a:rPr kumimoji="1" lang="ja-JP" altLang="en-US" sz="1200" b="1">
              <a:solidFill>
                <a:schemeClr val="bg1"/>
              </a:solidFill>
              <a:latin typeface="ＭＳ Ｐゴシック" pitchFamily="50" charset="-128"/>
              <a:cs typeface="+mn-cs"/>
            </a:rPr>
            <a:t>仮定値算定シートの一部パラメータへの入力について</a:t>
          </a:r>
        </a:p>
      </xdr:txBody>
    </xdr:sp>
    <xdr:clientData/>
  </xdr:twoCellAnchor>
  <xdr:twoCellAnchor>
    <xdr:from>
      <xdr:col>26</xdr:col>
      <xdr:colOff>419100</xdr:colOff>
      <xdr:row>58</xdr:row>
      <xdr:rowOff>117705</xdr:rowOff>
    </xdr:from>
    <xdr:to>
      <xdr:col>37</xdr:col>
      <xdr:colOff>590550</xdr:colOff>
      <xdr:row>60</xdr:row>
      <xdr:rowOff>75507</xdr:rowOff>
    </xdr:to>
    <xdr:sp macro="" textlink="">
      <xdr:nvSpPr>
        <xdr:cNvPr id="43" name="正方形/長方形 42">
          <a:extLst>
            <a:ext uri="{FF2B5EF4-FFF2-40B4-BE49-F238E27FC236}">
              <a16:creationId xmlns:a16="http://schemas.microsoft.com/office/drawing/2014/main" id="{BA44C31D-5CA4-487B-BCF8-BA2932D5220B}"/>
            </a:ext>
          </a:extLst>
        </xdr:cNvPr>
        <xdr:cNvSpPr/>
      </xdr:nvSpPr>
      <xdr:spPr bwMode="gray">
        <a:xfrm>
          <a:off x="17706975" y="11147655"/>
          <a:ext cx="7715250" cy="338802"/>
        </a:xfrm>
        <a:prstGeom prst="rect">
          <a:avLst/>
        </a:prstGeom>
        <a:solidFill>
          <a:schemeClr val="accent4"/>
        </a:solidFill>
        <a:ln w="12700" algn="ctr">
          <a:noFill/>
          <a:miter lim="800000"/>
          <a:headEnd/>
          <a:tailEnd/>
        </a:ln>
        <a:effectLst/>
      </xdr:spPr>
      <xdr:txBody>
        <a:bodyPr vertOverflow="clip" horzOverflow="clip" wrap="square" lIns="72000" tIns="36000" rIns="72000" bIns="36000" rtlCol="0" anchor="ctr">
          <a:spAutoFit/>
        </a:bodyPr>
        <a:lstStyle/>
        <a:p>
          <a:pPr algn="ctr" fontAlgn="auto">
            <a:spcBef>
              <a:spcPts val="0"/>
            </a:spcBef>
            <a:spcAft>
              <a:spcPts val="0"/>
            </a:spcAft>
            <a:buClr>
              <a:srgbClr val="000000"/>
            </a:buClr>
          </a:pPr>
          <a:r>
            <a:rPr kumimoji="1" lang="ja-JP" altLang="en-US" sz="1200" b="1">
              <a:solidFill>
                <a:schemeClr val="bg1"/>
              </a:solidFill>
              <a:latin typeface="ＭＳ Ｐゴシック" pitchFamily="50" charset="-128"/>
              <a:cs typeface="+mn-cs"/>
            </a:rPr>
            <a:t>図</a:t>
          </a:r>
          <a:r>
            <a:rPr kumimoji="1" lang="en-US" altLang="ja-JP" sz="1200" b="1">
              <a:solidFill>
                <a:schemeClr val="bg1"/>
              </a:solidFill>
              <a:latin typeface="ＭＳ Ｐゴシック" pitchFamily="50" charset="-128"/>
              <a:cs typeface="+mn-cs"/>
            </a:rPr>
            <a:t>3 </a:t>
          </a:r>
          <a:r>
            <a:rPr kumimoji="1" lang="ja-JP" altLang="en-US" sz="1200" b="1">
              <a:solidFill>
                <a:schemeClr val="bg1"/>
              </a:solidFill>
              <a:latin typeface="ＭＳ Ｐゴシック" pitchFamily="50" charset="-128"/>
              <a:cs typeface="+mn-cs"/>
            </a:rPr>
            <a:t>数量・環境性（</a:t>
          </a:r>
          <a:r>
            <a:rPr kumimoji="1" lang="en-US" altLang="ja-JP" sz="1200" b="1">
              <a:solidFill>
                <a:schemeClr val="bg1"/>
              </a:solidFill>
              <a:latin typeface="ＭＳ Ｐゴシック" pitchFamily="50" charset="-128"/>
              <a:cs typeface="+mn-cs"/>
            </a:rPr>
            <a:t>CO2</a:t>
          </a:r>
          <a:r>
            <a:rPr kumimoji="1" lang="ja-JP" altLang="en-US" sz="1200" b="1">
              <a:solidFill>
                <a:schemeClr val="bg1"/>
              </a:solidFill>
              <a:latin typeface="ＭＳ Ｐゴシック" pitchFamily="50" charset="-128"/>
              <a:cs typeface="+mn-cs"/>
            </a:rPr>
            <a:t>排出量）・経済性（コスト）・の各算定結果の確認について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195262</xdr:colOff>
      <xdr:row>73</xdr:row>
      <xdr:rowOff>161925</xdr:rowOff>
    </xdr:from>
    <xdr:to>
      <xdr:col>20</xdr:col>
      <xdr:colOff>666750</xdr:colOff>
      <xdr:row>96</xdr:row>
      <xdr:rowOff>53100</xdr:rowOff>
    </xdr:to>
    <xdr:graphicFrame macro="">
      <xdr:nvGraphicFramePr>
        <xdr:cNvPr id="2" name="グラフ 1">
          <a:extLst>
            <a:ext uri="{FF2B5EF4-FFF2-40B4-BE49-F238E27FC236}">
              <a16:creationId xmlns:a16="http://schemas.microsoft.com/office/drawing/2014/main" id="{CAA1970D-50DB-482A-BB10-45E3DF9C8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14286</xdr:colOff>
      <xdr:row>31</xdr:row>
      <xdr:rowOff>166687</xdr:rowOff>
    </xdr:from>
    <xdr:to>
      <xdr:col>20</xdr:col>
      <xdr:colOff>676275</xdr:colOff>
      <xdr:row>54</xdr:row>
      <xdr:rowOff>57150</xdr:rowOff>
    </xdr:to>
    <xdr:graphicFrame macro="">
      <xdr:nvGraphicFramePr>
        <xdr:cNvPr id="3" name="グラフ 2">
          <a:extLst>
            <a:ext uri="{FF2B5EF4-FFF2-40B4-BE49-F238E27FC236}">
              <a16:creationId xmlns:a16="http://schemas.microsoft.com/office/drawing/2014/main" id="{935BAECC-73C4-4418-B1E3-C9FFD53AAC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0</xdr:colOff>
      <xdr:row>32</xdr:row>
      <xdr:rowOff>0</xdr:rowOff>
    </xdr:from>
    <xdr:to>
      <xdr:col>47</xdr:col>
      <xdr:colOff>34800</xdr:colOff>
      <xdr:row>54</xdr:row>
      <xdr:rowOff>71438</xdr:rowOff>
    </xdr:to>
    <xdr:graphicFrame macro="">
      <xdr:nvGraphicFramePr>
        <xdr:cNvPr id="4" name="グラフ 3">
          <a:extLst>
            <a:ext uri="{FF2B5EF4-FFF2-40B4-BE49-F238E27FC236}">
              <a16:creationId xmlns:a16="http://schemas.microsoft.com/office/drawing/2014/main" id="{C049911C-C4B4-4233-A9AE-1707A24BC6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138110</xdr:colOff>
      <xdr:row>122</xdr:row>
      <xdr:rowOff>142875</xdr:rowOff>
    </xdr:from>
    <xdr:to>
      <xdr:col>21</xdr:col>
      <xdr:colOff>124685</xdr:colOff>
      <xdr:row>151</xdr:row>
      <xdr:rowOff>171450</xdr:rowOff>
    </xdr:to>
    <xdr:graphicFrame macro="">
      <xdr:nvGraphicFramePr>
        <xdr:cNvPr id="13" name="グラフ 12">
          <a:extLst>
            <a:ext uri="{FF2B5EF4-FFF2-40B4-BE49-F238E27FC236}">
              <a16:creationId xmlns:a16="http://schemas.microsoft.com/office/drawing/2014/main" id="{8E3F8D25-4007-5A82-7E15-5E9B8B35D2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561975</xdr:colOff>
      <xdr:row>144</xdr:row>
      <xdr:rowOff>19050</xdr:rowOff>
    </xdr:from>
    <xdr:to>
      <xdr:col>21</xdr:col>
      <xdr:colOff>19050</xdr:colOff>
      <xdr:row>145</xdr:row>
      <xdr:rowOff>114300</xdr:rowOff>
    </xdr:to>
    <xdr:sp macro="" textlink="">
      <xdr:nvSpPr>
        <xdr:cNvPr id="7" name="正方形/長方形 6">
          <a:extLst>
            <a:ext uri="{FF2B5EF4-FFF2-40B4-BE49-F238E27FC236}">
              <a16:creationId xmlns:a16="http://schemas.microsoft.com/office/drawing/2014/main" id="{1DA8A5E8-9380-3D54-E5D6-5B68FE998849}"/>
            </a:ext>
          </a:extLst>
        </xdr:cNvPr>
        <xdr:cNvSpPr/>
      </xdr:nvSpPr>
      <xdr:spPr bwMode="gray">
        <a:xfrm>
          <a:off x="15211425" y="26584275"/>
          <a:ext cx="828675" cy="276225"/>
        </a:xfrm>
        <a:prstGeom prst="rect">
          <a:avLst/>
        </a:prstGeom>
        <a:solidFill>
          <a:schemeClr val="bg1"/>
        </a:solidFill>
        <a:ln w="12700" algn="ctr">
          <a:solidFill>
            <a:schemeClr val="bg1"/>
          </a:solidFill>
          <a:miter lim="800000"/>
          <a:headEnd/>
          <a:tailEnd/>
        </a:ln>
        <a:effectLst/>
      </xdr:spPr>
      <xdr:txBody>
        <a:bodyPr vertOverflow="clip" horzOverflow="clip" wrap="square" lIns="72000" tIns="36000" rIns="72000" bIns="36000" rtlCol="0" anchor="ctr">
          <a:spAutoFit/>
        </a:bodyPr>
        <a:lstStyle/>
        <a:p>
          <a:pPr algn="ctr" fontAlgn="auto">
            <a:spcBef>
              <a:spcPts val="0"/>
            </a:spcBef>
            <a:spcAft>
              <a:spcPts val="0"/>
            </a:spcAft>
            <a:buClr>
              <a:srgbClr val="000000"/>
            </a:buClr>
          </a:pPr>
          <a:endParaRPr kumimoji="1" lang="ja-JP" altLang="en-US" sz="1100">
            <a:solidFill>
              <a:sysClr val="windowText" lastClr="000000"/>
            </a:solidFill>
            <a:latin typeface="ＭＳ Ｐゴシック" pitchFamily="50" charset="-128"/>
            <a:cs typeface="+mn-cs"/>
          </a:endParaRPr>
        </a:p>
      </xdr:txBody>
    </xdr:sp>
    <xdr:clientData/>
  </xdr:twoCellAnchor>
</xdr:wsDr>
</file>

<file path=xl/theme/theme1.xml><?xml version="1.0" encoding="utf-8"?>
<a:theme xmlns:a="http://schemas.openxmlformats.org/drawingml/2006/main" name="DT Proposal Template_J_2016">
  <a:themeElements>
    <a:clrScheme name="DT">
      <a:dk1>
        <a:sysClr val="windowText" lastClr="000000"/>
      </a:dk1>
      <a:lt1>
        <a:sysClr val="window" lastClr="FFFFFF"/>
      </a:lt1>
      <a:dk2>
        <a:srgbClr val="53565A"/>
      </a:dk2>
      <a:lt2>
        <a:srgbClr val="D0D0CE"/>
      </a:lt2>
      <a:accent1>
        <a:srgbClr val="86BC25"/>
      </a:accent1>
      <a:accent2>
        <a:srgbClr val="43B02A"/>
      </a:accent2>
      <a:accent3>
        <a:srgbClr val="26890D"/>
      </a:accent3>
      <a:accent4>
        <a:srgbClr val="046A38"/>
      </a:accent4>
      <a:accent5>
        <a:srgbClr val="0D8390"/>
      </a:accent5>
      <a:accent6>
        <a:srgbClr val="007CB0"/>
      </a:accent6>
      <a:hlink>
        <a:srgbClr val="00A3E0"/>
      </a:hlink>
      <a:folHlink>
        <a:srgbClr val="7F7F7F"/>
      </a:folHlink>
    </a:clrScheme>
    <a:fontScheme name="DT">
      <a:majorFont>
        <a:latin typeface="Calibri"/>
        <a:ea typeface="Yu Gothic UI"/>
        <a:cs typeface=""/>
      </a:majorFont>
      <a:minorFont>
        <a:latin typeface="Calibri Light"/>
        <a:ea typeface="Yu Gothic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bg2"/>
        </a:solidFill>
        <a:ln w="12700" algn="ctr">
          <a:solidFill>
            <a:schemeClr val="accent6"/>
          </a:solidFill>
          <a:miter lim="800000"/>
          <a:headEnd/>
          <a:tailEnd/>
        </a:ln>
        <a:effectLst/>
      </a:spPr>
      <a:bodyPr vertOverflow="clip" horzOverflow="clip" wrap="square" lIns="72000" tIns="36000" rIns="72000" bIns="36000" anchor="ctr">
        <a:spAutoFit/>
      </a:bodyPr>
      <a:lstStyle>
        <a:defPPr fontAlgn="auto">
          <a:spcBef>
            <a:spcPts val="0"/>
          </a:spcBef>
          <a:spcAft>
            <a:spcPts val="0"/>
          </a:spcAft>
          <a:buClr>
            <a:srgbClr val="000000"/>
          </a:buClr>
          <a:defRPr kumimoji="1" sz="1100">
            <a:solidFill>
              <a:sysClr val="windowText" lastClr="000000"/>
            </a:solidFill>
            <a:latin typeface="ＭＳ Ｐゴシック" pitchFamily="50" charset="-128"/>
            <a:cs typeface="+mn-cs"/>
          </a:defRPr>
        </a:defPPr>
      </a:lstStyle>
    </a:spDef>
    <a:lnDef>
      <a:spPr>
        <a:ln w="12700">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none" lIns="0" tIns="0" rIns="0" bIns="0" rtlCol="0">
        <a:spAutoFit/>
      </a:bodyPr>
      <a:lstStyle>
        <a:defPPr>
          <a:spcBef>
            <a:spcPts val="0"/>
          </a:spcBef>
          <a:buSzPct val="100000"/>
          <a:defRPr kumimoji="1" sz="1200" dirty="0" smtClean="0"/>
        </a:defPPr>
      </a:lstStyle>
    </a:txDef>
  </a:objectDefaults>
  <a:extraClrSchemeLst/>
  <a:custClrLst>
    <a:custClr name="Green 7">
      <a:srgbClr val="2C5234"/>
    </a:custClr>
    <a:custClr name="Green 6">
      <a:srgbClr val="046A38"/>
    </a:custClr>
    <a:custClr name="Green 5">
      <a:srgbClr val="009A44"/>
    </a:custClr>
    <a:custClr name="Green 4">
      <a:srgbClr val="43B02A"/>
    </a:custClr>
    <a:custClr name="Deloitte Green">
      <a:srgbClr val="86BC25"/>
    </a:custClr>
    <a:custClr name="Green 2">
      <a:srgbClr val="C4D600"/>
    </a:custClr>
    <a:custClr name="Green 1">
      <a:srgbClr val="E3E48D"/>
    </a:custClr>
    <a:custClr name="Teal 7">
      <a:srgbClr val="004F59"/>
    </a:custClr>
    <a:custClr name="Teal 6">
      <a:srgbClr val="007680"/>
    </a:custClr>
    <a:custClr name="Teal 5">
      <a:srgbClr val="0097A9"/>
    </a:custClr>
    <a:custClr name="Teal 4">
      <a:srgbClr val="00ABAB"/>
    </a:custClr>
    <a:custClr name="Teal 3">
      <a:srgbClr val="6FC2B4"/>
    </a:custClr>
    <a:custClr name="Teal 2">
      <a:srgbClr val="9DD4CF"/>
    </a:custClr>
    <a:custClr name="Teal 1">
      <a:srgbClr val="DDEFE8"/>
    </a:custClr>
    <a:custClr name="Blue 7">
      <a:srgbClr val="041E42"/>
    </a:custClr>
    <a:custClr name="Blue 6">
      <a:srgbClr val="012169"/>
    </a:custClr>
    <a:custClr name="Blue 5">
      <a:srgbClr val="005587"/>
    </a:custClr>
    <a:custClr name="Blue 4">
      <a:srgbClr val="0076A8"/>
    </a:custClr>
    <a:custClr name="Blue 3">
      <a:srgbClr val="00A3E0"/>
    </a:custClr>
    <a:custClr name="Blue 2">
      <a:srgbClr val="62B5E5"/>
    </a:custClr>
    <a:custClr name="Blue 1">
      <a:srgbClr val="A0DCFF"/>
    </a:custClr>
    <a:custClr name="Cool Gray 11">
      <a:srgbClr val="53565A"/>
    </a:custClr>
    <a:custClr name="Cool Gray 10">
      <a:srgbClr val="63666A"/>
    </a:custClr>
    <a:custClr name="Cool Gray 9">
      <a:srgbClr val="75787B"/>
    </a:custClr>
    <a:custClr name="Cool Gray 7">
      <a:srgbClr val="97999B"/>
    </a:custClr>
    <a:custClr name="Cool Gray 6">
      <a:srgbClr val="A7A8AA"/>
    </a:custClr>
    <a:custClr name="Cool Gray 4">
      <a:srgbClr val="BBBCBC"/>
    </a:custClr>
    <a:custClr name="Cool Gray 2">
      <a:srgbClr val="D0D0CE"/>
    </a:custClr>
    <a:custClr name="White">
      <a:srgbClr val="FFFFFF"/>
    </a:custClr>
    <a:custClr name="Black">
      <a:srgbClr val="000000"/>
    </a:custClr>
    <a:custClr name="Red">
      <a:srgbClr val="DA291C"/>
    </a:custClr>
    <a:custClr name="Orange">
      <a:srgbClr val="ED8B00"/>
    </a:custClr>
    <a:custClr name="Yellow">
      <a:srgbClr val="FFCD00"/>
    </a:custClr>
  </a:custClrLst>
  <a:extLst>
    <a:ext uri="{05A4C25C-085E-4340-85A3-A5531E510DB2}">
      <thm15:themeFamily xmlns:thm15="http://schemas.microsoft.com/office/thememl/2012/main" name="DT Proposal Template_J_2016" id="{EE8F1711-D810-4674-9AF8-E1E6FCC60286}" vid="{AA342723-FF8A-43D4-BC5A-43C803765122}"/>
    </a:ext>
  </a:extLst>
</a:theme>
</file>

<file path=xl/worksheets/_rels/sheet1.xml.rels><?xml version="1.0" encoding="UTF-8" standalone="yes"?><Relationships xmlns="http://schemas.openxmlformats.org/package/2006/relationships"><Relationship Id="rId1" Target="../drawings/drawing1.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2.xml.rels><?xml version="1.0" encoding="UTF-8" standalone="yes"?><Relationships xmlns="http://schemas.openxmlformats.org/package/2006/relationships"><Relationship Id="rId1"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28E0F-F8C5-4C96-B3AF-87B681700703}">
  <sheetPr>
    <tabColor theme="4" tint="0.79998168889431442"/>
  </sheetPr>
  <dimension ref="B2:Y48"/>
  <sheetViews>
    <sheetView showGridLines="0" tabSelected="1" workbookViewId="0">
      <selection activeCell="P38" sqref="P38"/>
    </sheetView>
  </sheetViews>
  <sheetFormatPr defaultRowHeight="14.25"/>
  <sheetData>
    <row r="2" spans="2:25">
      <c r="B2" s="405" t="s">
        <v>0</v>
      </c>
      <c r="C2" s="404" t="s">
        <v>1</v>
      </c>
      <c r="D2" s="404"/>
      <c r="E2" s="404"/>
      <c r="F2" s="404"/>
      <c r="G2" s="404"/>
      <c r="H2" s="404"/>
      <c r="I2" s="404"/>
      <c r="J2" s="404"/>
      <c r="K2" s="404"/>
      <c r="L2" s="404"/>
      <c r="M2" s="404"/>
      <c r="N2" s="404"/>
      <c r="O2" s="404"/>
      <c r="P2" s="404"/>
      <c r="Q2" s="404"/>
      <c r="R2" s="404"/>
      <c r="S2" s="404"/>
      <c r="T2" s="404"/>
      <c r="U2" s="404"/>
      <c r="V2" s="404"/>
      <c r="W2" s="404"/>
      <c r="X2" s="404"/>
      <c r="Y2" s="404"/>
    </row>
    <row r="3" spans="2:25">
      <c r="B3" s="405"/>
      <c r="C3" s="404"/>
      <c r="D3" s="404"/>
      <c r="E3" s="404"/>
      <c r="F3" s="404"/>
      <c r="G3" s="404"/>
      <c r="H3" s="404"/>
      <c r="I3" s="404"/>
      <c r="J3" s="404"/>
      <c r="K3" s="404"/>
      <c r="L3" s="404"/>
      <c r="M3" s="404"/>
      <c r="N3" s="404"/>
      <c r="O3" s="404"/>
      <c r="P3" s="404"/>
      <c r="Q3" s="404"/>
      <c r="R3" s="404"/>
      <c r="S3" s="404"/>
      <c r="T3" s="404"/>
      <c r="U3" s="404"/>
      <c r="V3" s="404"/>
      <c r="W3" s="404"/>
      <c r="X3" s="404"/>
      <c r="Y3" s="404"/>
    </row>
    <row r="4" spans="2:25">
      <c r="B4" s="405"/>
      <c r="C4" s="404"/>
      <c r="D4" s="404"/>
      <c r="E4" s="404"/>
      <c r="F4" s="404"/>
      <c r="G4" s="404"/>
      <c r="H4" s="404"/>
      <c r="I4" s="404"/>
      <c r="J4" s="404"/>
      <c r="K4" s="404"/>
      <c r="L4" s="404"/>
      <c r="M4" s="404"/>
      <c r="N4" s="404"/>
      <c r="O4" s="404"/>
      <c r="P4" s="404"/>
      <c r="Q4" s="404"/>
      <c r="R4" s="404"/>
      <c r="S4" s="404"/>
      <c r="T4" s="404"/>
      <c r="U4" s="404"/>
      <c r="V4" s="404"/>
      <c r="W4" s="404"/>
      <c r="X4" s="404"/>
      <c r="Y4" s="404"/>
    </row>
    <row r="6" spans="2:25" ht="14.25" customHeight="1">
      <c r="B6" s="405" t="s">
        <v>2</v>
      </c>
      <c r="C6" s="406" t="s">
        <v>3</v>
      </c>
      <c r="D6" s="406"/>
      <c r="E6" s="406"/>
      <c r="F6" s="406"/>
      <c r="G6" s="406"/>
      <c r="H6" s="406"/>
      <c r="I6" s="406"/>
      <c r="J6" s="406"/>
      <c r="K6" s="406"/>
      <c r="L6" s="406"/>
      <c r="M6" s="406"/>
      <c r="N6" s="406"/>
      <c r="O6" s="406"/>
      <c r="P6" s="406"/>
      <c r="Q6" s="406"/>
      <c r="R6" s="406"/>
      <c r="S6" s="406"/>
      <c r="T6" s="406"/>
      <c r="U6" s="406"/>
      <c r="V6" s="406"/>
      <c r="W6" s="406"/>
      <c r="X6" s="406"/>
      <c r="Y6" s="406"/>
    </row>
    <row r="7" spans="2:25">
      <c r="B7" s="405"/>
      <c r="C7" s="406"/>
      <c r="D7" s="406"/>
      <c r="E7" s="406"/>
      <c r="F7" s="406"/>
      <c r="G7" s="406"/>
      <c r="H7" s="406"/>
      <c r="I7" s="406"/>
      <c r="J7" s="406"/>
      <c r="K7" s="406"/>
      <c r="L7" s="406"/>
      <c r="M7" s="406"/>
      <c r="N7" s="406"/>
      <c r="O7" s="406"/>
      <c r="P7" s="406"/>
      <c r="Q7" s="406"/>
      <c r="R7" s="406"/>
      <c r="S7" s="406"/>
      <c r="T7" s="406"/>
      <c r="U7" s="406"/>
      <c r="V7" s="406"/>
      <c r="W7" s="406"/>
      <c r="X7" s="406"/>
      <c r="Y7" s="406"/>
    </row>
    <row r="8" spans="2:25">
      <c r="B8" s="405"/>
      <c r="C8" s="406"/>
      <c r="D8" s="406"/>
      <c r="E8" s="406"/>
      <c r="F8" s="406"/>
      <c r="G8" s="406"/>
      <c r="H8" s="406"/>
      <c r="I8" s="406"/>
      <c r="J8" s="406"/>
      <c r="K8" s="406"/>
      <c r="L8" s="406"/>
      <c r="M8" s="406"/>
      <c r="N8" s="406"/>
      <c r="O8" s="406"/>
      <c r="P8" s="406"/>
      <c r="Q8" s="406"/>
      <c r="R8" s="406"/>
      <c r="S8" s="406"/>
      <c r="T8" s="406"/>
      <c r="U8" s="406"/>
      <c r="V8" s="406"/>
      <c r="W8" s="406"/>
      <c r="X8" s="406"/>
      <c r="Y8" s="406"/>
    </row>
    <row r="9" spans="2:25">
      <c r="B9" s="405"/>
      <c r="C9" s="406"/>
      <c r="D9" s="406"/>
      <c r="E9" s="406"/>
      <c r="F9" s="406"/>
      <c r="G9" s="406"/>
      <c r="H9" s="406"/>
      <c r="I9" s="406"/>
      <c r="J9" s="406"/>
      <c r="K9" s="406"/>
      <c r="L9" s="406"/>
      <c r="M9" s="406"/>
      <c r="N9" s="406"/>
      <c r="O9" s="406"/>
      <c r="P9" s="406"/>
      <c r="Q9" s="406"/>
      <c r="R9" s="406"/>
      <c r="S9" s="406"/>
      <c r="T9" s="406"/>
      <c r="U9" s="406"/>
      <c r="V9" s="406"/>
      <c r="W9" s="406"/>
      <c r="X9" s="406"/>
      <c r="Y9" s="406"/>
    </row>
    <row r="10" spans="2:25">
      <c r="B10" s="405"/>
      <c r="C10" s="406"/>
      <c r="D10" s="406"/>
      <c r="E10" s="406"/>
      <c r="F10" s="406"/>
      <c r="G10" s="406"/>
      <c r="H10" s="406"/>
      <c r="I10" s="406"/>
      <c r="J10" s="406"/>
      <c r="K10" s="406"/>
      <c r="L10" s="406"/>
      <c r="M10" s="406"/>
      <c r="N10" s="406"/>
      <c r="O10" s="406"/>
      <c r="P10" s="406"/>
      <c r="Q10" s="406"/>
      <c r="R10" s="406"/>
      <c r="S10" s="406"/>
      <c r="T10" s="406"/>
      <c r="U10" s="406"/>
      <c r="V10" s="406"/>
      <c r="W10" s="406"/>
      <c r="X10" s="406"/>
      <c r="Y10" s="406"/>
    </row>
    <row r="11" spans="2:25">
      <c r="B11" s="405"/>
      <c r="C11" s="406"/>
      <c r="D11" s="406"/>
      <c r="E11" s="406"/>
      <c r="F11" s="406"/>
      <c r="G11" s="406"/>
      <c r="H11" s="406"/>
      <c r="I11" s="406"/>
      <c r="J11" s="406"/>
      <c r="K11" s="406"/>
      <c r="L11" s="406"/>
      <c r="M11" s="406"/>
      <c r="N11" s="406"/>
      <c r="O11" s="406"/>
      <c r="P11" s="406"/>
      <c r="Q11" s="406"/>
      <c r="R11" s="406"/>
      <c r="S11" s="406"/>
      <c r="T11" s="406"/>
      <c r="U11" s="406"/>
      <c r="V11" s="406"/>
      <c r="W11" s="406"/>
      <c r="X11" s="406"/>
      <c r="Y11" s="406"/>
    </row>
    <row r="12" spans="2:25">
      <c r="B12" s="405"/>
      <c r="C12" s="406"/>
      <c r="D12" s="406"/>
      <c r="E12" s="406"/>
      <c r="F12" s="406"/>
      <c r="G12" s="406"/>
      <c r="H12" s="406"/>
      <c r="I12" s="406"/>
      <c r="J12" s="406"/>
      <c r="K12" s="406"/>
      <c r="L12" s="406"/>
      <c r="M12" s="406"/>
      <c r="N12" s="406"/>
      <c r="O12" s="406"/>
      <c r="P12" s="406"/>
      <c r="Q12" s="406"/>
      <c r="R12" s="406"/>
      <c r="S12" s="406"/>
      <c r="T12" s="406"/>
      <c r="U12" s="406"/>
      <c r="V12" s="406"/>
      <c r="W12" s="406"/>
      <c r="X12" s="406"/>
      <c r="Y12" s="406"/>
    </row>
    <row r="13" spans="2:25">
      <c r="C13" s="315"/>
      <c r="D13" s="315"/>
      <c r="E13" s="315"/>
      <c r="F13" s="315"/>
      <c r="G13" s="315"/>
      <c r="H13" s="315"/>
      <c r="I13" s="315"/>
      <c r="J13" s="315"/>
      <c r="K13" s="315"/>
      <c r="L13" s="315"/>
      <c r="M13" s="315"/>
      <c r="N13" s="315"/>
      <c r="O13" s="315"/>
      <c r="P13" s="315"/>
      <c r="Q13" s="315"/>
      <c r="R13" s="315"/>
      <c r="S13" s="315"/>
      <c r="T13" s="315"/>
      <c r="U13" s="315"/>
      <c r="V13" s="315"/>
      <c r="W13" s="315"/>
      <c r="X13" s="315"/>
      <c r="Y13" s="315"/>
    </row>
    <row r="14" spans="2:25">
      <c r="B14" s="405" t="s">
        <v>4</v>
      </c>
      <c r="C14" s="407"/>
      <c r="D14" s="408"/>
      <c r="E14" s="408"/>
      <c r="F14" s="408"/>
      <c r="G14" s="408"/>
      <c r="H14" s="408"/>
      <c r="I14" s="408"/>
      <c r="J14" s="408"/>
      <c r="K14" s="408"/>
      <c r="L14" s="408"/>
      <c r="M14" s="408"/>
      <c r="N14" s="408"/>
      <c r="O14" s="408"/>
      <c r="P14" s="408"/>
      <c r="Q14" s="408"/>
      <c r="R14" s="408"/>
      <c r="S14" s="408"/>
      <c r="T14" s="408"/>
      <c r="U14" s="408"/>
      <c r="V14" s="408"/>
      <c r="W14" s="408"/>
      <c r="X14" s="408"/>
      <c r="Y14" s="409"/>
    </row>
    <row r="15" spans="2:25">
      <c r="B15" s="405"/>
      <c r="C15" s="410"/>
      <c r="D15" s="411"/>
      <c r="E15" s="411"/>
      <c r="F15" s="411"/>
      <c r="G15" s="411"/>
      <c r="H15" s="411"/>
      <c r="I15" s="411"/>
      <c r="J15" s="411"/>
      <c r="K15" s="411"/>
      <c r="L15" s="411"/>
      <c r="M15" s="411"/>
      <c r="N15" s="411"/>
      <c r="O15" s="411"/>
      <c r="P15" s="411"/>
      <c r="Q15" s="411"/>
      <c r="R15" s="411"/>
      <c r="S15" s="411"/>
      <c r="T15" s="411"/>
      <c r="U15" s="411"/>
      <c r="V15" s="411"/>
      <c r="W15" s="411"/>
      <c r="X15" s="411"/>
      <c r="Y15" s="412"/>
    </row>
    <row r="16" spans="2:25">
      <c r="B16" s="405"/>
      <c r="C16" s="410"/>
      <c r="D16" s="411"/>
      <c r="E16" s="411"/>
      <c r="F16" s="411"/>
      <c r="G16" s="411"/>
      <c r="H16" s="411"/>
      <c r="I16" s="411"/>
      <c r="J16" s="411"/>
      <c r="K16" s="411"/>
      <c r="L16" s="411"/>
      <c r="M16" s="411"/>
      <c r="N16" s="411"/>
      <c r="O16" s="411"/>
      <c r="P16" s="411"/>
      <c r="Q16" s="411"/>
      <c r="R16" s="411"/>
      <c r="S16" s="411"/>
      <c r="T16" s="411"/>
      <c r="U16" s="411"/>
      <c r="V16" s="411"/>
      <c r="W16" s="411"/>
      <c r="X16" s="411"/>
      <c r="Y16" s="412"/>
    </row>
    <row r="17" spans="2:25" ht="13.5" customHeight="1">
      <c r="B17" s="405"/>
      <c r="C17" s="410"/>
      <c r="D17" s="411"/>
      <c r="E17" s="411"/>
      <c r="F17" s="411"/>
      <c r="G17" s="411"/>
      <c r="H17" s="411"/>
      <c r="I17" s="411"/>
      <c r="J17" s="411"/>
      <c r="K17" s="411"/>
      <c r="L17" s="411"/>
      <c r="M17" s="411"/>
      <c r="N17" s="411"/>
      <c r="O17" s="411"/>
      <c r="P17" s="411"/>
      <c r="Q17" s="411"/>
      <c r="R17" s="411"/>
      <c r="S17" s="411"/>
      <c r="T17" s="411"/>
      <c r="U17" s="411"/>
      <c r="V17" s="411"/>
      <c r="W17" s="411"/>
      <c r="X17" s="411"/>
      <c r="Y17" s="412"/>
    </row>
    <row r="18" spans="2:25">
      <c r="B18" s="405"/>
      <c r="C18" s="410"/>
      <c r="D18" s="411"/>
      <c r="E18" s="411"/>
      <c r="F18" s="411"/>
      <c r="G18" s="411"/>
      <c r="H18" s="411"/>
      <c r="I18" s="411"/>
      <c r="J18" s="411"/>
      <c r="K18" s="411"/>
      <c r="L18" s="411"/>
      <c r="M18" s="411"/>
      <c r="N18" s="411"/>
      <c r="O18" s="411"/>
      <c r="P18" s="411"/>
      <c r="Q18" s="411"/>
      <c r="R18" s="411"/>
      <c r="S18" s="411"/>
      <c r="T18" s="411"/>
      <c r="U18" s="411"/>
      <c r="V18" s="411"/>
      <c r="W18" s="411"/>
      <c r="X18" s="411"/>
      <c r="Y18" s="412"/>
    </row>
    <row r="19" spans="2:25">
      <c r="B19" s="405"/>
      <c r="C19" s="410"/>
      <c r="D19" s="411"/>
      <c r="E19" s="411"/>
      <c r="F19" s="411"/>
      <c r="G19" s="411"/>
      <c r="H19" s="411"/>
      <c r="I19" s="411"/>
      <c r="J19" s="411"/>
      <c r="K19" s="411"/>
      <c r="L19" s="411"/>
      <c r="M19" s="411"/>
      <c r="N19" s="411"/>
      <c r="O19" s="411"/>
      <c r="P19" s="411"/>
      <c r="Q19" s="411"/>
      <c r="R19" s="411"/>
      <c r="S19" s="411"/>
      <c r="T19" s="411"/>
      <c r="U19" s="411"/>
      <c r="V19" s="411"/>
      <c r="W19" s="411"/>
      <c r="X19" s="411"/>
      <c r="Y19" s="412"/>
    </row>
    <row r="20" spans="2:25">
      <c r="B20" s="405"/>
      <c r="C20" s="410"/>
      <c r="D20" s="411"/>
      <c r="E20" s="411"/>
      <c r="F20" s="411"/>
      <c r="G20" s="411"/>
      <c r="H20" s="411"/>
      <c r="I20" s="411"/>
      <c r="J20" s="411"/>
      <c r="K20" s="411"/>
      <c r="L20" s="411"/>
      <c r="M20" s="411"/>
      <c r="N20" s="411"/>
      <c r="O20" s="411"/>
      <c r="P20" s="411"/>
      <c r="Q20" s="411"/>
      <c r="R20" s="411"/>
      <c r="S20" s="411"/>
      <c r="T20" s="411"/>
      <c r="U20" s="411"/>
      <c r="V20" s="411"/>
      <c r="W20" s="411"/>
      <c r="X20" s="411"/>
      <c r="Y20" s="412"/>
    </row>
    <row r="21" spans="2:25">
      <c r="B21" s="405"/>
      <c r="C21" s="410"/>
      <c r="D21" s="411"/>
      <c r="E21" s="411"/>
      <c r="F21" s="411"/>
      <c r="G21" s="411"/>
      <c r="H21" s="411"/>
      <c r="I21" s="411"/>
      <c r="J21" s="411"/>
      <c r="K21" s="411"/>
      <c r="L21" s="411"/>
      <c r="M21" s="411"/>
      <c r="N21" s="411"/>
      <c r="O21" s="411"/>
      <c r="P21" s="411"/>
      <c r="Q21" s="411"/>
      <c r="R21" s="411"/>
      <c r="S21" s="411"/>
      <c r="T21" s="411"/>
      <c r="U21" s="411"/>
      <c r="V21" s="411"/>
      <c r="W21" s="411"/>
      <c r="X21" s="411"/>
      <c r="Y21" s="412"/>
    </row>
    <row r="22" spans="2:25">
      <c r="B22" s="405"/>
      <c r="C22" s="410"/>
      <c r="D22" s="411"/>
      <c r="E22" s="411"/>
      <c r="F22" s="411"/>
      <c r="G22" s="411"/>
      <c r="H22" s="411"/>
      <c r="I22" s="411"/>
      <c r="J22" s="411"/>
      <c r="K22" s="411"/>
      <c r="L22" s="411"/>
      <c r="M22" s="411"/>
      <c r="N22" s="411"/>
      <c r="O22" s="411"/>
      <c r="P22" s="411"/>
      <c r="Q22" s="411"/>
      <c r="R22" s="411"/>
      <c r="S22" s="411"/>
      <c r="T22" s="411"/>
      <c r="U22" s="411"/>
      <c r="V22" s="411"/>
      <c r="W22" s="411"/>
      <c r="X22" s="411"/>
      <c r="Y22" s="412"/>
    </row>
    <row r="23" spans="2:25">
      <c r="B23" s="405"/>
      <c r="C23" s="410"/>
      <c r="D23" s="411"/>
      <c r="E23" s="411"/>
      <c r="F23" s="411"/>
      <c r="G23" s="411"/>
      <c r="H23" s="411"/>
      <c r="I23" s="411"/>
      <c r="J23" s="411"/>
      <c r="K23" s="411"/>
      <c r="L23" s="411"/>
      <c r="M23" s="411"/>
      <c r="N23" s="411"/>
      <c r="O23" s="411"/>
      <c r="P23" s="411"/>
      <c r="Q23" s="411"/>
      <c r="R23" s="411"/>
      <c r="S23" s="411"/>
      <c r="T23" s="411"/>
      <c r="U23" s="411"/>
      <c r="V23" s="411"/>
      <c r="W23" s="411"/>
      <c r="X23" s="411"/>
      <c r="Y23" s="412"/>
    </row>
    <row r="24" spans="2:25">
      <c r="B24" s="405"/>
      <c r="C24" s="410"/>
      <c r="D24" s="411"/>
      <c r="E24" s="411"/>
      <c r="F24" s="411"/>
      <c r="G24" s="411"/>
      <c r="H24" s="411"/>
      <c r="I24" s="411"/>
      <c r="J24" s="411"/>
      <c r="K24" s="411"/>
      <c r="L24" s="411"/>
      <c r="M24" s="411"/>
      <c r="N24" s="411"/>
      <c r="O24" s="411"/>
      <c r="P24" s="411"/>
      <c r="Q24" s="411"/>
      <c r="R24" s="411"/>
      <c r="S24" s="411"/>
      <c r="T24" s="411"/>
      <c r="U24" s="411"/>
      <c r="V24" s="411"/>
      <c r="W24" s="411"/>
      <c r="X24" s="411"/>
      <c r="Y24" s="412"/>
    </row>
    <row r="25" spans="2:25">
      <c r="B25" s="405"/>
      <c r="C25" s="410"/>
      <c r="D25" s="411"/>
      <c r="E25" s="411"/>
      <c r="F25" s="411"/>
      <c r="G25" s="411"/>
      <c r="H25" s="411"/>
      <c r="I25" s="411"/>
      <c r="J25" s="411"/>
      <c r="K25" s="411"/>
      <c r="L25" s="411"/>
      <c r="M25" s="411"/>
      <c r="N25" s="411"/>
      <c r="O25" s="411"/>
      <c r="P25" s="411"/>
      <c r="Q25" s="411"/>
      <c r="R25" s="411"/>
      <c r="S25" s="411"/>
      <c r="T25" s="411"/>
      <c r="U25" s="411"/>
      <c r="V25" s="411"/>
      <c r="W25" s="411"/>
      <c r="X25" s="411"/>
      <c r="Y25" s="412"/>
    </row>
    <row r="26" spans="2:25">
      <c r="B26" s="405"/>
      <c r="C26" s="410"/>
      <c r="D26" s="411"/>
      <c r="E26" s="411"/>
      <c r="F26" s="411"/>
      <c r="G26" s="411"/>
      <c r="H26" s="411"/>
      <c r="I26" s="411"/>
      <c r="J26" s="411"/>
      <c r="K26" s="411"/>
      <c r="L26" s="411"/>
      <c r="M26" s="411"/>
      <c r="N26" s="411"/>
      <c r="O26" s="411"/>
      <c r="P26" s="411"/>
      <c r="Q26" s="411"/>
      <c r="R26" s="411"/>
      <c r="S26" s="411"/>
      <c r="T26" s="411"/>
      <c r="U26" s="411"/>
      <c r="V26" s="411"/>
      <c r="W26" s="411"/>
      <c r="X26" s="411"/>
      <c r="Y26" s="412"/>
    </row>
    <row r="27" spans="2:25">
      <c r="B27" s="405"/>
      <c r="C27" s="410"/>
      <c r="D27" s="411"/>
      <c r="E27" s="411"/>
      <c r="F27" s="411"/>
      <c r="G27" s="411"/>
      <c r="H27" s="411"/>
      <c r="I27" s="411"/>
      <c r="J27" s="411"/>
      <c r="K27" s="411"/>
      <c r="L27" s="411"/>
      <c r="M27" s="411"/>
      <c r="N27" s="411"/>
      <c r="O27" s="411"/>
      <c r="P27" s="411"/>
      <c r="Q27" s="411"/>
      <c r="R27" s="411"/>
      <c r="S27" s="411"/>
      <c r="T27" s="411"/>
      <c r="U27" s="411"/>
      <c r="V27" s="411"/>
      <c r="W27" s="411"/>
      <c r="X27" s="411"/>
      <c r="Y27" s="412"/>
    </row>
    <row r="28" spans="2:25">
      <c r="B28" s="405"/>
      <c r="C28" s="410"/>
      <c r="D28" s="411"/>
      <c r="E28" s="411"/>
      <c r="F28" s="411"/>
      <c r="G28" s="411"/>
      <c r="H28" s="411"/>
      <c r="I28" s="411"/>
      <c r="J28" s="411"/>
      <c r="K28" s="411"/>
      <c r="L28" s="411"/>
      <c r="M28" s="411"/>
      <c r="N28" s="411"/>
      <c r="O28" s="411"/>
      <c r="P28" s="411"/>
      <c r="Q28" s="411"/>
      <c r="R28" s="411"/>
      <c r="S28" s="411"/>
      <c r="T28" s="411"/>
      <c r="U28" s="411"/>
      <c r="V28" s="411"/>
      <c r="W28" s="411"/>
      <c r="X28" s="411"/>
      <c r="Y28" s="412"/>
    </row>
    <row r="29" spans="2:25">
      <c r="B29" s="405"/>
      <c r="C29" s="410"/>
      <c r="D29" s="411"/>
      <c r="E29" s="411"/>
      <c r="F29" s="411"/>
      <c r="G29" s="411"/>
      <c r="H29" s="411"/>
      <c r="I29" s="411"/>
      <c r="J29" s="411"/>
      <c r="K29" s="411"/>
      <c r="L29" s="411"/>
      <c r="M29" s="411"/>
      <c r="N29" s="411"/>
      <c r="O29" s="411"/>
      <c r="P29" s="411"/>
      <c r="Q29" s="411"/>
      <c r="R29" s="411"/>
      <c r="S29" s="411"/>
      <c r="T29" s="411"/>
      <c r="U29" s="411"/>
      <c r="V29" s="411"/>
      <c r="W29" s="411"/>
      <c r="X29" s="411"/>
      <c r="Y29" s="412"/>
    </row>
    <row r="30" spans="2:25">
      <c r="B30" s="405"/>
      <c r="C30" s="410"/>
      <c r="D30" s="411"/>
      <c r="E30" s="411"/>
      <c r="F30" s="411"/>
      <c r="G30" s="411"/>
      <c r="H30" s="411"/>
      <c r="I30" s="411"/>
      <c r="J30" s="411"/>
      <c r="K30" s="411"/>
      <c r="L30" s="411"/>
      <c r="M30" s="411"/>
      <c r="N30" s="411"/>
      <c r="O30" s="411"/>
      <c r="P30" s="411"/>
      <c r="Q30" s="411"/>
      <c r="R30" s="411"/>
      <c r="S30" s="411"/>
      <c r="T30" s="411"/>
      <c r="U30" s="411"/>
      <c r="V30" s="411"/>
      <c r="W30" s="411"/>
      <c r="X30" s="411"/>
      <c r="Y30" s="412"/>
    </row>
    <row r="31" spans="2:25">
      <c r="B31" s="405"/>
      <c r="C31" s="410"/>
      <c r="D31" s="411"/>
      <c r="E31" s="411"/>
      <c r="F31" s="411"/>
      <c r="G31" s="411"/>
      <c r="H31" s="411"/>
      <c r="I31" s="411"/>
      <c r="J31" s="411"/>
      <c r="K31" s="411"/>
      <c r="L31" s="411"/>
      <c r="M31" s="411"/>
      <c r="N31" s="411"/>
      <c r="O31" s="411"/>
      <c r="P31" s="411"/>
      <c r="Q31" s="411"/>
      <c r="R31" s="411"/>
      <c r="S31" s="411"/>
      <c r="T31" s="411"/>
      <c r="U31" s="411"/>
      <c r="V31" s="411"/>
      <c r="W31" s="411"/>
      <c r="X31" s="411"/>
      <c r="Y31" s="412"/>
    </row>
    <row r="32" spans="2:25">
      <c r="B32" s="405"/>
      <c r="C32" s="410"/>
      <c r="D32" s="411"/>
      <c r="E32" s="411"/>
      <c r="F32" s="411"/>
      <c r="G32" s="411"/>
      <c r="H32" s="411"/>
      <c r="I32" s="411"/>
      <c r="J32" s="411"/>
      <c r="K32" s="411"/>
      <c r="L32" s="411"/>
      <c r="M32" s="411"/>
      <c r="N32" s="411"/>
      <c r="O32" s="411"/>
      <c r="P32" s="411"/>
      <c r="Q32" s="411"/>
      <c r="R32" s="411"/>
      <c r="S32" s="411"/>
      <c r="T32" s="411"/>
      <c r="U32" s="411"/>
      <c r="V32" s="411"/>
      <c r="W32" s="411"/>
      <c r="X32" s="411"/>
      <c r="Y32" s="412"/>
    </row>
    <row r="33" spans="2:25">
      <c r="B33" s="405"/>
      <c r="C33" s="410"/>
      <c r="D33" s="411"/>
      <c r="E33" s="411"/>
      <c r="F33" s="411"/>
      <c r="G33" s="411"/>
      <c r="H33" s="411"/>
      <c r="I33" s="411"/>
      <c r="J33" s="411"/>
      <c r="K33" s="411"/>
      <c r="L33" s="411"/>
      <c r="M33" s="411"/>
      <c r="N33" s="411"/>
      <c r="O33" s="411"/>
      <c r="P33" s="411"/>
      <c r="Q33" s="411"/>
      <c r="R33" s="411"/>
      <c r="S33" s="411"/>
      <c r="T33" s="411"/>
      <c r="U33" s="411"/>
      <c r="V33" s="411"/>
      <c r="W33" s="411"/>
      <c r="X33" s="411"/>
      <c r="Y33" s="412"/>
    </row>
    <row r="34" spans="2:25">
      <c r="B34" s="405"/>
      <c r="C34" s="410"/>
      <c r="D34" s="411"/>
      <c r="E34" s="411"/>
      <c r="F34" s="411"/>
      <c r="G34" s="411"/>
      <c r="H34" s="411"/>
      <c r="I34" s="411"/>
      <c r="J34" s="411"/>
      <c r="K34" s="411"/>
      <c r="L34" s="411"/>
      <c r="M34" s="411"/>
      <c r="N34" s="411"/>
      <c r="O34" s="411"/>
      <c r="P34" s="411"/>
      <c r="Q34" s="411"/>
      <c r="R34" s="411"/>
      <c r="S34" s="411"/>
      <c r="T34" s="411"/>
      <c r="U34" s="411"/>
      <c r="V34" s="411"/>
      <c r="W34" s="411"/>
      <c r="X34" s="411"/>
      <c r="Y34" s="412"/>
    </row>
    <row r="35" spans="2:25">
      <c r="B35" s="405"/>
      <c r="C35" s="410"/>
      <c r="D35" s="411"/>
      <c r="E35" s="411"/>
      <c r="F35" s="411"/>
      <c r="G35" s="411"/>
      <c r="H35" s="411"/>
      <c r="I35" s="411"/>
      <c r="J35" s="411"/>
      <c r="K35" s="411"/>
      <c r="L35" s="411"/>
      <c r="M35" s="411"/>
      <c r="N35" s="411"/>
      <c r="O35" s="411"/>
      <c r="P35" s="411"/>
      <c r="Q35" s="411"/>
      <c r="R35" s="411"/>
      <c r="S35" s="411"/>
      <c r="T35" s="411"/>
      <c r="U35" s="411"/>
      <c r="V35" s="411"/>
      <c r="W35" s="411"/>
      <c r="X35" s="411"/>
      <c r="Y35" s="412"/>
    </row>
    <row r="36" spans="2:25">
      <c r="B36" s="405"/>
      <c r="C36" s="410"/>
      <c r="D36" s="411"/>
      <c r="E36" s="411"/>
      <c r="F36" s="411"/>
      <c r="G36" s="411"/>
      <c r="H36" s="411"/>
      <c r="I36" s="411"/>
      <c r="J36" s="411"/>
      <c r="K36" s="411"/>
      <c r="L36" s="411"/>
      <c r="M36" s="411"/>
      <c r="N36" s="411"/>
      <c r="O36" s="411"/>
      <c r="P36" s="411"/>
      <c r="Q36" s="411"/>
      <c r="R36" s="411"/>
      <c r="S36" s="411"/>
      <c r="T36" s="411"/>
      <c r="U36" s="411"/>
      <c r="V36" s="411"/>
      <c r="W36" s="411"/>
      <c r="X36" s="411"/>
      <c r="Y36" s="412"/>
    </row>
    <row r="37" spans="2:25">
      <c r="B37" s="405"/>
      <c r="C37" s="413"/>
      <c r="D37" s="414"/>
      <c r="E37" s="414"/>
      <c r="F37" s="414"/>
      <c r="G37" s="414"/>
      <c r="H37" s="414"/>
      <c r="I37" s="414"/>
      <c r="J37" s="414"/>
      <c r="K37" s="414"/>
      <c r="L37" s="414"/>
      <c r="M37" s="414"/>
      <c r="N37" s="414"/>
      <c r="O37" s="414"/>
      <c r="P37" s="414"/>
      <c r="Q37" s="414"/>
      <c r="R37" s="414"/>
      <c r="S37" s="414"/>
      <c r="T37" s="414"/>
      <c r="U37" s="414"/>
      <c r="V37" s="414"/>
      <c r="W37" s="414"/>
      <c r="X37" s="414"/>
      <c r="Y37" s="415"/>
    </row>
    <row r="38" spans="2:25">
      <c r="C38" s="316"/>
      <c r="D38" s="316"/>
      <c r="E38" s="316"/>
      <c r="F38" s="316"/>
      <c r="G38" s="316"/>
      <c r="H38" s="316"/>
      <c r="I38" s="316"/>
      <c r="J38" s="316"/>
      <c r="K38" s="316"/>
      <c r="L38" s="316"/>
      <c r="M38" s="316"/>
      <c r="N38" s="316"/>
      <c r="O38" s="316"/>
      <c r="P38" s="316"/>
      <c r="Q38" s="316"/>
      <c r="R38" s="316"/>
      <c r="S38" s="316"/>
      <c r="T38" s="316"/>
      <c r="U38" s="316"/>
      <c r="V38" s="316"/>
      <c r="W38" s="316"/>
      <c r="X38" s="316"/>
      <c r="Y38" s="316"/>
    </row>
    <row r="39" spans="2:25">
      <c r="C39" s="285"/>
      <c r="D39" s="316"/>
      <c r="E39" s="316"/>
      <c r="F39" s="316"/>
      <c r="G39" s="316"/>
      <c r="H39" s="316"/>
      <c r="I39" s="316"/>
      <c r="J39" s="316"/>
      <c r="K39" s="316"/>
      <c r="L39" s="316"/>
      <c r="M39" s="316"/>
      <c r="N39" s="316"/>
      <c r="O39" s="316"/>
      <c r="P39" s="316"/>
      <c r="Q39" s="316"/>
      <c r="R39" s="316"/>
      <c r="S39" s="316"/>
      <c r="T39" s="316"/>
      <c r="U39" s="316"/>
      <c r="V39" s="316"/>
      <c r="W39" s="316"/>
      <c r="X39" s="316"/>
      <c r="Y39" s="316"/>
    </row>
    <row r="40" spans="2:25">
      <c r="C40" s="316"/>
      <c r="D40" s="316"/>
      <c r="E40" s="316"/>
      <c r="F40" s="316"/>
      <c r="G40" s="316"/>
      <c r="H40" s="316"/>
      <c r="I40" s="316"/>
      <c r="J40" s="316"/>
      <c r="K40" s="316"/>
      <c r="L40" s="316"/>
      <c r="M40" s="316"/>
      <c r="N40" s="316"/>
      <c r="O40" s="316"/>
      <c r="P40" s="316"/>
      <c r="Q40" s="316"/>
      <c r="R40" s="316"/>
      <c r="S40" s="316"/>
      <c r="T40" s="316"/>
      <c r="U40" s="316"/>
      <c r="V40" s="316"/>
      <c r="W40" s="316"/>
      <c r="X40" s="316"/>
      <c r="Y40" s="316"/>
    </row>
    <row r="41" spans="2:25">
      <c r="C41" s="316"/>
      <c r="D41" s="316"/>
      <c r="E41" s="316"/>
      <c r="F41" s="316"/>
      <c r="G41" s="316"/>
      <c r="H41" s="316"/>
      <c r="I41" s="316"/>
      <c r="J41" s="316"/>
      <c r="K41" s="316"/>
      <c r="L41" s="316"/>
      <c r="M41" s="316"/>
      <c r="N41" s="316"/>
      <c r="O41" s="316"/>
      <c r="P41" s="316"/>
      <c r="Q41" s="316"/>
      <c r="R41" s="316"/>
      <c r="S41" s="316"/>
      <c r="T41" s="316"/>
      <c r="U41" s="316"/>
      <c r="V41" s="316"/>
      <c r="W41" s="316"/>
      <c r="X41" s="316"/>
      <c r="Y41" s="316"/>
    </row>
    <row r="42" spans="2:25">
      <c r="C42" s="316"/>
      <c r="D42" s="316"/>
      <c r="E42" s="316"/>
      <c r="F42" s="316"/>
      <c r="G42" s="316"/>
      <c r="H42" s="316"/>
      <c r="I42" s="316"/>
      <c r="J42" s="316"/>
      <c r="K42" s="316"/>
      <c r="L42" s="316"/>
      <c r="M42" s="316"/>
      <c r="N42" s="316"/>
      <c r="O42" s="316"/>
      <c r="P42" s="316"/>
      <c r="Q42" s="316"/>
      <c r="R42" s="316"/>
      <c r="S42" s="316"/>
      <c r="T42" s="316"/>
      <c r="U42" s="316"/>
      <c r="V42" s="316"/>
      <c r="W42" s="316"/>
      <c r="X42" s="316"/>
      <c r="Y42" s="316"/>
    </row>
    <row r="43" spans="2:25">
      <c r="C43" s="316"/>
      <c r="D43" s="316"/>
      <c r="E43" s="316"/>
      <c r="F43" s="316"/>
      <c r="G43" s="316"/>
      <c r="H43" s="316"/>
      <c r="I43" s="316"/>
      <c r="J43" s="316"/>
      <c r="K43" s="316"/>
      <c r="L43" s="316"/>
      <c r="M43" s="316"/>
      <c r="N43" s="316"/>
      <c r="O43" s="316"/>
      <c r="P43" s="316"/>
      <c r="Q43" s="316"/>
      <c r="R43" s="316"/>
      <c r="S43" s="316"/>
      <c r="T43" s="316"/>
      <c r="U43" s="316"/>
      <c r="V43" s="316"/>
      <c r="W43" s="316"/>
      <c r="X43" s="316"/>
      <c r="Y43" s="316"/>
    </row>
    <row r="44" spans="2:25">
      <c r="C44" s="316"/>
      <c r="D44" s="316"/>
      <c r="E44" s="316"/>
      <c r="F44" s="316"/>
      <c r="G44" s="316"/>
      <c r="H44" s="316"/>
      <c r="I44" s="316"/>
      <c r="J44" s="316"/>
      <c r="K44" s="316"/>
      <c r="L44" s="316"/>
      <c r="M44" s="316"/>
      <c r="N44" s="316"/>
      <c r="O44" s="316"/>
      <c r="P44" s="316"/>
      <c r="Q44" s="316"/>
      <c r="R44" s="316"/>
      <c r="S44" s="316"/>
      <c r="T44" s="316"/>
      <c r="U44" s="316"/>
      <c r="V44" s="316"/>
      <c r="W44" s="316"/>
      <c r="X44" s="316"/>
      <c r="Y44" s="316"/>
    </row>
    <row r="45" spans="2:25">
      <c r="C45" s="316"/>
      <c r="D45" s="316"/>
      <c r="E45" s="316"/>
      <c r="F45" s="316"/>
      <c r="G45" s="316"/>
      <c r="H45" s="316"/>
      <c r="I45" s="316"/>
      <c r="J45" s="316"/>
      <c r="K45" s="316"/>
      <c r="L45" s="316"/>
      <c r="M45" s="316"/>
      <c r="N45" s="316"/>
      <c r="O45" s="316"/>
      <c r="P45" s="316"/>
      <c r="Q45" s="316"/>
      <c r="R45" s="316"/>
      <c r="S45" s="316"/>
      <c r="T45" s="316"/>
      <c r="U45" s="316"/>
      <c r="V45" s="316"/>
      <c r="W45" s="316"/>
      <c r="X45" s="316"/>
      <c r="Y45" s="316"/>
    </row>
    <row r="46" spans="2:25">
      <c r="C46" s="316"/>
      <c r="D46" s="316"/>
      <c r="E46" s="316"/>
      <c r="F46" s="316"/>
      <c r="G46" s="316"/>
      <c r="H46" s="316"/>
      <c r="I46" s="316"/>
      <c r="J46" s="316"/>
      <c r="K46" s="316"/>
      <c r="L46" s="316"/>
      <c r="M46" s="316"/>
      <c r="N46" s="316"/>
      <c r="O46" s="316"/>
      <c r="P46" s="316"/>
      <c r="Q46" s="316"/>
      <c r="R46" s="316"/>
      <c r="S46" s="316"/>
      <c r="T46" s="316"/>
      <c r="U46" s="316"/>
      <c r="V46" s="316"/>
      <c r="W46" s="316"/>
      <c r="X46" s="316"/>
      <c r="Y46" s="316"/>
    </row>
    <row r="47" spans="2:25">
      <c r="C47" s="316"/>
      <c r="D47" s="316"/>
      <c r="E47" s="316"/>
      <c r="F47" s="316"/>
      <c r="G47" s="316"/>
      <c r="H47" s="316"/>
      <c r="I47" s="316"/>
      <c r="J47" s="316"/>
      <c r="K47" s="316"/>
      <c r="L47" s="316"/>
      <c r="M47" s="316"/>
      <c r="N47" s="316"/>
      <c r="O47" s="316"/>
      <c r="P47" s="316"/>
      <c r="Q47" s="316"/>
      <c r="R47" s="316"/>
      <c r="S47" s="316"/>
      <c r="T47" s="316"/>
      <c r="U47" s="316"/>
      <c r="V47" s="316"/>
      <c r="W47" s="316"/>
      <c r="X47" s="316"/>
      <c r="Y47" s="316"/>
    </row>
    <row r="48" spans="2:25">
      <c r="C48" s="316"/>
      <c r="D48" s="316"/>
      <c r="E48" s="316"/>
      <c r="F48" s="316"/>
      <c r="G48" s="316"/>
      <c r="H48" s="316"/>
      <c r="I48" s="316"/>
      <c r="J48" s="316"/>
      <c r="K48" s="316"/>
      <c r="L48" s="316"/>
      <c r="M48" s="316"/>
      <c r="N48" s="316"/>
      <c r="O48" s="316"/>
      <c r="P48" s="316"/>
      <c r="Q48" s="316"/>
      <c r="R48" s="316"/>
      <c r="S48" s="316"/>
      <c r="T48" s="316"/>
      <c r="U48" s="316"/>
      <c r="V48" s="316"/>
      <c r="W48" s="316"/>
      <c r="X48" s="316"/>
      <c r="Y48" s="316"/>
    </row>
  </sheetData>
  <mergeCells count="6">
    <mergeCell ref="C2:Y4"/>
    <mergeCell ref="B2:B4"/>
    <mergeCell ref="C6:Y12"/>
    <mergeCell ref="B6:B12"/>
    <mergeCell ref="B14:B37"/>
    <mergeCell ref="C14:Y37"/>
  </mergeCells>
  <phoneticPr fontId="2"/>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5F256-5F8D-4FF9-A773-AF8CC39A1E01}">
  <sheetPr>
    <tabColor theme="3"/>
  </sheetPr>
  <dimension ref="A1"/>
  <sheetViews>
    <sheetView workbookViewId="0">
      <selection activeCell="K29" sqref="K29"/>
    </sheetView>
  </sheetViews>
  <sheetFormatPr defaultRowHeight="14.25"/>
  <sheetData>
    <row r="1" spans="1:1">
      <c r="A1" s="308"/>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914F1-6BEE-4F0C-B76E-F8E44B837999}">
  <sheetPr>
    <pageSetUpPr fitToPage="1"/>
  </sheetPr>
  <dimension ref="A1:M83"/>
  <sheetViews>
    <sheetView zoomScaleNormal="100" workbookViewId="0">
      <selection activeCell="E34" sqref="E34"/>
    </sheetView>
  </sheetViews>
  <sheetFormatPr defaultColWidth="9" defaultRowHeight="12.75"/>
  <cols>
    <col min="1" max="1" width="2.5703125" style="69" customWidth="1"/>
    <col min="2" max="2" width="4.42578125" style="69" customWidth="1"/>
    <col min="3" max="3" width="5.42578125" style="69" customWidth="1"/>
    <col min="4" max="4" width="22.85546875" style="68" bestFit="1" customWidth="1"/>
    <col min="5" max="5" width="10.42578125" style="68" bestFit="1" customWidth="1"/>
    <col min="6" max="6" width="59.42578125" style="69" customWidth="1"/>
    <col min="7" max="7" width="9.140625" style="68" bestFit="1" customWidth="1"/>
    <col min="8" max="8" width="9" style="68"/>
    <col min="9" max="9" width="9.42578125" style="68" bestFit="1" customWidth="1"/>
    <col min="10" max="10" width="37" style="68" bestFit="1" customWidth="1"/>
    <col min="11" max="11" width="9.28515625" style="69" customWidth="1"/>
    <col min="12" max="12" width="248" style="69" bestFit="1" customWidth="1"/>
    <col min="13" max="16384" width="9" style="69"/>
  </cols>
  <sheetData>
    <row r="1" spans="1:13" ht="18">
      <c r="A1" s="269" t="s">
        <v>598</v>
      </c>
      <c r="B1" s="1"/>
      <c r="C1" s="1"/>
      <c r="K1" s="68"/>
      <c r="M1" s="69" t="s">
        <v>92</v>
      </c>
    </row>
    <row r="2" spans="1:13" ht="15.75">
      <c r="B2" s="2"/>
      <c r="C2" s="2"/>
      <c r="F2" s="2"/>
      <c r="K2" s="70"/>
      <c r="M2" s="69" t="s">
        <v>92</v>
      </c>
    </row>
    <row r="3" spans="1:13" ht="16.5" thickBot="1">
      <c r="B3" s="270"/>
      <c r="C3" s="270"/>
      <c r="D3" s="271"/>
      <c r="E3" s="271"/>
      <c r="F3" s="273"/>
      <c r="G3" s="272"/>
      <c r="H3" s="70"/>
      <c r="I3" s="434" t="s">
        <v>93</v>
      </c>
      <c r="J3" s="435"/>
      <c r="K3" s="436" t="s">
        <v>94</v>
      </c>
      <c r="L3" s="436"/>
      <c r="M3" s="69" t="s">
        <v>92</v>
      </c>
    </row>
    <row r="4" spans="1:13" ht="14.25" customHeight="1">
      <c r="B4" s="160" t="s">
        <v>95</v>
      </c>
      <c r="C4" s="196" t="s">
        <v>96</v>
      </c>
      <c r="D4" s="160" t="s">
        <v>97</v>
      </c>
      <c r="E4" s="196" t="s">
        <v>98</v>
      </c>
      <c r="F4" s="125" t="s">
        <v>99</v>
      </c>
      <c r="G4" s="141" t="s">
        <v>100</v>
      </c>
      <c r="H4" s="147" t="s">
        <v>101</v>
      </c>
      <c r="I4" s="146" t="s">
        <v>102</v>
      </c>
      <c r="J4" s="139" t="s">
        <v>103</v>
      </c>
      <c r="K4" s="125" t="s">
        <v>104</v>
      </c>
      <c r="L4" s="161" t="s">
        <v>105</v>
      </c>
    </row>
    <row r="5" spans="1:13" ht="12.75" customHeight="1">
      <c r="B5" s="71">
        <v>1</v>
      </c>
      <c r="C5" s="200" t="s">
        <v>18</v>
      </c>
      <c r="D5" s="71" t="s">
        <v>106</v>
      </c>
      <c r="E5" s="197" t="s">
        <v>107</v>
      </c>
      <c r="F5" s="72" t="s">
        <v>108</v>
      </c>
      <c r="G5" s="142" t="s">
        <v>109</v>
      </c>
      <c r="H5" s="150">
        <f t="shared" ref="H5:H71" si="0">IF($I5="",$K5,$I5)</f>
        <v>0</v>
      </c>
      <c r="I5" s="151"/>
      <c r="J5" s="72"/>
      <c r="K5" s="157"/>
      <c r="L5" s="162" t="s">
        <v>110</v>
      </c>
      <c r="M5" s="69" t="s">
        <v>92</v>
      </c>
    </row>
    <row r="6" spans="1:13" ht="12.75" customHeight="1">
      <c r="B6" s="71">
        <f t="shared" ref="B6:B72" si="1">B5+1</f>
        <v>2</v>
      </c>
      <c r="C6" s="198" t="s">
        <v>18</v>
      </c>
      <c r="D6" s="71" t="s">
        <v>106</v>
      </c>
      <c r="E6" s="198" t="s">
        <v>107</v>
      </c>
      <c r="F6" s="159" t="s">
        <v>111</v>
      </c>
      <c r="G6" s="143" t="s">
        <v>112</v>
      </c>
      <c r="H6" s="150">
        <f t="shared" si="0"/>
        <v>9</v>
      </c>
      <c r="I6" s="152"/>
      <c r="J6" s="149"/>
      <c r="K6" s="148">
        <v>9</v>
      </c>
      <c r="L6" s="165" t="s">
        <v>113</v>
      </c>
      <c r="M6" s="69" t="s">
        <v>92</v>
      </c>
    </row>
    <row r="7" spans="1:13" ht="12.75" customHeight="1">
      <c r="B7" s="71">
        <f t="shared" si="1"/>
        <v>3</v>
      </c>
      <c r="C7" s="198" t="s">
        <v>18</v>
      </c>
      <c r="D7" s="71" t="s">
        <v>106</v>
      </c>
      <c r="E7" s="198" t="s">
        <v>107</v>
      </c>
      <c r="F7" s="73" t="s">
        <v>114</v>
      </c>
      <c r="G7" s="143" t="s">
        <v>109</v>
      </c>
      <c r="H7" s="150">
        <f t="shared" si="0"/>
        <v>0</v>
      </c>
      <c r="I7" s="152"/>
      <c r="J7" s="73"/>
      <c r="K7" s="163"/>
      <c r="L7" s="149" t="s">
        <v>115</v>
      </c>
      <c r="M7" s="69" t="s">
        <v>92</v>
      </c>
    </row>
    <row r="8" spans="1:13" ht="12.75" customHeight="1">
      <c r="B8" s="71">
        <f t="shared" si="1"/>
        <v>4</v>
      </c>
      <c r="C8" s="198" t="s">
        <v>18</v>
      </c>
      <c r="D8" s="186" t="s">
        <v>116</v>
      </c>
      <c r="E8" s="198" t="s">
        <v>107</v>
      </c>
      <c r="F8" s="159" t="s">
        <v>117</v>
      </c>
      <c r="G8" s="143" t="s">
        <v>112</v>
      </c>
      <c r="H8" s="150">
        <f t="shared" si="0"/>
        <v>16.7</v>
      </c>
      <c r="I8" s="152"/>
      <c r="J8" s="73"/>
      <c r="K8" s="148">
        <v>16.7</v>
      </c>
      <c r="L8" s="164" t="s">
        <v>118</v>
      </c>
      <c r="M8" s="69" t="s">
        <v>92</v>
      </c>
    </row>
    <row r="9" spans="1:13" ht="12.75" customHeight="1">
      <c r="B9" s="71">
        <f t="shared" si="1"/>
        <v>5</v>
      </c>
      <c r="C9" s="198" t="s">
        <v>18</v>
      </c>
      <c r="D9" s="209" t="s">
        <v>119</v>
      </c>
      <c r="E9" s="198" t="s">
        <v>107</v>
      </c>
      <c r="F9" s="4" t="s">
        <v>120</v>
      </c>
      <c r="G9" s="143" t="s">
        <v>112</v>
      </c>
      <c r="H9" s="155">
        <f t="shared" si="0"/>
        <v>55</v>
      </c>
      <c r="I9" s="152"/>
      <c r="J9" s="189" t="s">
        <v>121</v>
      </c>
      <c r="K9" s="264">
        <v>55</v>
      </c>
      <c r="L9" s="189" t="s">
        <v>122</v>
      </c>
      <c r="M9" s="69" t="s">
        <v>92</v>
      </c>
    </row>
    <row r="10" spans="1:13" ht="12.75" customHeight="1">
      <c r="B10" s="71">
        <f t="shared" si="1"/>
        <v>6</v>
      </c>
      <c r="C10" s="198" t="s">
        <v>18</v>
      </c>
      <c r="D10" s="198" t="s">
        <v>123</v>
      </c>
      <c r="E10" s="198" t="s">
        <v>124</v>
      </c>
      <c r="F10" s="73" t="s">
        <v>125</v>
      </c>
      <c r="G10" s="143" t="s">
        <v>112</v>
      </c>
      <c r="H10" s="150">
        <f t="shared" si="0"/>
        <v>3</v>
      </c>
      <c r="I10" s="152"/>
      <c r="J10" s="73"/>
      <c r="K10" s="264">
        <v>3</v>
      </c>
      <c r="L10" s="265" t="s">
        <v>126</v>
      </c>
      <c r="M10" s="69" t="s">
        <v>92</v>
      </c>
    </row>
    <row r="11" spans="1:13" ht="12.75" customHeight="1">
      <c r="B11" s="71">
        <f t="shared" si="1"/>
        <v>7</v>
      </c>
      <c r="C11" s="198" t="s">
        <v>18</v>
      </c>
      <c r="D11" s="71" t="s">
        <v>106</v>
      </c>
      <c r="E11" s="198" t="s">
        <v>127</v>
      </c>
      <c r="F11" s="149" t="s">
        <v>128</v>
      </c>
      <c r="G11" s="143" t="s">
        <v>129</v>
      </c>
      <c r="H11" s="150">
        <f t="shared" si="0"/>
        <v>0</v>
      </c>
      <c r="I11" s="152"/>
      <c r="J11" s="73"/>
      <c r="K11" s="238"/>
      <c r="L11" s="267" t="s">
        <v>130</v>
      </c>
    </row>
    <row r="12" spans="1:13" ht="12.75" customHeight="1">
      <c r="B12" s="71">
        <f t="shared" si="1"/>
        <v>8</v>
      </c>
      <c r="C12" s="198" t="s">
        <v>18</v>
      </c>
      <c r="D12" s="71" t="s">
        <v>106</v>
      </c>
      <c r="E12" s="198" t="s">
        <v>127</v>
      </c>
      <c r="F12" s="159" t="s">
        <v>131</v>
      </c>
      <c r="G12" s="143" t="s">
        <v>112</v>
      </c>
      <c r="H12" s="150">
        <f t="shared" si="0"/>
        <v>0</v>
      </c>
      <c r="I12" s="152"/>
      <c r="J12" s="73"/>
      <c r="K12" s="148"/>
      <c r="L12" s="149" t="s">
        <v>132</v>
      </c>
      <c r="M12" s="69" t="s">
        <v>92</v>
      </c>
    </row>
    <row r="13" spans="1:13" ht="12.75" customHeight="1">
      <c r="B13" s="71">
        <f t="shared" si="1"/>
        <v>9</v>
      </c>
      <c r="C13" s="198" t="s">
        <v>18</v>
      </c>
      <c r="D13" s="71" t="s">
        <v>106</v>
      </c>
      <c r="E13" s="198" t="s">
        <v>127</v>
      </c>
      <c r="F13" s="159" t="s">
        <v>133</v>
      </c>
      <c r="G13" s="143" t="s">
        <v>112</v>
      </c>
      <c r="H13" s="150">
        <f t="shared" si="0"/>
        <v>0</v>
      </c>
      <c r="I13" s="152"/>
      <c r="J13" s="73"/>
      <c r="K13" s="148"/>
      <c r="L13" s="149" t="s">
        <v>132</v>
      </c>
      <c r="M13" s="69" t="s">
        <v>92</v>
      </c>
    </row>
    <row r="14" spans="1:13" ht="12.75" customHeight="1">
      <c r="B14" s="71">
        <f t="shared" si="1"/>
        <v>10</v>
      </c>
      <c r="C14" s="198" t="s">
        <v>18</v>
      </c>
      <c r="D14" s="186" t="s">
        <v>116</v>
      </c>
      <c r="E14" s="198" t="s">
        <v>127</v>
      </c>
      <c r="F14" s="276" t="s">
        <v>134</v>
      </c>
      <c r="G14" s="143" t="s">
        <v>112</v>
      </c>
      <c r="H14" s="155" t="e">
        <f t="shared" si="0"/>
        <v>#DIV/0!</v>
      </c>
      <c r="I14" s="156"/>
      <c r="J14" s="73"/>
      <c r="K14" s="237" t="e">
        <f>'仮定値算定シート（ルート2）'!G12</f>
        <v>#DIV/0!</v>
      </c>
      <c r="L14" s="267" t="s">
        <v>130</v>
      </c>
      <c r="M14" s="69" t="s">
        <v>92</v>
      </c>
    </row>
    <row r="15" spans="1:13" ht="12.75" customHeight="1">
      <c r="B15" s="71">
        <f t="shared" si="1"/>
        <v>11</v>
      </c>
      <c r="C15" s="198" t="s">
        <v>18</v>
      </c>
      <c r="D15" s="186" t="s">
        <v>116</v>
      </c>
      <c r="E15" s="198" t="s">
        <v>127</v>
      </c>
      <c r="F15" s="276" t="s">
        <v>135</v>
      </c>
      <c r="G15" s="143" t="s">
        <v>112</v>
      </c>
      <c r="H15" s="155" t="e">
        <f t="shared" si="0"/>
        <v>#DIV/0!</v>
      </c>
      <c r="I15" s="156"/>
      <c r="J15" s="73"/>
      <c r="K15" s="237" t="e">
        <f>'仮定値算定シート（ルート2）'!G16</f>
        <v>#DIV/0!</v>
      </c>
      <c r="L15" s="267" t="s">
        <v>130</v>
      </c>
      <c r="M15" s="69" t="s">
        <v>92</v>
      </c>
    </row>
    <row r="16" spans="1:13" ht="12.75" customHeight="1">
      <c r="B16" s="71">
        <f t="shared" si="1"/>
        <v>12</v>
      </c>
      <c r="C16" s="198" t="s">
        <v>18</v>
      </c>
      <c r="D16" s="209" t="s">
        <v>119</v>
      </c>
      <c r="E16" s="198" t="s">
        <v>127</v>
      </c>
      <c r="F16" s="276" t="s">
        <v>136</v>
      </c>
      <c r="G16" s="143" t="s">
        <v>112</v>
      </c>
      <c r="H16" s="155">
        <f t="shared" si="0"/>
        <v>55</v>
      </c>
      <c r="I16" s="156"/>
      <c r="J16" s="189" t="s">
        <v>137</v>
      </c>
      <c r="K16" s="264">
        <v>55</v>
      </c>
      <c r="L16" s="189" t="s">
        <v>138</v>
      </c>
      <c r="M16" s="69" t="s">
        <v>92</v>
      </c>
    </row>
    <row r="17" spans="2:13" ht="12.75" customHeight="1">
      <c r="B17" s="71">
        <f t="shared" si="1"/>
        <v>13</v>
      </c>
      <c r="C17" s="71" t="s">
        <v>21</v>
      </c>
      <c r="D17" s="71" t="s">
        <v>106</v>
      </c>
      <c r="E17" s="198" t="s">
        <v>107</v>
      </c>
      <c r="F17" s="73" t="s">
        <v>139</v>
      </c>
      <c r="G17" s="143" t="s">
        <v>140</v>
      </c>
      <c r="H17" s="150">
        <f t="shared" si="0"/>
        <v>0</v>
      </c>
      <c r="I17" s="152"/>
      <c r="J17" s="73"/>
      <c r="K17" s="163"/>
      <c r="L17" s="175" t="s">
        <v>141</v>
      </c>
      <c r="M17" s="69" t="s">
        <v>92</v>
      </c>
    </row>
    <row r="18" spans="2:13" ht="12.75" customHeight="1">
      <c r="B18" s="71">
        <f t="shared" si="1"/>
        <v>14</v>
      </c>
      <c r="C18" s="71" t="s">
        <v>21</v>
      </c>
      <c r="D18" s="71" t="s">
        <v>106</v>
      </c>
      <c r="E18" s="198" t="s">
        <v>107</v>
      </c>
      <c r="F18" s="159" t="s">
        <v>142</v>
      </c>
      <c r="G18" s="143" t="s">
        <v>143</v>
      </c>
      <c r="H18" s="150">
        <f t="shared" si="0"/>
        <v>0</v>
      </c>
      <c r="I18" s="152"/>
      <c r="J18" s="73"/>
      <c r="K18" s="163"/>
      <c r="L18" s="175" t="s">
        <v>144</v>
      </c>
      <c r="M18" s="69" t="s">
        <v>92</v>
      </c>
    </row>
    <row r="19" spans="2:13" ht="12.75" customHeight="1">
      <c r="B19" s="71">
        <f t="shared" si="1"/>
        <v>15</v>
      </c>
      <c r="C19" s="71" t="s">
        <v>21</v>
      </c>
      <c r="D19" s="71" t="s">
        <v>106</v>
      </c>
      <c r="E19" s="198" t="s">
        <v>127</v>
      </c>
      <c r="F19" s="73" t="s">
        <v>145</v>
      </c>
      <c r="G19" s="143" t="s">
        <v>143</v>
      </c>
      <c r="H19" s="150">
        <f t="shared" si="0"/>
        <v>0</v>
      </c>
      <c r="I19" s="152"/>
      <c r="J19" s="73"/>
      <c r="K19" s="163"/>
      <c r="L19" s="175" t="s">
        <v>146</v>
      </c>
      <c r="M19" s="69" t="s">
        <v>92</v>
      </c>
    </row>
    <row r="20" spans="2:13" ht="12.75" customHeight="1">
      <c r="B20" s="71">
        <f t="shared" si="1"/>
        <v>16</v>
      </c>
      <c r="C20" s="71" t="s">
        <v>21</v>
      </c>
      <c r="D20" s="74" t="s">
        <v>106</v>
      </c>
      <c r="E20" s="199" t="s">
        <v>127</v>
      </c>
      <c r="F20" s="73" t="s">
        <v>147</v>
      </c>
      <c r="G20" s="143" t="s">
        <v>143</v>
      </c>
      <c r="H20" s="150">
        <f t="shared" si="0"/>
        <v>0</v>
      </c>
      <c r="I20" s="152"/>
      <c r="J20" s="73"/>
      <c r="K20" s="163"/>
      <c r="L20" s="159" t="s">
        <v>148</v>
      </c>
      <c r="M20" s="69" t="s">
        <v>92</v>
      </c>
    </row>
    <row r="21" spans="2:13" ht="12.75" customHeight="1">
      <c r="B21" s="71">
        <f t="shared" si="1"/>
        <v>17</v>
      </c>
      <c r="C21" s="71" t="s">
        <v>21</v>
      </c>
      <c r="D21" s="71" t="s">
        <v>106</v>
      </c>
      <c r="E21" s="266" t="s">
        <v>124</v>
      </c>
      <c r="F21" s="267" t="s">
        <v>149</v>
      </c>
      <c r="G21" s="144" t="s">
        <v>150</v>
      </c>
      <c r="H21" s="268">
        <f t="shared" si="0"/>
        <v>10.35</v>
      </c>
      <c r="I21" s="154"/>
      <c r="J21" s="3"/>
      <c r="K21" s="204">
        <v>10.35</v>
      </c>
      <c r="L21" s="267" t="s">
        <v>151</v>
      </c>
      <c r="M21" s="69" t="s">
        <v>92</v>
      </c>
    </row>
    <row r="22" spans="2:13" ht="12.75" customHeight="1">
      <c r="B22" s="71">
        <f t="shared" si="1"/>
        <v>18</v>
      </c>
      <c r="C22" s="71" t="s">
        <v>21</v>
      </c>
      <c r="D22" s="71" t="s">
        <v>106</v>
      </c>
      <c r="E22" s="198" t="s">
        <v>124</v>
      </c>
      <c r="F22" s="176" t="s">
        <v>152</v>
      </c>
      <c r="G22" s="143" t="s">
        <v>153</v>
      </c>
      <c r="H22" s="178">
        <f t="shared" si="0"/>
        <v>2.62</v>
      </c>
      <c r="I22" s="152"/>
      <c r="J22" s="73"/>
      <c r="K22" s="179">
        <v>2.62</v>
      </c>
      <c r="L22" s="175" t="s">
        <v>154</v>
      </c>
      <c r="M22" s="69" t="s">
        <v>92</v>
      </c>
    </row>
    <row r="23" spans="2:13" ht="12.75" customHeight="1">
      <c r="B23" s="71">
        <f t="shared" si="1"/>
        <v>19</v>
      </c>
      <c r="C23" s="71" t="s">
        <v>21</v>
      </c>
      <c r="D23" s="186" t="s">
        <v>116</v>
      </c>
      <c r="E23" s="186" t="s">
        <v>107</v>
      </c>
      <c r="F23" s="187" t="s">
        <v>155</v>
      </c>
      <c r="G23" s="144" t="s">
        <v>156</v>
      </c>
      <c r="H23" s="153" t="e">
        <f t="shared" si="0"/>
        <v>#DIV/0!</v>
      </c>
      <c r="I23" s="154"/>
      <c r="J23" s="3"/>
      <c r="K23" s="158" t="e">
        <f>'仮定値算定シート（ルート2）'!G40</f>
        <v>#DIV/0!</v>
      </c>
      <c r="L23" s="277" t="s">
        <v>130</v>
      </c>
      <c r="M23" s="69" t="s">
        <v>92</v>
      </c>
    </row>
    <row r="24" spans="2:13" ht="12.75" customHeight="1">
      <c r="B24" s="71">
        <f t="shared" si="1"/>
        <v>20</v>
      </c>
      <c r="C24" s="71" t="s">
        <v>21</v>
      </c>
      <c r="D24" s="186" t="s">
        <v>116</v>
      </c>
      <c r="E24" s="186" t="s">
        <v>107</v>
      </c>
      <c r="F24" s="187" t="s">
        <v>157</v>
      </c>
      <c r="G24" s="144" t="s">
        <v>156</v>
      </c>
      <c r="H24" s="153" t="e">
        <f t="shared" si="0"/>
        <v>#DIV/0!</v>
      </c>
      <c r="I24" s="154"/>
      <c r="J24" s="3"/>
      <c r="K24" s="158" t="e">
        <f>'仮定値算定シート（ルート2）'!G64</f>
        <v>#DIV/0!</v>
      </c>
      <c r="L24" s="277" t="s">
        <v>130</v>
      </c>
      <c r="M24" s="69" t="s">
        <v>92</v>
      </c>
    </row>
    <row r="25" spans="2:13" ht="12.75" customHeight="1">
      <c r="B25" s="71">
        <f t="shared" si="1"/>
        <v>21</v>
      </c>
      <c r="C25" s="71" t="s">
        <v>21</v>
      </c>
      <c r="D25" s="188" t="s">
        <v>116</v>
      </c>
      <c r="E25" s="188" t="s">
        <v>124</v>
      </c>
      <c r="F25" s="189" t="s">
        <v>158</v>
      </c>
      <c r="G25" s="193" t="s">
        <v>159</v>
      </c>
      <c r="H25" s="191">
        <f t="shared" si="0"/>
        <v>4.2900000000000002E-4</v>
      </c>
      <c r="I25" s="324"/>
      <c r="J25" s="4"/>
      <c r="K25" s="190">
        <v>4.2900000000000002E-4</v>
      </c>
      <c r="L25" s="195" t="s">
        <v>160</v>
      </c>
      <c r="M25" s="69" t="s">
        <v>92</v>
      </c>
    </row>
    <row r="26" spans="2:13" ht="12.75" customHeight="1">
      <c r="B26" s="71">
        <f t="shared" si="1"/>
        <v>22</v>
      </c>
      <c r="C26" s="71" t="s">
        <v>21</v>
      </c>
      <c r="D26" s="210" t="s">
        <v>161</v>
      </c>
      <c r="E26" s="200" t="s">
        <v>124</v>
      </c>
      <c r="F26" s="175" t="s">
        <v>162</v>
      </c>
      <c r="G26" s="145" t="s">
        <v>163</v>
      </c>
      <c r="H26" s="201">
        <f t="shared" si="0"/>
        <v>6</v>
      </c>
      <c r="I26" s="202"/>
      <c r="J26" s="4"/>
      <c r="K26" s="203">
        <v>6</v>
      </c>
      <c r="L26" s="165" t="s">
        <v>164</v>
      </c>
      <c r="M26" s="69" t="s">
        <v>92</v>
      </c>
    </row>
    <row r="27" spans="2:13" ht="12.75" customHeight="1">
      <c r="B27" s="71">
        <f t="shared" si="1"/>
        <v>23</v>
      </c>
      <c r="C27" s="71" t="s">
        <v>21</v>
      </c>
      <c r="D27" s="71" t="s">
        <v>161</v>
      </c>
      <c r="E27" s="200" t="s">
        <v>107</v>
      </c>
      <c r="F27" s="175" t="s">
        <v>165</v>
      </c>
      <c r="G27" s="145" t="s">
        <v>166</v>
      </c>
      <c r="H27" s="201">
        <f t="shared" si="0"/>
        <v>0</v>
      </c>
      <c r="I27" s="156"/>
      <c r="J27" s="4"/>
      <c r="K27" s="208"/>
      <c r="L27" s="187" t="s">
        <v>167</v>
      </c>
      <c r="M27" s="69" t="s">
        <v>92</v>
      </c>
    </row>
    <row r="28" spans="2:13" ht="12.75" customHeight="1">
      <c r="B28" s="71">
        <f t="shared" si="1"/>
        <v>24</v>
      </c>
      <c r="C28" s="71" t="s">
        <v>21</v>
      </c>
      <c r="D28" s="71" t="s">
        <v>161</v>
      </c>
      <c r="E28" s="200" t="s">
        <v>127</v>
      </c>
      <c r="F28" s="175" t="s">
        <v>168</v>
      </c>
      <c r="G28" s="145" t="s">
        <v>166</v>
      </c>
      <c r="H28" s="201">
        <f t="shared" si="0"/>
        <v>0</v>
      </c>
      <c r="I28" s="156"/>
      <c r="J28" s="4"/>
      <c r="K28" s="208"/>
      <c r="L28" s="187" t="s">
        <v>167</v>
      </c>
      <c r="M28" s="69" t="s">
        <v>92</v>
      </c>
    </row>
    <row r="29" spans="2:13" ht="12.75" customHeight="1">
      <c r="B29" s="71">
        <f t="shared" si="1"/>
        <v>25</v>
      </c>
      <c r="C29" s="71" t="s">
        <v>21</v>
      </c>
      <c r="D29" s="71" t="s">
        <v>161</v>
      </c>
      <c r="E29" s="200" t="s">
        <v>124</v>
      </c>
      <c r="F29" s="75" t="s">
        <v>169</v>
      </c>
      <c r="G29" s="194" t="s">
        <v>170</v>
      </c>
      <c r="H29" s="201">
        <f t="shared" si="0"/>
        <v>4.1500000000000004</v>
      </c>
      <c r="I29" s="156"/>
      <c r="J29" s="4"/>
      <c r="K29" s="204">
        <v>4.1500000000000004</v>
      </c>
      <c r="L29" s="3" t="s">
        <v>171</v>
      </c>
      <c r="M29" s="69" t="s">
        <v>92</v>
      </c>
    </row>
    <row r="30" spans="2:13" ht="12.75" customHeight="1">
      <c r="B30" s="71">
        <f t="shared" si="1"/>
        <v>26</v>
      </c>
      <c r="C30" s="71" t="s">
        <v>21</v>
      </c>
      <c r="D30" s="71" t="s">
        <v>161</v>
      </c>
      <c r="E30" s="198" t="s">
        <v>124</v>
      </c>
      <c r="F30" s="73" t="s">
        <v>172</v>
      </c>
      <c r="G30" s="73" t="s">
        <v>173</v>
      </c>
      <c r="H30" s="201">
        <f t="shared" si="0"/>
        <v>2.62</v>
      </c>
      <c r="I30" s="156"/>
      <c r="J30" s="4"/>
      <c r="K30" s="204">
        <v>2.62</v>
      </c>
      <c r="L30" s="3" t="s">
        <v>174</v>
      </c>
      <c r="M30" s="69" t="s">
        <v>92</v>
      </c>
    </row>
    <row r="31" spans="2:13" ht="12.75" customHeight="1">
      <c r="B31" s="71">
        <f t="shared" si="1"/>
        <v>27</v>
      </c>
      <c r="C31" s="71" t="s">
        <v>21</v>
      </c>
      <c r="D31" s="210" t="s">
        <v>175</v>
      </c>
      <c r="E31" s="198" t="s">
        <v>124</v>
      </c>
      <c r="F31" s="189" t="s">
        <v>176</v>
      </c>
      <c r="G31" s="145" t="s">
        <v>177</v>
      </c>
      <c r="H31" s="155">
        <f t="shared" si="0"/>
        <v>0</v>
      </c>
      <c r="I31" s="156"/>
      <c r="J31" s="4"/>
      <c r="K31" s="208"/>
      <c r="L31" s="175" t="s">
        <v>178</v>
      </c>
      <c r="M31" s="69" t="s">
        <v>92</v>
      </c>
    </row>
    <row r="32" spans="2:13" ht="12.75" customHeight="1">
      <c r="B32" s="71">
        <f t="shared" si="1"/>
        <v>28</v>
      </c>
      <c r="C32" s="71" t="s">
        <v>21</v>
      </c>
      <c r="D32" s="210" t="s">
        <v>175</v>
      </c>
      <c r="E32" s="198" t="s">
        <v>124</v>
      </c>
      <c r="F32" s="189" t="s">
        <v>179</v>
      </c>
      <c r="G32" s="145" t="s">
        <v>180</v>
      </c>
      <c r="H32" s="155">
        <f t="shared" si="0"/>
        <v>0</v>
      </c>
      <c r="I32" s="156"/>
      <c r="J32" s="4"/>
      <c r="K32" s="238"/>
      <c r="L32" s="175" t="s">
        <v>181</v>
      </c>
      <c r="M32" s="69" t="s">
        <v>92</v>
      </c>
    </row>
    <row r="33" spans="2:13" ht="12.75" customHeight="1">
      <c r="B33" s="71">
        <f t="shared" si="1"/>
        <v>29</v>
      </c>
      <c r="C33" s="71" t="s">
        <v>21</v>
      </c>
      <c r="D33" s="210" t="s">
        <v>175</v>
      </c>
      <c r="E33" s="200" t="s">
        <v>124</v>
      </c>
      <c r="F33" s="75" t="s">
        <v>169</v>
      </c>
      <c r="G33" s="194" t="s">
        <v>170</v>
      </c>
      <c r="H33" s="201">
        <f t="shared" si="0"/>
        <v>4.1500000000000004</v>
      </c>
      <c r="I33" s="156"/>
      <c r="J33" s="4"/>
      <c r="K33" s="204">
        <v>4.1500000000000004</v>
      </c>
      <c r="L33" s="3" t="s">
        <v>171</v>
      </c>
      <c r="M33" s="69" t="s">
        <v>92</v>
      </c>
    </row>
    <row r="34" spans="2:13" ht="12.75" customHeight="1">
      <c r="B34" s="71">
        <f t="shared" si="1"/>
        <v>30</v>
      </c>
      <c r="C34" s="71" t="s">
        <v>21</v>
      </c>
      <c r="D34" s="210" t="s">
        <v>175</v>
      </c>
      <c r="E34" s="198" t="s">
        <v>124</v>
      </c>
      <c r="F34" s="73" t="s">
        <v>172</v>
      </c>
      <c r="G34" s="73" t="s">
        <v>173</v>
      </c>
      <c r="H34" s="201">
        <f t="shared" si="0"/>
        <v>2.62</v>
      </c>
      <c r="I34" s="156"/>
      <c r="J34" s="4"/>
      <c r="K34" s="204">
        <v>2.62</v>
      </c>
      <c r="L34" s="3" t="s">
        <v>174</v>
      </c>
      <c r="M34" s="69" t="s">
        <v>92</v>
      </c>
    </row>
    <row r="35" spans="2:13" ht="12.75" customHeight="1">
      <c r="B35" s="71">
        <f t="shared" si="1"/>
        <v>31</v>
      </c>
      <c r="C35" s="71" t="s">
        <v>21</v>
      </c>
      <c r="D35" s="188" t="s">
        <v>182</v>
      </c>
      <c r="E35" s="198" t="s">
        <v>107</v>
      </c>
      <c r="F35" s="189" t="s">
        <v>183</v>
      </c>
      <c r="G35" s="145" t="s">
        <v>184</v>
      </c>
      <c r="H35" s="201">
        <f t="shared" si="0"/>
        <v>0</v>
      </c>
      <c r="I35" s="202"/>
      <c r="J35" s="4"/>
      <c r="K35" s="158"/>
      <c r="L35" s="277" t="s">
        <v>130</v>
      </c>
      <c r="M35" s="69" t="s">
        <v>92</v>
      </c>
    </row>
    <row r="36" spans="2:13" ht="12.75" customHeight="1">
      <c r="B36" s="71">
        <f t="shared" si="1"/>
        <v>32</v>
      </c>
      <c r="C36" s="71" t="s">
        <v>21</v>
      </c>
      <c r="D36" s="188" t="s">
        <v>182</v>
      </c>
      <c r="E36" s="198" t="s">
        <v>107</v>
      </c>
      <c r="F36" s="189" t="s">
        <v>185</v>
      </c>
      <c r="G36" s="145" t="s">
        <v>184</v>
      </c>
      <c r="H36" s="201">
        <f t="shared" si="0"/>
        <v>0</v>
      </c>
      <c r="I36" s="202"/>
      <c r="J36" s="4"/>
      <c r="K36" s="158"/>
      <c r="L36" s="277" t="s">
        <v>130</v>
      </c>
      <c r="M36" s="69" t="s">
        <v>92</v>
      </c>
    </row>
    <row r="37" spans="2:13" ht="12.75" customHeight="1">
      <c r="B37" s="71">
        <f t="shared" si="1"/>
        <v>33</v>
      </c>
      <c r="C37" s="71" t="s">
        <v>21</v>
      </c>
      <c r="D37" s="188" t="s">
        <v>182</v>
      </c>
      <c r="E37" s="198" t="s">
        <v>107</v>
      </c>
      <c r="F37" s="231" t="s">
        <v>188</v>
      </c>
      <c r="G37" s="232" t="s">
        <v>112</v>
      </c>
      <c r="H37" s="201">
        <f t="shared" si="0"/>
        <v>40.4</v>
      </c>
      <c r="I37" s="202"/>
      <c r="J37" s="189" t="s">
        <v>189</v>
      </c>
      <c r="K37" s="279">
        <v>40.4</v>
      </c>
      <c r="L37" s="277" t="s">
        <v>190</v>
      </c>
      <c r="M37" s="69" t="s">
        <v>92</v>
      </c>
    </row>
    <row r="38" spans="2:13" ht="12.75" customHeight="1">
      <c r="B38" s="71">
        <f t="shared" si="1"/>
        <v>34</v>
      </c>
      <c r="C38" s="71" t="s">
        <v>21</v>
      </c>
      <c r="D38" s="188" t="s">
        <v>182</v>
      </c>
      <c r="E38" s="198" t="s">
        <v>127</v>
      </c>
      <c r="F38" s="189" t="s">
        <v>191</v>
      </c>
      <c r="G38" s="145" t="s">
        <v>184</v>
      </c>
      <c r="H38" s="201">
        <f t="shared" si="0"/>
        <v>0</v>
      </c>
      <c r="I38" s="202"/>
      <c r="J38" s="4"/>
      <c r="K38" s="158"/>
      <c r="L38" s="277" t="s">
        <v>130</v>
      </c>
      <c r="M38" s="69" t="s">
        <v>92</v>
      </c>
    </row>
    <row r="39" spans="2:13" ht="12.75" customHeight="1">
      <c r="B39" s="71">
        <f t="shared" si="1"/>
        <v>35</v>
      </c>
      <c r="C39" s="71" t="s">
        <v>21</v>
      </c>
      <c r="D39" s="188" t="s">
        <v>182</v>
      </c>
      <c r="E39" s="198" t="s">
        <v>127</v>
      </c>
      <c r="F39" s="189" t="s">
        <v>192</v>
      </c>
      <c r="G39" s="145" t="s">
        <v>184</v>
      </c>
      <c r="H39" s="201">
        <f t="shared" si="0"/>
        <v>0</v>
      </c>
      <c r="I39" s="202"/>
      <c r="J39" s="4"/>
      <c r="K39" s="158"/>
      <c r="L39" s="277" t="s">
        <v>130</v>
      </c>
      <c r="M39" s="69" t="s">
        <v>92</v>
      </c>
    </row>
    <row r="40" spans="2:13" ht="12.75" customHeight="1">
      <c r="B40" s="71">
        <f t="shared" si="1"/>
        <v>36</v>
      </c>
      <c r="C40" s="71" t="s">
        <v>21</v>
      </c>
      <c r="D40" s="188" t="s">
        <v>182</v>
      </c>
      <c r="E40" s="198" t="s">
        <v>127</v>
      </c>
      <c r="F40" s="231" t="s">
        <v>193</v>
      </c>
      <c r="G40" s="232" t="s">
        <v>112</v>
      </c>
      <c r="H40" s="201">
        <f t="shared" si="0"/>
        <v>40.4</v>
      </c>
      <c r="I40" s="202"/>
      <c r="J40" s="189" t="s">
        <v>189</v>
      </c>
      <c r="K40" s="279">
        <v>40.4</v>
      </c>
      <c r="L40" s="277" t="s">
        <v>190</v>
      </c>
      <c r="M40" s="69" t="s">
        <v>92</v>
      </c>
    </row>
    <row r="41" spans="2:13" ht="12.75" customHeight="1">
      <c r="B41" s="71">
        <f t="shared" si="1"/>
        <v>37</v>
      </c>
      <c r="C41" s="71" t="s">
        <v>21</v>
      </c>
      <c r="D41" s="71" t="s">
        <v>194</v>
      </c>
      <c r="E41" s="198" t="s">
        <v>107</v>
      </c>
      <c r="F41" s="189" t="s">
        <v>195</v>
      </c>
      <c r="G41" s="145" t="s">
        <v>177</v>
      </c>
      <c r="H41" s="155">
        <f t="shared" si="0"/>
        <v>0</v>
      </c>
      <c r="I41" s="156"/>
      <c r="J41" s="4"/>
      <c r="K41" s="208"/>
      <c r="L41" s="175" t="s">
        <v>110</v>
      </c>
      <c r="M41" s="69" t="s">
        <v>92</v>
      </c>
    </row>
    <row r="42" spans="2:13" ht="12.75" customHeight="1">
      <c r="B42" s="71">
        <f t="shared" si="1"/>
        <v>38</v>
      </c>
      <c r="C42" s="71" t="s">
        <v>21</v>
      </c>
      <c r="D42" s="71" t="s">
        <v>194</v>
      </c>
      <c r="E42" s="198" t="s">
        <v>107</v>
      </c>
      <c r="F42" s="189" t="s">
        <v>196</v>
      </c>
      <c r="G42" s="145" t="s">
        <v>180</v>
      </c>
      <c r="H42" s="155">
        <f t="shared" si="0"/>
        <v>0</v>
      </c>
      <c r="I42" s="156"/>
      <c r="J42" s="4"/>
      <c r="K42" s="208"/>
      <c r="L42" s="175" t="s">
        <v>197</v>
      </c>
      <c r="M42" s="69" t="s">
        <v>92</v>
      </c>
    </row>
    <row r="43" spans="2:13" ht="12.75" customHeight="1">
      <c r="B43" s="71">
        <f t="shared" si="1"/>
        <v>39</v>
      </c>
      <c r="C43" s="71" t="s">
        <v>21</v>
      </c>
      <c r="D43" s="71" t="s">
        <v>194</v>
      </c>
      <c r="E43" s="198" t="s">
        <v>127</v>
      </c>
      <c r="F43" s="189" t="s">
        <v>198</v>
      </c>
      <c r="G43" s="145" t="s">
        <v>177</v>
      </c>
      <c r="H43" s="155">
        <f t="shared" si="0"/>
        <v>0</v>
      </c>
      <c r="I43" s="156"/>
      <c r="J43" s="4"/>
      <c r="K43" s="238"/>
      <c r="L43" s="175" t="s">
        <v>199</v>
      </c>
      <c r="M43" s="69" t="s">
        <v>92</v>
      </c>
    </row>
    <row r="44" spans="2:13" ht="12.75" customHeight="1">
      <c r="B44" s="71">
        <f t="shared" si="1"/>
        <v>40</v>
      </c>
      <c r="C44" s="71" t="s">
        <v>21</v>
      </c>
      <c r="D44" s="71" t="s">
        <v>194</v>
      </c>
      <c r="E44" s="198" t="s">
        <v>127</v>
      </c>
      <c r="F44" s="189" t="s">
        <v>200</v>
      </c>
      <c r="G44" s="145" t="s">
        <v>180</v>
      </c>
      <c r="H44" s="155">
        <f t="shared" si="0"/>
        <v>0</v>
      </c>
      <c r="I44" s="156"/>
      <c r="J44" s="4"/>
      <c r="K44" s="238"/>
      <c r="L44" s="175" t="s">
        <v>201</v>
      </c>
      <c r="M44" s="69" t="s">
        <v>92</v>
      </c>
    </row>
    <row r="45" spans="2:13" ht="12.75" customHeight="1">
      <c r="B45" s="71">
        <f t="shared" si="1"/>
        <v>41</v>
      </c>
      <c r="C45" s="71" t="s">
        <v>21</v>
      </c>
      <c r="D45" s="71" t="s">
        <v>202</v>
      </c>
      <c r="E45" s="200" t="s">
        <v>124</v>
      </c>
      <c r="F45" s="75" t="s">
        <v>169</v>
      </c>
      <c r="G45" s="194" t="s">
        <v>170</v>
      </c>
      <c r="H45" s="201">
        <f t="shared" si="0"/>
        <v>4.1500000000000004</v>
      </c>
      <c r="I45" s="156"/>
      <c r="J45" s="4"/>
      <c r="K45" s="204">
        <v>4.1500000000000004</v>
      </c>
      <c r="L45" s="3" t="s">
        <v>171</v>
      </c>
      <c r="M45" s="69" t="s">
        <v>92</v>
      </c>
    </row>
    <row r="46" spans="2:13" ht="12.75" customHeight="1">
      <c r="B46" s="71">
        <f t="shared" si="1"/>
        <v>42</v>
      </c>
      <c r="C46" s="71" t="s">
        <v>21</v>
      </c>
      <c r="D46" s="71" t="s">
        <v>202</v>
      </c>
      <c r="E46" s="198" t="s">
        <v>124</v>
      </c>
      <c r="F46" s="73" t="s">
        <v>172</v>
      </c>
      <c r="G46" s="73" t="s">
        <v>173</v>
      </c>
      <c r="H46" s="201">
        <f t="shared" si="0"/>
        <v>2.62</v>
      </c>
      <c r="I46" s="156"/>
      <c r="J46" s="4"/>
      <c r="K46" s="204">
        <v>2.62</v>
      </c>
      <c r="L46" s="3" t="s">
        <v>174</v>
      </c>
      <c r="M46" s="69" t="s">
        <v>92</v>
      </c>
    </row>
    <row r="47" spans="2:13" ht="12.75" customHeight="1">
      <c r="B47" s="71">
        <f t="shared" si="1"/>
        <v>43</v>
      </c>
      <c r="C47" s="71" t="s">
        <v>21</v>
      </c>
      <c r="D47" s="188" t="s">
        <v>123</v>
      </c>
      <c r="E47" s="198" t="s">
        <v>124</v>
      </c>
      <c r="F47" s="159" t="s">
        <v>203</v>
      </c>
      <c r="G47" s="145" t="s">
        <v>184</v>
      </c>
      <c r="H47" s="201">
        <f t="shared" si="0"/>
        <v>2.7</v>
      </c>
      <c r="I47" s="202"/>
      <c r="J47" s="4"/>
      <c r="K47" s="204">
        <v>2.7</v>
      </c>
      <c r="L47" s="216" t="s">
        <v>204</v>
      </c>
      <c r="M47" s="69" t="s">
        <v>92</v>
      </c>
    </row>
    <row r="48" spans="2:13" ht="12.75" customHeight="1">
      <c r="B48" s="71">
        <f t="shared" si="1"/>
        <v>44</v>
      </c>
      <c r="C48" s="71" t="s">
        <v>21</v>
      </c>
      <c r="D48" s="188" t="s">
        <v>123</v>
      </c>
      <c r="E48" s="198" t="s">
        <v>124</v>
      </c>
      <c r="F48" s="159" t="s">
        <v>205</v>
      </c>
      <c r="G48" s="145" t="s">
        <v>184</v>
      </c>
      <c r="H48" s="201">
        <f t="shared" si="0"/>
        <v>2.7</v>
      </c>
      <c r="I48" s="202"/>
      <c r="J48" s="4"/>
      <c r="K48" s="204">
        <v>2.7</v>
      </c>
      <c r="L48" s="216" t="s">
        <v>204</v>
      </c>
      <c r="M48" s="69" t="s">
        <v>92</v>
      </c>
    </row>
    <row r="49" spans="2:13" ht="12.75" customHeight="1">
      <c r="B49" s="71">
        <f t="shared" si="1"/>
        <v>45</v>
      </c>
      <c r="C49" s="71" t="s">
        <v>21</v>
      </c>
      <c r="D49" s="188" t="s">
        <v>123</v>
      </c>
      <c r="E49" s="198" t="s">
        <v>124</v>
      </c>
      <c r="F49" s="159" t="s">
        <v>206</v>
      </c>
      <c r="G49" s="145" t="s">
        <v>184</v>
      </c>
      <c r="H49" s="201">
        <f t="shared" si="0"/>
        <v>2.7</v>
      </c>
      <c r="I49" s="202"/>
      <c r="J49" s="4"/>
      <c r="K49" s="204">
        <v>2.7</v>
      </c>
      <c r="L49" s="216" t="s">
        <v>204</v>
      </c>
      <c r="M49" s="69" t="s">
        <v>92</v>
      </c>
    </row>
    <row r="50" spans="2:13" ht="12.75" customHeight="1">
      <c r="B50" s="71">
        <f t="shared" si="1"/>
        <v>46</v>
      </c>
      <c r="C50" s="71" t="s">
        <v>21</v>
      </c>
      <c r="D50" s="71" t="s">
        <v>207</v>
      </c>
      <c r="E50" s="198" t="s">
        <v>124</v>
      </c>
      <c r="F50" s="189" t="s">
        <v>208</v>
      </c>
      <c r="G50" s="145" t="s">
        <v>177</v>
      </c>
      <c r="H50" s="155">
        <f t="shared" si="0"/>
        <v>0</v>
      </c>
      <c r="I50" s="156"/>
      <c r="J50" s="4"/>
      <c r="K50" s="208"/>
      <c r="L50" s="175" t="s">
        <v>197</v>
      </c>
      <c r="M50" s="69" t="s">
        <v>92</v>
      </c>
    </row>
    <row r="51" spans="2:13" ht="12.75" customHeight="1">
      <c r="B51" s="71">
        <f t="shared" si="1"/>
        <v>47</v>
      </c>
      <c r="C51" s="71" t="s">
        <v>21</v>
      </c>
      <c r="D51" s="71" t="s">
        <v>207</v>
      </c>
      <c r="E51" s="198" t="s">
        <v>124</v>
      </c>
      <c r="F51" s="189" t="s">
        <v>209</v>
      </c>
      <c r="G51" s="145" t="s">
        <v>180</v>
      </c>
      <c r="H51" s="155">
        <f t="shared" si="0"/>
        <v>0</v>
      </c>
      <c r="I51" s="156"/>
      <c r="J51" s="4"/>
      <c r="K51" s="208"/>
      <c r="L51" s="175" t="s">
        <v>197</v>
      </c>
      <c r="M51" s="69" t="s">
        <v>92</v>
      </c>
    </row>
    <row r="52" spans="2:13" ht="12.75" customHeight="1">
      <c r="B52" s="71">
        <f t="shared" si="1"/>
        <v>48</v>
      </c>
      <c r="C52" s="71" t="s">
        <v>21</v>
      </c>
      <c r="D52" s="71" t="s">
        <v>207</v>
      </c>
      <c r="E52" s="198" t="s">
        <v>107</v>
      </c>
      <c r="F52" s="189" t="s">
        <v>210</v>
      </c>
      <c r="G52" s="145" t="s">
        <v>177</v>
      </c>
      <c r="H52" s="155">
        <f t="shared" si="0"/>
        <v>0</v>
      </c>
      <c r="I52" s="156"/>
      <c r="J52" s="4"/>
      <c r="K52" s="208"/>
      <c r="L52" s="175" t="s">
        <v>197</v>
      </c>
      <c r="M52" s="69" t="s">
        <v>92</v>
      </c>
    </row>
    <row r="53" spans="2:13" ht="12.75" customHeight="1">
      <c r="B53" s="71">
        <f t="shared" si="1"/>
        <v>49</v>
      </c>
      <c r="C53" s="71" t="s">
        <v>21</v>
      </c>
      <c r="D53" s="71" t="s">
        <v>207</v>
      </c>
      <c r="E53" s="198" t="s">
        <v>107</v>
      </c>
      <c r="F53" s="189" t="s">
        <v>211</v>
      </c>
      <c r="G53" s="145" t="s">
        <v>180</v>
      </c>
      <c r="H53" s="155">
        <f t="shared" si="0"/>
        <v>0</v>
      </c>
      <c r="I53" s="156"/>
      <c r="J53" s="4"/>
      <c r="K53" s="208"/>
      <c r="L53" s="175" t="s">
        <v>197</v>
      </c>
      <c r="M53" s="69" t="s">
        <v>92</v>
      </c>
    </row>
    <row r="54" spans="2:13" ht="12.75" customHeight="1">
      <c r="B54" s="71">
        <f t="shared" si="1"/>
        <v>50</v>
      </c>
      <c r="C54" s="71" t="s">
        <v>21</v>
      </c>
      <c r="D54" s="71" t="s">
        <v>207</v>
      </c>
      <c r="E54" s="198" t="s">
        <v>127</v>
      </c>
      <c r="F54" s="189" t="s">
        <v>212</v>
      </c>
      <c r="G54" s="145" t="s">
        <v>177</v>
      </c>
      <c r="H54" s="155">
        <f t="shared" si="0"/>
        <v>0</v>
      </c>
      <c r="I54" s="156"/>
      <c r="J54" s="4"/>
      <c r="K54" s="208"/>
      <c r="L54" s="175" t="s">
        <v>197</v>
      </c>
      <c r="M54" s="69" t="s">
        <v>92</v>
      </c>
    </row>
    <row r="55" spans="2:13" ht="12.75" customHeight="1">
      <c r="B55" s="71">
        <f t="shared" si="1"/>
        <v>51</v>
      </c>
      <c r="C55" s="71" t="s">
        <v>21</v>
      </c>
      <c r="D55" s="71" t="s">
        <v>207</v>
      </c>
      <c r="E55" s="198" t="s">
        <v>127</v>
      </c>
      <c r="F55" s="189" t="s">
        <v>213</v>
      </c>
      <c r="G55" s="145" t="s">
        <v>180</v>
      </c>
      <c r="H55" s="155">
        <f t="shared" si="0"/>
        <v>0</v>
      </c>
      <c r="I55" s="156"/>
      <c r="J55" s="4"/>
      <c r="K55" s="208"/>
      <c r="L55" s="175" t="s">
        <v>197</v>
      </c>
      <c r="M55" s="69" t="s">
        <v>92</v>
      </c>
    </row>
    <row r="56" spans="2:13" ht="12.75" customHeight="1">
      <c r="B56" s="71">
        <f t="shared" si="1"/>
        <v>52</v>
      </c>
      <c r="C56" s="71" t="s">
        <v>21</v>
      </c>
      <c r="D56" s="71" t="s">
        <v>207</v>
      </c>
      <c r="E56" s="200" t="s">
        <v>124</v>
      </c>
      <c r="F56" s="175" t="s">
        <v>214</v>
      </c>
      <c r="G56" s="194" t="s">
        <v>170</v>
      </c>
      <c r="H56" s="201">
        <f t="shared" si="0"/>
        <v>4.1500000000000004</v>
      </c>
      <c r="I56" s="156"/>
      <c r="J56" s="4"/>
      <c r="K56" s="204">
        <v>4.1500000000000004</v>
      </c>
      <c r="L56" s="3" t="s">
        <v>171</v>
      </c>
      <c r="M56" s="69" t="s">
        <v>92</v>
      </c>
    </row>
    <row r="57" spans="2:13" ht="12.75" customHeight="1">
      <c r="B57" s="71">
        <f t="shared" si="1"/>
        <v>53</v>
      </c>
      <c r="C57" s="71" t="s">
        <v>21</v>
      </c>
      <c r="D57" s="71" t="s">
        <v>207</v>
      </c>
      <c r="E57" s="200" t="s">
        <v>124</v>
      </c>
      <c r="F57" s="175" t="s">
        <v>215</v>
      </c>
      <c r="G57" s="194" t="s">
        <v>170</v>
      </c>
      <c r="H57" s="201">
        <f t="shared" si="0"/>
        <v>4.1500000000000004</v>
      </c>
      <c r="I57" s="156"/>
      <c r="J57" s="4"/>
      <c r="K57" s="204">
        <v>4.1500000000000004</v>
      </c>
      <c r="L57" s="3" t="s">
        <v>171</v>
      </c>
      <c r="M57" s="69" t="s">
        <v>92</v>
      </c>
    </row>
    <row r="58" spans="2:13" ht="12.75" customHeight="1">
      <c r="B58" s="71">
        <f t="shared" si="1"/>
        <v>54</v>
      </c>
      <c r="C58" s="71" t="s">
        <v>21</v>
      </c>
      <c r="D58" s="71" t="s">
        <v>207</v>
      </c>
      <c r="E58" s="198" t="s">
        <v>124</v>
      </c>
      <c r="F58" s="73" t="s">
        <v>172</v>
      </c>
      <c r="G58" s="73" t="s">
        <v>173</v>
      </c>
      <c r="H58" s="201">
        <f t="shared" si="0"/>
        <v>2.62</v>
      </c>
      <c r="I58" s="156"/>
      <c r="J58" s="4"/>
      <c r="K58" s="204">
        <v>2.62</v>
      </c>
      <c r="L58" s="3" t="s">
        <v>174</v>
      </c>
      <c r="M58" s="69" t="s">
        <v>92</v>
      </c>
    </row>
    <row r="59" spans="2:13" ht="12.75" customHeight="1">
      <c r="B59" s="71">
        <f t="shared" si="1"/>
        <v>55</v>
      </c>
      <c r="C59" s="198" t="s">
        <v>24</v>
      </c>
      <c r="D59" s="71" t="s">
        <v>106</v>
      </c>
      <c r="E59" s="198" t="s">
        <v>124</v>
      </c>
      <c r="F59" s="231" t="s">
        <v>216</v>
      </c>
      <c r="G59" s="232" t="s">
        <v>217</v>
      </c>
      <c r="H59" s="155">
        <f t="shared" si="0"/>
        <v>0</v>
      </c>
      <c r="I59" s="156"/>
      <c r="J59" s="4"/>
      <c r="K59" s="208"/>
      <c r="L59" s="175" t="s">
        <v>218</v>
      </c>
      <c r="M59" s="69" t="s">
        <v>92</v>
      </c>
    </row>
    <row r="60" spans="2:13" ht="12.75" customHeight="1">
      <c r="B60" s="71">
        <f t="shared" si="1"/>
        <v>56</v>
      </c>
      <c r="C60" s="198" t="s">
        <v>24</v>
      </c>
      <c r="D60" s="71" t="s">
        <v>106</v>
      </c>
      <c r="E60" s="198" t="s">
        <v>107</v>
      </c>
      <c r="F60" s="231" t="s">
        <v>219</v>
      </c>
      <c r="G60" s="232" t="s">
        <v>217</v>
      </c>
      <c r="H60" s="155">
        <f t="shared" si="0"/>
        <v>0</v>
      </c>
      <c r="I60" s="156"/>
      <c r="J60" s="4"/>
      <c r="K60" s="208"/>
      <c r="L60" s="175" t="s">
        <v>220</v>
      </c>
      <c r="M60" s="69" t="s">
        <v>92</v>
      </c>
    </row>
    <row r="61" spans="2:13" ht="12.75" customHeight="1">
      <c r="B61" s="71">
        <f t="shared" si="1"/>
        <v>57</v>
      </c>
      <c r="C61" s="198" t="s">
        <v>24</v>
      </c>
      <c r="D61" s="71" t="s">
        <v>106</v>
      </c>
      <c r="E61" s="198" t="s">
        <v>127</v>
      </c>
      <c r="F61" s="231" t="s">
        <v>221</v>
      </c>
      <c r="G61" s="232" t="s">
        <v>217</v>
      </c>
      <c r="H61" s="155">
        <f t="shared" si="0"/>
        <v>0</v>
      </c>
      <c r="I61" s="156"/>
      <c r="J61" s="4"/>
      <c r="K61" s="208"/>
      <c r="L61" s="175" t="s">
        <v>220</v>
      </c>
      <c r="M61" s="69" t="s">
        <v>92</v>
      </c>
    </row>
    <row r="62" spans="2:13" ht="12.75" customHeight="1">
      <c r="B62" s="71">
        <f t="shared" si="1"/>
        <v>58</v>
      </c>
      <c r="C62" s="198" t="s">
        <v>24</v>
      </c>
      <c r="D62" s="186" t="s">
        <v>116</v>
      </c>
      <c r="E62" s="198" t="s">
        <v>107</v>
      </c>
      <c r="F62" s="231" t="s">
        <v>222</v>
      </c>
      <c r="G62" s="145" t="s">
        <v>223</v>
      </c>
      <c r="H62" s="155">
        <f t="shared" si="0"/>
        <v>21786</v>
      </c>
      <c r="I62" s="156"/>
      <c r="J62" s="4"/>
      <c r="K62" s="237">
        <v>21786</v>
      </c>
      <c r="L62" s="267" t="s">
        <v>224</v>
      </c>
      <c r="M62" s="69" t="s">
        <v>92</v>
      </c>
    </row>
    <row r="63" spans="2:13" ht="12.75" customHeight="1">
      <c r="B63" s="71">
        <f t="shared" si="1"/>
        <v>59</v>
      </c>
      <c r="C63" s="198" t="s">
        <v>24</v>
      </c>
      <c r="D63" s="186" t="s">
        <v>116</v>
      </c>
      <c r="E63" s="198" t="s">
        <v>107</v>
      </c>
      <c r="F63" s="231" t="s">
        <v>225</v>
      </c>
      <c r="G63" s="145" t="s">
        <v>226</v>
      </c>
      <c r="H63" s="155">
        <f t="shared" si="0"/>
        <v>0</v>
      </c>
      <c r="I63" s="156"/>
      <c r="J63" s="4"/>
      <c r="K63" s="208"/>
      <c r="L63" s="175" t="s">
        <v>197</v>
      </c>
      <c r="M63" s="69" t="s">
        <v>92</v>
      </c>
    </row>
    <row r="64" spans="2:13" ht="12.75" customHeight="1">
      <c r="B64" s="71">
        <f t="shared" si="1"/>
        <v>60</v>
      </c>
      <c r="C64" s="198" t="s">
        <v>24</v>
      </c>
      <c r="D64" s="186" t="s">
        <v>116</v>
      </c>
      <c r="E64" s="198" t="s">
        <v>127</v>
      </c>
      <c r="F64" s="231" t="s">
        <v>227</v>
      </c>
      <c r="G64" s="145" t="s">
        <v>223</v>
      </c>
      <c r="H64" s="155">
        <f t="shared" si="0"/>
        <v>0</v>
      </c>
      <c r="I64" s="156"/>
      <c r="J64" s="4"/>
      <c r="K64" s="208"/>
      <c r="L64" s="175" t="s">
        <v>197</v>
      </c>
      <c r="M64" s="69" t="s">
        <v>92</v>
      </c>
    </row>
    <row r="65" spans="2:13" ht="12.75" customHeight="1">
      <c r="B65" s="71">
        <f t="shared" si="1"/>
        <v>61</v>
      </c>
      <c r="C65" s="198" t="s">
        <v>24</v>
      </c>
      <c r="D65" s="186" t="s">
        <v>116</v>
      </c>
      <c r="E65" s="198" t="s">
        <v>127</v>
      </c>
      <c r="F65" s="231" t="s">
        <v>228</v>
      </c>
      <c r="G65" s="145" t="s">
        <v>226</v>
      </c>
      <c r="H65" s="155">
        <f t="shared" si="0"/>
        <v>0</v>
      </c>
      <c r="I65" s="156"/>
      <c r="J65" s="4"/>
      <c r="K65" s="208"/>
      <c r="L65" s="175" t="s">
        <v>197</v>
      </c>
      <c r="M65" s="69" t="s">
        <v>92</v>
      </c>
    </row>
    <row r="66" spans="2:13" ht="12.75" customHeight="1">
      <c r="B66" s="71">
        <f t="shared" si="1"/>
        <v>62</v>
      </c>
      <c r="C66" s="198" t="s">
        <v>24</v>
      </c>
      <c r="D66" s="186" t="s">
        <v>116</v>
      </c>
      <c r="E66" s="198" t="s">
        <v>107</v>
      </c>
      <c r="F66" s="231" t="s">
        <v>229</v>
      </c>
      <c r="G66" s="145" t="s">
        <v>226</v>
      </c>
      <c r="H66" s="155" t="e">
        <f t="shared" si="0"/>
        <v>#DIV/0!</v>
      </c>
      <c r="I66" s="156"/>
      <c r="J66" s="4"/>
      <c r="K66" s="237" t="e">
        <f>'仮定値算定シート（ルート2）'!G102</f>
        <v>#DIV/0!</v>
      </c>
      <c r="L66" s="267" t="s">
        <v>230</v>
      </c>
      <c r="M66" s="69" t="s">
        <v>92</v>
      </c>
    </row>
    <row r="67" spans="2:13" ht="12.75" customHeight="1">
      <c r="B67" s="71">
        <f t="shared" si="1"/>
        <v>63</v>
      </c>
      <c r="C67" s="198" t="s">
        <v>24</v>
      </c>
      <c r="D67" s="186" t="s">
        <v>116</v>
      </c>
      <c r="E67" s="198" t="s">
        <v>127</v>
      </c>
      <c r="F67" s="231" t="s">
        <v>231</v>
      </c>
      <c r="G67" s="145" t="s">
        <v>226</v>
      </c>
      <c r="H67" s="155" t="e">
        <f t="shared" si="0"/>
        <v>#DIV/0!</v>
      </c>
      <c r="I67" s="156"/>
      <c r="J67" s="4"/>
      <c r="K67" s="237" t="e">
        <f>'仮定値算定シート（ルート2）'!G115</f>
        <v>#DIV/0!</v>
      </c>
      <c r="L67" s="267" t="s">
        <v>230</v>
      </c>
      <c r="M67" s="69" t="s">
        <v>92</v>
      </c>
    </row>
    <row r="68" spans="2:13" ht="12.75" customHeight="1">
      <c r="B68" s="71">
        <f t="shared" si="1"/>
        <v>64</v>
      </c>
      <c r="C68" s="198" t="s">
        <v>24</v>
      </c>
      <c r="D68" s="188" t="s">
        <v>182</v>
      </c>
      <c r="E68" s="198" t="s">
        <v>107</v>
      </c>
      <c r="F68" s="231" t="s">
        <v>232</v>
      </c>
      <c r="G68" s="145" t="s">
        <v>223</v>
      </c>
      <c r="H68" s="155">
        <f t="shared" si="0"/>
        <v>63144</v>
      </c>
      <c r="I68" s="156"/>
      <c r="J68" s="4"/>
      <c r="K68" s="237">
        <v>63144</v>
      </c>
      <c r="L68" s="267" t="s">
        <v>230</v>
      </c>
      <c r="M68" s="69" t="s">
        <v>92</v>
      </c>
    </row>
    <row r="69" spans="2:13" ht="12.75" customHeight="1">
      <c r="B69" s="71">
        <f t="shared" si="1"/>
        <v>65</v>
      </c>
      <c r="C69" s="198" t="s">
        <v>24</v>
      </c>
      <c r="D69" s="188" t="s">
        <v>182</v>
      </c>
      <c r="E69" s="198" t="s">
        <v>124</v>
      </c>
      <c r="F69" s="231" t="s">
        <v>233</v>
      </c>
      <c r="G69" s="143" t="s">
        <v>112</v>
      </c>
      <c r="H69" s="155">
        <f t="shared" si="0"/>
        <v>0</v>
      </c>
      <c r="I69" s="156"/>
      <c r="J69" s="4"/>
      <c r="K69" s="208"/>
      <c r="L69" s="175" t="s">
        <v>234</v>
      </c>
      <c r="M69" s="69" t="s">
        <v>92</v>
      </c>
    </row>
    <row r="70" spans="2:13" ht="12.75" customHeight="1">
      <c r="B70" s="71">
        <f t="shared" si="1"/>
        <v>66</v>
      </c>
      <c r="C70" s="198" t="s">
        <v>24</v>
      </c>
      <c r="D70" s="188" t="s">
        <v>182</v>
      </c>
      <c r="E70" s="198" t="s">
        <v>127</v>
      </c>
      <c r="F70" s="231" t="s">
        <v>235</v>
      </c>
      <c r="G70" s="145" t="s">
        <v>223</v>
      </c>
      <c r="H70" s="155">
        <f t="shared" si="0"/>
        <v>62999</v>
      </c>
      <c r="I70" s="156"/>
      <c r="J70" s="4"/>
      <c r="K70" s="237">
        <v>62999</v>
      </c>
      <c r="L70" s="175" t="s">
        <v>230</v>
      </c>
      <c r="M70" s="69" t="s">
        <v>92</v>
      </c>
    </row>
    <row r="71" spans="2:13" ht="12.75" customHeight="1">
      <c r="B71" s="71">
        <f t="shared" si="1"/>
        <v>67</v>
      </c>
      <c r="C71" s="198" t="s">
        <v>24</v>
      </c>
      <c r="D71" s="188" t="s">
        <v>182</v>
      </c>
      <c r="E71" s="198" t="s">
        <v>127</v>
      </c>
      <c r="F71" s="231" t="s">
        <v>236</v>
      </c>
      <c r="G71" s="145" t="s">
        <v>223</v>
      </c>
      <c r="H71" s="155">
        <f t="shared" si="0"/>
        <v>62999</v>
      </c>
      <c r="I71" s="156"/>
      <c r="J71" s="4"/>
      <c r="K71" s="237">
        <v>62999</v>
      </c>
      <c r="L71" s="175" t="s">
        <v>230</v>
      </c>
      <c r="M71" s="69" t="s">
        <v>92</v>
      </c>
    </row>
    <row r="72" spans="2:13" ht="12.75" customHeight="1">
      <c r="B72" s="71">
        <f t="shared" si="1"/>
        <v>68</v>
      </c>
      <c r="C72" s="198" t="s">
        <v>24</v>
      </c>
      <c r="D72" s="188" t="s">
        <v>182</v>
      </c>
      <c r="E72" s="198" t="s">
        <v>127</v>
      </c>
      <c r="F72" s="231" t="s">
        <v>237</v>
      </c>
      <c r="G72" s="143" t="s">
        <v>112</v>
      </c>
      <c r="H72" s="155">
        <f t="shared" ref="H72:H79" si="2">IF($I72="",$K72,$I72)</f>
        <v>0</v>
      </c>
      <c r="I72" s="156"/>
      <c r="J72" s="4"/>
      <c r="K72" s="208"/>
      <c r="L72" s="175" t="s">
        <v>238</v>
      </c>
      <c r="M72" s="69" t="s">
        <v>92</v>
      </c>
    </row>
    <row r="73" spans="2:13" ht="12.75" customHeight="1">
      <c r="B73" s="71">
        <f t="shared" ref="B73:B79" si="3">B72+1</f>
        <v>69</v>
      </c>
      <c r="C73" s="198" t="s">
        <v>24</v>
      </c>
      <c r="D73" s="188" t="s">
        <v>72</v>
      </c>
      <c r="E73" s="198" t="s">
        <v>124</v>
      </c>
      <c r="F73" s="231" t="s">
        <v>239</v>
      </c>
      <c r="G73" s="145" t="s">
        <v>223</v>
      </c>
      <c r="H73" s="155">
        <f t="shared" si="2"/>
        <v>0</v>
      </c>
      <c r="I73" s="156"/>
      <c r="J73" s="4"/>
      <c r="K73" s="208"/>
      <c r="L73" s="175" t="s">
        <v>178</v>
      </c>
      <c r="M73" s="69" t="s">
        <v>92</v>
      </c>
    </row>
    <row r="74" spans="2:13" ht="12.75" customHeight="1">
      <c r="B74" s="71">
        <f t="shared" si="3"/>
        <v>70</v>
      </c>
      <c r="C74" s="198" t="s">
        <v>24</v>
      </c>
      <c r="D74" s="71" t="s">
        <v>207</v>
      </c>
      <c r="E74" s="198" t="s">
        <v>107</v>
      </c>
      <c r="F74" s="231" t="s">
        <v>240</v>
      </c>
      <c r="G74" s="145" t="s">
        <v>226</v>
      </c>
      <c r="H74" s="155" t="e">
        <f t="shared" si="2"/>
        <v>#DIV/0!</v>
      </c>
      <c r="I74" s="156"/>
      <c r="J74" s="4"/>
      <c r="K74" s="237" t="e">
        <f>'仮定値算定シート（ルート2）'!G143</f>
        <v>#DIV/0!</v>
      </c>
      <c r="L74" s="267" t="s">
        <v>230</v>
      </c>
      <c r="M74" s="69" t="s">
        <v>92</v>
      </c>
    </row>
    <row r="75" spans="2:13" ht="12.75" customHeight="1">
      <c r="B75" s="71">
        <f t="shared" si="3"/>
        <v>71</v>
      </c>
      <c r="C75" s="198" t="s">
        <v>24</v>
      </c>
      <c r="D75" s="71" t="s">
        <v>207</v>
      </c>
      <c r="E75" s="198" t="s">
        <v>107</v>
      </c>
      <c r="F75" s="231" t="s">
        <v>241</v>
      </c>
      <c r="G75" s="145" t="s">
        <v>226</v>
      </c>
      <c r="H75" s="155" t="e">
        <f t="shared" si="2"/>
        <v>#DIV/0!</v>
      </c>
      <c r="I75" s="156"/>
      <c r="J75" s="4"/>
      <c r="K75" s="237" t="e">
        <f>'仮定値算定シート（ルート2）'!G156</f>
        <v>#DIV/0!</v>
      </c>
      <c r="L75" s="267" t="s">
        <v>230</v>
      </c>
      <c r="M75" s="69" t="s">
        <v>92</v>
      </c>
    </row>
    <row r="76" spans="2:13" ht="12.75" customHeight="1">
      <c r="B76" s="71">
        <f t="shared" si="3"/>
        <v>72</v>
      </c>
      <c r="C76" s="198" t="s">
        <v>24</v>
      </c>
      <c r="D76" s="71" t="s">
        <v>207</v>
      </c>
      <c r="E76" s="198" t="s">
        <v>127</v>
      </c>
      <c r="F76" s="231" t="s">
        <v>242</v>
      </c>
      <c r="G76" s="145" t="s">
        <v>226</v>
      </c>
      <c r="H76" s="155" t="e">
        <f t="shared" si="2"/>
        <v>#DIV/0!</v>
      </c>
      <c r="I76" s="156"/>
      <c r="J76" s="4"/>
      <c r="K76" s="237" t="e">
        <f>'仮定値算定シート（ルート2）'!G169</f>
        <v>#DIV/0!</v>
      </c>
      <c r="L76" s="267" t="s">
        <v>230</v>
      </c>
      <c r="M76" s="69" t="s">
        <v>92</v>
      </c>
    </row>
    <row r="77" spans="2:13" ht="12.75" customHeight="1">
      <c r="B77" s="71">
        <f t="shared" si="3"/>
        <v>73</v>
      </c>
      <c r="C77" s="198" t="s">
        <v>24</v>
      </c>
      <c r="D77" s="71" t="s">
        <v>207</v>
      </c>
      <c r="E77" s="198" t="s">
        <v>127</v>
      </c>
      <c r="F77" s="231" t="s">
        <v>243</v>
      </c>
      <c r="G77" s="145" t="s">
        <v>226</v>
      </c>
      <c r="H77" s="155" t="e">
        <f t="shared" si="2"/>
        <v>#DIV/0!</v>
      </c>
      <c r="I77" s="156"/>
      <c r="J77" s="4"/>
      <c r="K77" s="237" t="e">
        <f>'仮定値算定シート（ルート2）'!G182</f>
        <v>#DIV/0!</v>
      </c>
      <c r="L77" s="267" t="s">
        <v>230</v>
      </c>
      <c r="M77" s="69" t="s">
        <v>92</v>
      </c>
    </row>
    <row r="78" spans="2:13" ht="12.75" customHeight="1">
      <c r="B78" s="71">
        <f t="shared" si="3"/>
        <v>74</v>
      </c>
      <c r="C78" s="198" t="s">
        <v>24</v>
      </c>
      <c r="D78" s="186" t="s">
        <v>80</v>
      </c>
      <c r="E78" s="198" t="s">
        <v>107</v>
      </c>
      <c r="F78" s="231" t="s">
        <v>244</v>
      </c>
      <c r="G78" s="145" t="s">
        <v>226</v>
      </c>
      <c r="H78" s="155">
        <f t="shared" si="2"/>
        <v>0</v>
      </c>
      <c r="I78" s="156"/>
      <c r="J78" s="4"/>
      <c r="K78" s="208"/>
      <c r="L78" s="175" t="s">
        <v>178</v>
      </c>
      <c r="M78" s="69" t="s">
        <v>92</v>
      </c>
    </row>
    <row r="79" spans="2:13" ht="12.75" customHeight="1" thickBot="1">
      <c r="B79" s="387">
        <f t="shared" si="3"/>
        <v>75</v>
      </c>
      <c r="C79" s="255" t="s">
        <v>24</v>
      </c>
      <c r="D79" s="256" t="s">
        <v>80</v>
      </c>
      <c r="E79" s="255" t="s">
        <v>127</v>
      </c>
      <c r="F79" s="257" t="s">
        <v>245</v>
      </c>
      <c r="G79" s="258" t="s">
        <v>226</v>
      </c>
      <c r="H79" s="259">
        <f t="shared" si="2"/>
        <v>0</v>
      </c>
      <c r="I79" s="260"/>
      <c r="J79" s="261"/>
      <c r="K79" s="262"/>
      <c r="L79" s="263" t="s">
        <v>178</v>
      </c>
      <c r="M79" s="69" t="s">
        <v>92</v>
      </c>
    </row>
    <row r="81" spans="1:13">
      <c r="A81" s="69" t="s">
        <v>92</v>
      </c>
      <c r="D81" s="68" t="s">
        <v>92</v>
      </c>
      <c r="F81" s="69" t="s">
        <v>92</v>
      </c>
      <c r="G81" s="68" t="s">
        <v>92</v>
      </c>
      <c r="K81" s="69" t="s">
        <v>92</v>
      </c>
      <c r="L81" s="69" t="s">
        <v>92</v>
      </c>
      <c r="M81" s="69" t="s">
        <v>92</v>
      </c>
    </row>
    <row r="82" spans="1:13">
      <c r="H82" s="140"/>
    </row>
    <row r="83" spans="1:13">
      <c r="H83" s="140"/>
    </row>
  </sheetData>
  <mergeCells count="2">
    <mergeCell ref="I3:J3"/>
    <mergeCell ref="K3:L3"/>
  </mergeCells>
  <phoneticPr fontId="2"/>
  <pageMargins left="0.74803149606299213" right="0.74803149606299213" top="0.98425196850393704" bottom="0.98425196850393704" header="0.51181102362204722" footer="0.51181102362204722"/>
  <pageSetup paperSize="8" scale="8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2F470-DE10-4490-BA51-99406301099E}">
  <dimension ref="A1:P44"/>
  <sheetViews>
    <sheetView workbookViewId="0">
      <selection activeCell="K13" sqref="K13"/>
    </sheetView>
  </sheetViews>
  <sheetFormatPr defaultColWidth="9" defaultRowHeight="14.25"/>
  <cols>
    <col min="1" max="1" width="2.5703125" style="6" customWidth="1"/>
    <col min="2" max="2" width="4.5703125" style="6" customWidth="1"/>
    <col min="3" max="6" width="2.5703125" style="6" customWidth="1"/>
    <col min="7" max="7" width="43.85546875" style="6" customWidth="1"/>
    <col min="8" max="8" width="10.5703125" style="6" customWidth="1"/>
    <col min="9" max="9" width="2.7109375" style="6" customWidth="1"/>
    <col min="10" max="11" width="14.42578125" style="6" customWidth="1"/>
    <col min="12" max="12" width="2.85546875" style="6" customWidth="1"/>
    <col min="13" max="14" width="14.42578125" style="6" customWidth="1"/>
    <col min="15" max="15" width="2.7109375" style="6" customWidth="1"/>
    <col min="16" max="16" width="82.5703125" style="6" bestFit="1" customWidth="1"/>
    <col min="17" max="16384" width="9" style="6"/>
  </cols>
  <sheetData>
    <row r="1" spans="1:16" ht="18">
      <c r="A1" s="116" t="s">
        <v>18</v>
      </c>
      <c r="B1" s="5"/>
      <c r="C1" s="5"/>
      <c r="D1" s="5"/>
      <c r="E1" s="5"/>
    </row>
    <row r="2" spans="1:16" ht="15" thickBot="1"/>
    <row r="3" spans="1:16" ht="15">
      <c r="F3" s="36" t="s">
        <v>246</v>
      </c>
      <c r="G3" s="37"/>
      <c r="H3" s="38"/>
      <c r="J3" s="437" t="s">
        <v>247</v>
      </c>
      <c r="K3" s="438"/>
      <c r="L3" s="127"/>
      <c r="M3" s="437" t="s">
        <v>248</v>
      </c>
      <c r="N3" s="438"/>
      <c r="O3" s="39"/>
    </row>
    <row r="4" spans="1:16" ht="15">
      <c r="F4" s="40" t="s">
        <v>249</v>
      </c>
      <c r="G4" s="41"/>
      <c r="H4" s="42"/>
      <c r="J4" s="43" t="s">
        <v>250</v>
      </c>
      <c r="K4" s="126" t="s">
        <v>251</v>
      </c>
      <c r="L4" s="127"/>
      <c r="M4" s="43" t="s">
        <v>250</v>
      </c>
      <c r="N4" s="126" t="s">
        <v>252</v>
      </c>
      <c r="O4" s="39"/>
    </row>
    <row r="5" spans="1:16">
      <c r="F5" s="47"/>
      <c r="G5" s="48" t="s">
        <v>253</v>
      </c>
      <c r="H5" s="46" t="s">
        <v>254</v>
      </c>
      <c r="J5" s="49">
        <f>J27</f>
        <v>0</v>
      </c>
      <c r="K5" s="129">
        <f>K27</f>
        <v>0</v>
      </c>
      <c r="M5" s="49">
        <f>M21</f>
        <v>0</v>
      </c>
      <c r="N5" s="129">
        <f>N27</f>
        <v>0</v>
      </c>
    </row>
    <row r="6" spans="1:16">
      <c r="F6" s="47"/>
      <c r="G6" s="50" t="s">
        <v>255</v>
      </c>
      <c r="H6" s="51" t="s">
        <v>254</v>
      </c>
      <c r="J6" s="52"/>
      <c r="K6" s="129">
        <f>K28</f>
        <v>0</v>
      </c>
      <c r="M6" s="52"/>
      <c r="N6" s="129">
        <f>N28</f>
        <v>0</v>
      </c>
    </row>
    <row r="7" spans="1:16">
      <c r="F7" s="47"/>
      <c r="G7" s="50" t="s">
        <v>256</v>
      </c>
      <c r="H7" s="51" t="s">
        <v>254</v>
      </c>
      <c r="J7" s="52"/>
      <c r="K7" s="129">
        <f>K33</f>
        <v>0</v>
      </c>
      <c r="M7" s="52"/>
      <c r="N7" s="129" t="e">
        <f>N33</f>
        <v>#DIV/0!</v>
      </c>
    </row>
    <row r="8" spans="1:16">
      <c r="F8" s="47"/>
      <c r="G8" s="50" t="s">
        <v>257</v>
      </c>
      <c r="H8" s="51" t="s">
        <v>254</v>
      </c>
      <c r="J8" s="52"/>
      <c r="K8" s="129">
        <f>K34</f>
        <v>0</v>
      </c>
      <c r="M8" s="52"/>
      <c r="N8" s="129" t="e">
        <f>N34</f>
        <v>#DIV/0!</v>
      </c>
    </row>
    <row r="9" spans="1:16">
      <c r="F9" s="47"/>
      <c r="G9" s="168" t="s">
        <v>258</v>
      </c>
      <c r="H9" s="51" t="s">
        <v>254</v>
      </c>
      <c r="J9" s="52"/>
      <c r="K9" s="129">
        <f>K38</f>
        <v>0</v>
      </c>
      <c r="M9" s="52"/>
      <c r="N9" s="129" t="e">
        <f>N38</f>
        <v>#DIV/0!</v>
      </c>
    </row>
    <row r="10" spans="1:16">
      <c r="F10" s="47"/>
      <c r="G10" s="50" t="s">
        <v>259</v>
      </c>
      <c r="H10" s="51" t="s">
        <v>254</v>
      </c>
      <c r="J10" s="52"/>
      <c r="K10" s="129">
        <f>K39</f>
        <v>0</v>
      </c>
      <c r="M10" s="52"/>
      <c r="N10" s="129" t="e">
        <f>N39</f>
        <v>#DIV/0!</v>
      </c>
    </row>
    <row r="11" spans="1:16">
      <c r="F11" s="47"/>
      <c r="G11" s="169" t="s">
        <v>260</v>
      </c>
      <c r="H11" s="51" t="s">
        <v>254</v>
      </c>
      <c r="J11" s="49">
        <f>J40</f>
        <v>0</v>
      </c>
      <c r="K11" s="129">
        <f>K40</f>
        <v>0</v>
      </c>
      <c r="M11" s="49">
        <f>M40</f>
        <v>0</v>
      </c>
      <c r="N11" s="129" t="e">
        <f>N40</f>
        <v>#DIV/0!</v>
      </c>
    </row>
    <row r="12" spans="1:16">
      <c r="F12" s="47"/>
      <c r="G12" s="169" t="s">
        <v>261</v>
      </c>
      <c r="H12" s="51" t="s">
        <v>254</v>
      </c>
      <c r="J12" s="52"/>
      <c r="K12" s="129">
        <f>K39</f>
        <v>0</v>
      </c>
      <c r="M12" s="52"/>
      <c r="N12" s="129" t="e">
        <f>N39</f>
        <v>#DIV/0!</v>
      </c>
    </row>
    <row r="13" spans="1:16" ht="15" thickBot="1">
      <c r="F13" s="53"/>
      <c r="G13" s="170" t="s">
        <v>262</v>
      </c>
      <c r="H13" s="55" t="s">
        <v>254</v>
      </c>
      <c r="I13" s="171"/>
      <c r="J13" s="56">
        <f>J43</f>
        <v>0</v>
      </c>
      <c r="K13" s="130">
        <f>K42+K43</f>
        <v>0</v>
      </c>
      <c r="L13" s="171"/>
      <c r="M13" s="56">
        <f>M43</f>
        <v>0</v>
      </c>
      <c r="N13" s="130" t="e">
        <f>N42+N43</f>
        <v>#DIV/0!</v>
      </c>
    </row>
    <row r="15" spans="1:16">
      <c r="B15" s="6" t="s">
        <v>263</v>
      </c>
    </row>
    <row r="16" spans="1:16">
      <c r="B16" s="9" t="s">
        <v>8</v>
      </c>
      <c r="C16" s="10" t="s">
        <v>264</v>
      </c>
      <c r="D16" s="11"/>
      <c r="E16" s="10" t="s">
        <v>265</v>
      </c>
      <c r="F16" s="12"/>
      <c r="G16" s="11"/>
      <c r="H16" s="9" t="s">
        <v>266</v>
      </c>
      <c r="J16" s="128" t="s">
        <v>58</v>
      </c>
      <c r="K16" s="9" t="s">
        <v>267</v>
      </c>
      <c r="M16" s="9" t="s">
        <v>268</v>
      </c>
      <c r="N16" s="9" t="s">
        <v>269</v>
      </c>
      <c r="P16" s="9" t="s">
        <v>270</v>
      </c>
    </row>
    <row r="17" spans="2:16" ht="14.25" customHeight="1">
      <c r="B17" s="13">
        <v>1</v>
      </c>
      <c r="C17" s="14"/>
      <c r="D17" s="14"/>
      <c r="E17" s="14"/>
      <c r="F17" s="120" t="s">
        <v>271</v>
      </c>
      <c r="G17" s="28"/>
      <c r="H17" s="7" t="s">
        <v>272</v>
      </c>
      <c r="J17" s="182">
        <f>'パラメータ（ルート2）'!$H$5</f>
        <v>0</v>
      </c>
      <c r="K17" s="63"/>
      <c r="L17" s="317"/>
      <c r="M17" s="63"/>
      <c r="N17" s="63"/>
      <c r="P17" s="7"/>
    </row>
    <row r="18" spans="2:16" ht="14.25" customHeight="1">
      <c r="B18" s="13">
        <f>B17+1</f>
        <v>2</v>
      </c>
      <c r="C18" s="14"/>
      <c r="D18" s="14"/>
      <c r="E18" s="14"/>
      <c r="F18" s="119" t="s">
        <v>273</v>
      </c>
      <c r="G18" s="21"/>
      <c r="H18" s="24" t="s">
        <v>274</v>
      </c>
      <c r="J18" s="318">
        <f>'パラメータ（ルート2）'!$H$6</f>
        <v>9</v>
      </c>
      <c r="K18" s="62"/>
      <c r="L18" s="317"/>
      <c r="M18" s="62"/>
      <c r="N18" s="62"/>
      <c r="P18" s="24"/>
    </row>
    <row r="19" spans="2:16" ht="14.25" customHeight="1">
      <c r="B19" s="13">
        <f t="shared" ref="B19:B43" si="0">B18+1</f>
        <v>3</v>
      </c>
      <c r="C19" s="14"/>
      <c r="D19" s="14"/>
      <c r="E19" s="119" t="s">
        <v>275</v>
      </c>
      <c r="F19" s="119"/>
      <c r="G19" s="21"/>
      <c r="H19" s="24" t="s">
        <v>276</v>
      </c>
      <c r="J19" s="23">
        <f>J17*J18/100</f>
        <v>0</v>
      </c>
      <c r="K19" s="62"/>
      <c r="L19" s="317"/>
      <c r="M19" s="62"/>
      <c r="N19" s="62"/>
      <c r="P19" s="24"/>
    </row>
    <row r="20" spans="2:16" ht="14.25" customHeight="1">
      <c r="B20" s="13">
        <f t="shared" si="0"/>
        <v>4</v>
      </c>
      <c r="C20" s="14"/>
      <c r="D20" s="14"/>
      <c r="E20" s="121" t="s">
        <v>277</v>
      </c>
      <c r="F20" s="7"/>
      <c r="G20" s="28"/>
      <c r="H20" s="7" t="s">
        <v>278</v>
      </c>
      <c r="J20" s="63"/>
      <c r="K20" s="8">
        <f>'パラメータ（ルート2）'!$H$7</f>
        <v>0</v>
      </c>
      <c r="L20" s="317"/>
      <c r="M20" s="63"/>
      <c r="N20" s="63"/>
      <c r="P20" s="7"/>
    </row>
    <row r="21" spans="2:16" ht="14.25" customHeight="1">
      <c r="B21" s="13">
        <f>B20+1</f>
        <v>5</v>
      </c>
      <c r="C21" s="14"/>
      <c r="D21" s="14"/>
      <c r="E21" s="119" t="s">
        <v>279</v>
      </c>
      <c r="F21" s="24"/>
      <c r="G21" s="21"/>
      <c r="H21" s="24" t="s">
        <v>276</v>
      </c>
      <c r="J21" s="62"/>
      <c r="K21" s="62"/>
      <c r="L21" s="317"/>
      <c r="M21" s="318">
        <f>$J$27-($N$22-$K$20)</f>
        <v>0</v>
      </c>
      <c r="N21" s="62"/>
      <c r="P21" s="24"/>
    </row>
    <row r="22" spans="2:16" ht="14.25" customHeight="1">
      <c r="B22" s="13">
        <f t="shared" si="0"/>
        <v>6</v>
      </c>
      <c r="C22" s="14"/>
      <c r="D22" s="14"/>
      <c r="E22" s="121" t="s">
        <v>280</v>
      </c>
      <c r="F22" s="7"/>
      <c r="G22" s="28"/>
      <c r="H22" s="24" t="s">
        <v>276</v>
      </c>
      <c r="J22" s="62"/>
      <c r="K22" s="62"/>
      <c r="L22" s="317"/>
      <c r="M22" s="62"/>
      <c r="N22" s="318">
        <f>'パラメータ（ルート2）'!$H$11</f>
        <v>0</v>
      </c>
      <c r="P22" s="24"/>
    </row>
    <row r="23" spans="2:16" ht="14.25" customHeight="1">
      <c r="B23" s="13">
        <f t="shared" si="0"/>
        <v>7</v>
      </c>
      <c r="C23" s="14"/>
      <c r="D23" s="14"/>
      <c r="E23" s="14"/>
      <c r="F23" s="124" t="s">
        <v>281</v>
      </c>
      <c r="G23" s="167"/>
      <c r="H23" s="7" t="s">
        <v>282</v>
      </c>
      <c r="J23" s="319"/>
      <c r="K23" s="60"/>
      <c r="L23" s="317"/>
      <c r="M23" s="60"/>
      <c r="N23" s="182">
        <f>'パラメータ（ルート2）'!$H$12</f>
        <v>0</v>
      </c>
      <c r="P23" s="24"/>
    </row>
    <row r="24" spans="2:16" ht="14.25" customHeight="1">
      <c r="B24" s="13">
        <f t="shared" si="0"/>
        <v>8</v>
      </c>
      <c r="C24" s="14"/>
      <c r="D24" s="14"/>
      <c r="E24" s="14"/>
      <c r="F24" s="180" t="s">
        <v>283</v>
      </c>
      <c r="G24" s="180"/>
      <c r="H24" s="7" t="s">
        <v>282</v>
      </c>
      <c r="J24" s="63"/>
      <c r="K24" s="63"/>
      <c r="L24" s="317"/>
      <c r="M24" s="63"/>
      <c r="N24" s="320">
        <f>'パラメータ（ルート2）'!$H$13</f>
        <v>0</v>
      </c>
      <c r="P24" s="24"/>
    </row>
    <row r="25" spans="2:16" ht="14.25" customHeight="1">
      <c r="B25" s="13">
        <f t="shared" si="0"/>
        <v>9</v>
      </c>
      <c r="C25" s="14"/>
      <c r="D25" s="14"/>
      <c r="E25" s="14"/>
      <c r="F25" s="120" t="s">
        <v>284</v>
      </c>
      <c r="G25" s="181"/>
      <c r="H25" s="15" t="s">
        <v>276</v>
      </c>
      <c r="J25" s="63"/>
      <c r="K25" s="63"/>
      <c r="L25" s="317"/>
      <c r="M25" s="319"/>
      <c r="N25" s="182">
        <f>$N$22*$N$23/100</f>
        <v>0</v>
      </c>
      <c r="P25" s="24"/>
    </row>
    <row r="26" spans="2:16" ht="14.25" customHeight="1">
      <c r="B26" s="13">
        <f t="shared" si="0"/>
        <v>10</v>
      </c>
      <c r="C26" s="14"/>
      <c r="D26" s="14"/>
      <c r="E26" s="24"/>
      <c r="F26" s="119" t="s">
        <v>285</v>
      </c>
      <c r="G26" s="120"/>
      <c r="H26" s="7" t="s">
        <v>276</v>
      </c>
      <c r="J26" s="63"/>
      <c r="K26" s="62"/>
      <c r="L26" s="317"/>
      <c r="M26" s="63"/>
      <c r="N26" s="182">
        <f>$N$22*$N$24/100</f>
        <v>0</v>
      </c>
      <c r="P26" s="24"/>
    </row>
    <row r="27" spans="2:16" ht="14.25" customHeight="1">
      <c r="B27" s="13">
        <f t="shared" si="0"/>
        <v>11</v>
      </c>
      <c r="C27" s="14"/>
      <c r="D27" s="117" t="s">
        <v>286</v>
      </c>
      <c r="E27" s="32"/>
      <c r="F27" s="32"/>
      <c r="G27" s="32"/>
      <c r="H27" s="122" t="s">
        <v>287</v>
      </c>
      <c r="J27" s="166">
        <f>J17*J18/100</f>
        <v>0</v>
      </c>
      <c r="K27" s="166">
        <f>K20</f>
        <v>0</v>
      </c>
      <c r="L27" s="317"/>
      <c r="M27" s="166">
        <f>M21</f>
        <v>0</v>
      </c>
      <c r="N27" s="166">
        <f>N22</f>
        <v>0</v>
      </c>
      <c r="P27" s="120" t="s">
        <v>288</v>
      </c>
    </row>
    <row r="28" spans="2:16" ht="14.25" customHeight="1">
      <c r="B28" s="13">
        <f t="shared" si="0"/>
        <v>12</v>
      </c>
      <c r="C28" s="14"/>
      <c r="D28" s="117" t="s">
        <v>289</v>
      </c>
      <c r="E28" s="32"/>
      <c r="F28" s="32"/>
      <c r="G28" s="32"/>
      <c r="H28" s="122" t="s">
        <v>287</v>
      </c>
      <c r="J28" s="321"/>
      <c r="K28" s="166">
        <f>K27</f>
        <v>0</v>
      </c>
      <c r="L28" s="317"/>
      <c r="M28" s="321"/>
      <c r="N28" s="166">
        <f>N27</f>
        <v>0</v>
      </c>
      <c r="P28" s="123"/>
    </row>
    <row r="29" spans="2:16" ht="14.25" customHeight="1">
      <c r="B29" s="13">
        <f t="shared" si="0"/>
        <v>13</v>
      </c>
      <c r="C29" s="14"/>
      <c r="D29" s="14"/>
      <c r="E29" s="239"/>
      <c r="F29" s="121" t="s">
        <v>290</v>
      </c>
      <c r="G29" s="124"/>
      <c r="H29" s="24" t="s">
        <v>274</v>
      </c>
      <c r="J29" s="62"/>
      <c r="K29" s="318">
        <f>'パラメータ（ルート2）'!$H$8</f>
        <v>16.7</v>
      </c>
      <c r="L29" s="317"/>
      <c r="M29" s="62"/>
      <c r="N29" s="318" t="e">
        <f>'パラメータ（ルート2）'!$H$14</f>
        <v>#DIV/0!</v>
      </c>
      <c r="P29" s="24"/>
    </row>
    <row r="30" spans="2:16" ht="14.25" customHeight="1">
      <c r="B30" s="13">
        <f t="shared" si="0"/>
        <v>14</v>
      </c>
      <c r="C30" s="14"/>
      <c r="D30" s="14"/>
      <c r="E30" s="119" t="s">
        <v>291</v>
      </c>
      <c r="F30" s="7"/>
      <c r="G30" s="124"/>
      <c r="H30" s="7" t="s">
        <v>276</v>
      </c>
      <c r="J30" s="62"/>
      <c r="K30" s="318">
        <f>K28*(1-(K29/100))</f>
        <v>0</v>
      </c>
      <c r="L30" s="317"/>
      <c r="M30" s="62"/>
      <c r="N30" s="318" t="e">
        <f>N25*(1-(N29/100))</f>
        <v>#DIV/0!</v>
      </c>
      <c r="P30" s="24"/>
    </row>
    <row r="31" spans="2:16" ht="14.25" customHeight="1">
      <c r="B31" s="13">
        <f t="shared" si="0"/>
        <v>15</v>
      </c>
      <c r="C31" s="14"/>
      <c r="D31" s="14"/>
      <c r="E31" s="239"/>
      <c r="F31" s="121" t="s">
        <v>292</v>
      </c>
      <c r="G31" s="124"/>
      <c r="H31" s="24" t="s">
        <v>274</v>
      </c>
      <c r="J31" s="62"/>
      <c r="K31" s="62"/>
      <c r="L31" s="317"/>
      <c r="M31" s="62"/>
      <c r="N31" s="318" t="e">
        <f>'パラメータ（ルート2）'!$H$15</f>
        <v>#DIV/0!</v>
      </c>
      <c r="P31" s="24"/>
    </row>
    <row r="32" spans="2:16" ht="14.25" customHeight="1">
      <c r="B32" s="13">
        <f t="shared" si="0"/>
        <v>16</v>
      </c>
      <c r="C32" s="14"/>
      <c r="D32" s="14"/>
      <c r="E32" s="119" t="s">
        <v>293</v>
      </c>
      <c r="F32" s="7"/>
      <c r="G32" s="124"/>
      <c r="H32" s="7" t="s">
        <v>276</v>
      </c>
      <c r="J32" s="62"/>
      <c r="K32" s="62"/>
      <c r="L32" s="317"/>
      <c r="M32" s="62"/>
      <c r="N32" s="318" t="e">
        <f>N26*(1-(N31/100))</f>
        <v>#DIV/0!</v>
      </c>
      <c r="P32" s="24"/>
    </row>
    <row r="33" spans="2:16" ht="14.25" customHeight="1">
      <c r="B33" s="13">
        <f t="shared" si="0"/>
        <v>17</v>
      </c>
      <c r="C33" s="14"/>
      <c r="D33" s="117" t="s">
        <v>294</v>
      </c>
      <c r="E33" s="32"/>
      <c r="F33" s="32"/>
      <c r="G33" s="32"/>
      <c r="H33" s="122" t="s">
        <v>287</v>
      </c>
      <c r="J33" s="321"/>
      <c r="K33" s="166">
        <f>K30</f>
        <v>0</v>
      </c>
      <c r="L33" s="317"/>
      <c r="M33" s="321"/>
      <c r="N33" s="166" t="e">
        <f>N30+N32</f>
        <v>#DIV/0!</v>
      </c>
      <c r="P33" s="123"/>
    </row>
    <row r="34" spans="2:16" ht="14.25" customHeight="1">
      <c r="B34" s="13">
        <f t="shared" si="0"/>
        <v>18</v>
      </c>
      <c r="C34" s="14"/>
      <c r="D34" s="117" t="s">
        <v>295</v>
      </c>
      <c r="E34" s="32"/>
      <c r="F34" s="32"/>
      <c r="G34" s="32"/>
      <c r="H34" s="122" t="s">
        <v>287</v>
      </c>
      <c r="J34" s="321"/>
      <c r="K34" s="166">
        <f>K28*K29/100</f>
        <v>0</v>
      </c>
      <c r="L34" s="317"/>
      <c r="M34" s="321"/>
      <c r="N34" s="166" t="e">
        <f>(N25*N29/100)+(N26*N31/100)</f>
        <v>#DIV/0!</v>
      </c>
      <c r="P34" s="123"/>
    </row>
    <row r="35" spans="2:16" ht="14.25" customHeight="1">
      <c r="B35" s="13">
        <f t="shared" si="0"/>
        <v>19</v>
      </c>
      <c r="C35" s="14"/>
      <c r="D35" s="14"/>
      <c r="E35" s="183" t="s">
        <v>296</v>
      </c>
      <c r="F35" s="28"/>
      <c r="G35" s="17"/>
      <c r="H35" s="7" t="s">
        <v>276</v>
      </c>
      <c r="J35" s="63"/>
      <c r="K35" s="182">
        <f>K33</f>
        <v>0</v>
      </c>
      <c r="L35" s="317"/>
      <c r="M35" s="63"/>
      <c r="N35" s="182" t="e">
        <f>N30</f>
        <v>#DIV/0!</v>
      </c>
      <c r="P35" s="16"/>
    </row>
    <row r="36" spans="2:16" ht="14.25" customHeight="1">
      <c r="B36" s="13">
        <f t="shared" si="0"/>
        <v>20</v>
      </c>
      <c r="C36" s="14"/>
      <c r="D36" s="14"/>
      <c r="E36" s="183" t="s">
        <v>297</v>
      </c>
      <c r="F36" s="28"/>
      <c r="G36" s="18"/>
      <c r="H36" s="7" t="s">
        <v>276</v>
      </c>
      <c r="J36" s="63"/>
      <c r="K36" s="185"/>
      <c r="L36" s="317"/>
      <c r="M36" s="63"/>
      <c r="N36" s="182" t="e">
        <f>N32</f>
        <v>#DIV/0!</v>
      </c>
      <c r="P36" s="27"/>
    </row>
    <row r="37" spans="2:16" ht="14.25" customHeight="1">
      <c r="B37" s="13">
        <f t="shared" si="0"/>
        <v>21</v>
      </c>
      <c r="C37" s="14"/>
      <c r="D37" s="14"/>
      <c r="E37" s="184" t="s">
        <v>298</v>
      </c>
      <c r="F37" s="21"/>
      <c r="G37" s="22"/>
      <c r="H37" s="24" t="s">
        <v>274</v>
      </c>
      <c r="J37" s="62"/>
      <c r="K37" s="318">
        <f>'パラメータ（ルート2）'!$H$9</f>
        <v>55</v>
      </c>
      <c r="L37" s="317"/>
      <c r="M37" s="62"/>
      <c r="N37" s="318">
        <f>'パラメータ（ルート2）'!$H$16</f>
        <v>55</v>
      </c>
      <c r="P37" s="24"/>
    </row>
    <row r="38" spans="2:16" ht="14.25" customHeight="1">
      <c r="B38" s="13">
        <f t="shared" si="0"/>
        <v>22</v>
      </c>
      <c r="C38" s="14"/>
      <c r="D38" s="117" t="s">
        <v>299</v>
      </c>
      <c r="E38" s="32"/>
      <c r="F38" s="32"/>
      <c r="G38" s="32"/>
      <c r="H38" s="122" t="s">
        <v>287</v>
      </c>
      <c r="J38" s="321"/>
      <c r="K38" s="166">
        <f>K33*(1-(K37/100))</f>
        <v>0</v>
      </c>
      <c r="L38" s="317"/>
      <c r="M38" s="321"/>
      <c r="N38" s="166" t="e">
        <f>N33*(1-(N37/100))</f>
        <v>#DIV/0!</v>
      </c>
      <c r="P38" s="123"/>
    </row>
    <row r="39" spans="2:16" ht="14.25" customHeight="1">
      <c r="B39" s="13">
        <f t="shared" si="0"/>
        <v>23</v>
      </c>
      <c r="C39" s="14"/>
      <c r="D39" s="117" t="s">
        <v>300</v>
      </c>
      <c r="E39" s="32"/>
      <c r="F39" s="32"/>
      <c r="G39" s="32"/>
      <c r="H39" s="122" t="s">
        <v>287</v>
      </c>
      <c r="J39" s="321"/>
      <c r="K39" s="166">
        <f>K33*K37/100</f>
        <v>0</v>
      </c>
      <c r="L39" s="317"/>
      <c r="M39" s="321"/>
      <c r="N39" s="166" t="e">
        <f>N33*N37/100</f>
        <v>#DIV/0!</v>
      </c>
      <c r="P39" s="123"/>
    </row>
    <row r="40" spans="2:16" ht="14.25" customHeight="1">
      <c r="B40" s="13">
        <f t="shared" si="0"/>
        <v>24</v>
      </c>
      <c r="C40" s="14"/>
      <c r="D40" s="117" t="s">
        <v>301</v>
      </c>
      <c r="E40" s="32"/>
      <c r="F40" s="32"/>
      <c r="G40" s="32"/>
      <c r="H40" s="122" t="s">
        <v>287</v>
      </c>
      <c r="J40" s="166">
        <f>J27</f>
        <v>0</v>
      </c>
      <c r="K40" s="166">
        <f>K34</f>
        <v>0</v>
      </c>
      <c r="L40" s="317"/>
      <c r="M40" s="166">
        <f>M27</f>
        <v>0</v>
      </c>
      <c r="N40" s="166" t="e">
        <f>N34</f>
        <v>#DIV/0!</v>
      </c>
      <c r="P40" s="123"/>
    </row>
    <row r="41" spans="2:16" ht="14.25" customHeight="1">
      <c r="B41" s="13">
        <f t="shared" si="0"/>
        <v>25</v>
      </c>
      <c r="C41" s="14"/>
      <c r="D41" s="14"/>
      <c r="E41" s="167" t="s">
        <v>302</v>
      </c>
      <c r="F41" s="28"/>
      <c r="G41" s="18"/>
      <c r="H41" s="16" t="s">
        <v>274</v>
      </c>
      <c r="J41" s="26">
        <f>'パラメータ（ルート2）'!$H$10</f>
        <v>3</v>
      </c>
      <c r="K41" s="322">
        <f>'パラメータ（ルート2）'!$H$10</f>
        <v>3</v>
      </c>
      <c r="L41" s="317"/>
      <c r="M41" s="26">
        <f>'パラメータ（ルート2）'!$H$10</f>
        <v>3</v>
      </c>
      <c r="N41" s="322">
        <f>'パラメータ（ルート2）'!$H$10</f>
        <v>3</v>
      </c>
      <c r="P41" s="16"/>
    </row>
    <row r="42" spans="2:16" ht="14.25" customHeight="1">
      <c r="B42" s="13">
        <f t="shared" si="0"/>
        <v>26</v>
      </c>
      <c r="C42" s="14"/>
      <c r="D42" s="117" t="s">
        <v>303</v>
      </c>
      <c r="E42" s="32"/>
      <c r="F42" s="32"/>
      <c r="G42" s="32"/>
      <c r="H42" s="122" t="s">
        <v>287</v>
      </c>
      <c r="J42" s="323"/>
      <c r="K42" s="166">
        <f>K39*K41/100</f>
        <v>0</v>
      </c>
      <c r="L42" s="317"/>
      <c r="M42" s="321"/>
      <c r="N42" s="166" t="e">
        <f>N39*N41/100</f>
        <v>#DIV/0!</v>
      </c>
      <c r="P42" s="123"/>
    </row>
    <row r="43" spans="2:16" ht="14.25" customHeight="1">
      <c r="B43" s="13">
        <f t="shared" si="0"/>
        <v>27</v>
      </c>
      <c r="C43" s="14"/>
      <c r="D43" s="117" t="s">
        <v>304</v>
      </c>
      <c r="E43" s="32"/>
      <c r="F43" s="32"/>
      <c r="G43" s="32"/>
      <c r="H43" s="122" t="s">
        <v>287</v>
      </c>
      <c r="J43" s="166">
        <f>J40*J41/100</f>
        <v>0</v>
      </c>
      <c r="K43" s="166">
        <f>K40*K41/100</f>
        <v>0</v>
      </c>
      <c r="L43" s="317"/>
      <c r="M43" s="166">
        <f>M40*M41/100</f>
        <v>0</v>
      </c>
      <c r="N43" s="166" t="e">
        <f>N40*N41/100</f>
        <v>#DIV/0!</v>
      </c>
      <c r="P43" s="123"/>
    </row>
    <row r="44" spans="2:16">
      <c r="C44" s="29"/>
    </row>
  </sheetData>
  <mergeCells count="2">
    <mergeCell ref="J3:K3"/>
    <mergeCell ref="M3:N3"/>
  </mergeCells>
  <phoneticPr fontId="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F699F-CE58-45EC-B4E3-8BB18CB3DD59}">
  <dimension ref="A1:P71"/>
  <sheetViews>
    <sheetView workbookViewId="0">
      <selection activeCell="K31" sqref="K31"/>
    </sheetView>
  </sheetViews>
  <sheetFormatPr defaultColWidth="9" defaultRowHeight="14.25"/>
  <cols>
    <col min="1" max="1" width="2.85546875" style="6" customWidth="1"/>
    <col min="2" max="2" width="4.5703125" style="6" customWidth="1"/>
    <col min="3" max="6" width="2.5703125" style="6" customWidth="1"/>
    <col min="7" max="7" width="50.140625" style="6" customWidth="1"/>
    <col min="8" max="8" width="10.5703125" style="6" customWidth="1"/>
    <col min="9" max="9" width="2.7109375" style="6" customWidth="1"/>
    <col min="10" max="10" width="14.42578125" style="6" customWidth="1"/>
    <col min="11" max="11" width="14.5703125" style="6" customWidth="1"/>
    <col min="12" max="12" width="2.85546875" style="6" customWidth="1"/>
    <col min="13" max="13" width="14.5703125" style="6" customWidth="1"/>
    <col min="14" max="14" width="14.28515625" style="6" customWidth="1"/>
    <col min="15" max="15" width="2.85546875" style="6" customWidth="1"/>
    <col min="16" max="16" width="49" style="6" customWidth="1"/>
    <col min="17" max="16384" width="9" style="6"/>
  </cols>
  <sheetData>
    <row r="1" spans="1:14" ht="18">
      <c r="A1" s="5" t="s">
        <v>305</v>
      </c>
      <c r="B1" s="5"/>
      <c r="C1" s="5"/>
    </row>
    <row r="2" spans="1:14" ht="15" thickBot="1"/>
    <row r="3" spans="1:14" ht="15">
      <c r="F3" s="36" t="s">
        <v>246</v>
      </c>
      <c r="G3" s="37"/>
      <c r="H3" s="38"/>
      <c r="J3" s="437" t="s">
        <v>247</v>
      </c>
      <c r="K3" s="438"/>
      <c r="L3" s="127"/>
      <c r="M3" s="437" t="s">
        <v>248</v>
      </c>
      <c r="N3" s="438"/>
    </row>
    <row r="4" spans="1:14" ht="15">
      <c r="F4" s="40" t="s">
        <v>249</v>
      </c>
      <c r="G4" s="41"/>
      <c r="H4" s="42"/>
      <c r="J4" s="43" t="s">
        <v>250</v>
      </c>
      <c r="K4" s="126" t="s">
        <v>251</v>
      </c>
      <c r="L4" s="127"/>
      <c r="M4" s="43" t="s">
        <v>250</v>
      </c>
      <c r="N4" s="126" t="s">
        <v>252</v>
      </c>
    </row>
    <row r="5" spans="1:14" ht="15">
      <c r="F5" s="44" t="s">
        <v>306</v>
      </c>
      <c r="G5" s="45"/>
      <c r="H5" s="46" t="s">
        <v>307</v>
      </c>
      <c r="J5" s="224" t="e">
        <f>J$69</f>
        <v>#DIV/0!</v>
      </c>
      <c r="K5" s="225" t="e">
        <f t="shared" ref="K5:N5" si="0">K$69</f>
        <v>#DIV/0!</v>
      </c>
      <c r="M5" s="224" t="e">
        <f t="shared" si="0"/>
        <v>#DIV/0!</v>
      </c>
      <c r="N5" s="225" t="e">
        <f t="shared" si="0"/>
        <v>#DIV/0!</v>
      </c>
    </row>
    <row r="6" spans="1:14">
      <c r="F6" s="47"/>
      <c r="G6" s="48" t="s">
        <v>308</v>
      </c>
      <c r="H6" s="46" t="s">
        <v>307</v>
      </c>
      <c r="J6" s="227">
        <f>J23</f>
        <v>0</v>
      </c>
      <c r="K6" s="226">
        <f>K23</f>
        <v>0</v>
      </c>
      <c r="M6" s="227" t="e">
        <f>M23</f>
        <v>#DIV/0!</v>
      </c>
      <c r="N6" s="226">
        <f>N23</f>
        <v>0</v>
      </c>
    </row>
    <row r="7" spans="1:14">
      <c r="F7" s="47"/>
      <c r="G7" s="50" t="s">
        <v>309</v>
      </c>
      <c r="H7" s="51" t="s">
        <v>307</v>
      </c>
      <c r="J7" s="228"/>
      <c r="K7" s="226" t="e">
        <f>K26</f>
        <v>#DIV/0!</v>
      </c>
      <c r="M7" s="228"/>
      <c r="N7" s="226" t="e">
        <f>N26</f>
        <v>#DIV/0!</v>
      </c>
    </row>
    <row r="8" spans="1:14">
      <c r="F8" s="47"/>
      <c r="G8" s="50" t="s">
        <v>310</v>
      </c>
      <c r="H8" s="51" t="s">
        <v>307</v>
      </c>
      <c r="J8" s="228"/>
      <c r="K8" s="226" t="e">
        <f>K30+K34</f>
        <v>#DIV/0!</v>
      </c>
      <c r="M8" s="228"/>
      <c r="N8" s="226" t="e">
        <f>N30+N34</f>
        <v>#DIV/0!</v>
      </c>
    </row>
    <row r="9" spans="1:14">
      <c r="F9" s="47"/>
      <c r="G9" s="50" t="s">
        <v>311</v>
      </c>
      <c r="H9" s="51" t="s">
        <v>307</v>
      </c>
      <c r="J9" s="228"/>
      <c r="K9" s="226">
        <f>K37</f>
        <v>0</v>
      </c>
      <c r="M9" s="228"/>
      <c r="N9" s="226" t="e">
        <f>N37</f>
        <v>#DIV/0!</v>
      </c>
    </row>
    <row r="10" spans="1:14">
      <c r="F10" s="47"/>
      <c r="G10" s="50" t="s">
        <v>312</v>
      </c>
      <c r="H10" s="51" t="s">
        <v>307</v>
      </c>
      <c r="J10" s="228"/>
      <c r="K10" s="226">
        <f>K41</f>
        <v>0</v>
      </c>
      <c r="M10" s="228"/>
      <c r="N10" s="226" t="e">
        <f>N41</f>
        <v>#DIV/0!</v>
      </c>
    </row>
    <row r="11" spans="1:14">
      <c r="F11" s="47"/>
      <c r="G11" s="50" t="s">
        <v>313</v>
      </c>
      <c r="H11" s="51" t="s">
        <v>307</v>
      </c>
      <c r="J11" s="228"/>
      <c r="K11" s="226" t="e">
        <f>K45</f>
        <v>#DIV/0!</v>
      </c>
      <c r="M11" s="228"/>
      <c r="N11" s="226" t="e">
        <f>N45</f>
        <v>#DIV/0!</v>
      </c>
    </row>
    <row r="12" spans="1:14">
      <c r="F12" s="47"/>
      <c r="G12" s="309" t="s">
        <v>314</v>
      </c>
      <c r="H12" s="51" t="s">
        <v>307</v>
      </c>
      <c r="J12" s="227">
        <f>J55</f>
        <v>0</v>
      </c>
      <c r="K12" s="226">
        <f>K55</f>
        <v>0</v>
      </c>
      <c r="M12" s="227">
        <f>M55</f>
        <v>0</v>
      </c>
      <c r="N12" s="226" t="e">
        <f>N55</f>
        <v>#DIV/0!</v>
      </c>
    </row>
    <row r="13" spans="1:14">
      <c r="F13" s="47"/>
      <c r="G13" s="50" t="s">
        <v>315</v>
      </c>
      <c r="H13" s="51" t="s">
        <v>307</v>
      </c>
      <c r="J13" s="227" t="e">
        <f>J68</f>
        <v>#DIV/0!</v>
      </c>
      <c r="K13" s="226" t="e">
        <f>K68</f>
        <v>#DIV/0!</v>
      </c>
      <c r="M13" s="227" t="e">
        <f>M68</f>
        <v>#DIV/0!</v>
      </c>
      <c r="N13" s="226" t="e">
        <f>N68</f>
        <v>#DIV/0!</v>
      </c>
    </row>
    <row r="14" spans="1:14" ht="15" thickBot="1">
      <c r="F14" s="53"/>
      <c r="G14" s="54" t="s">
        <v>316</v>
      </c>
      <c r="H14" s="55" t="s">
        <v>307</v>
      </c>
      <c r="J14" s="221"/>
      <c r="K14" s="222"/>
      <c r="M14" s="221"/>
      <c r="N14" s="222"/>
    </row>
    <row r="15" spans="1:14">
      <c r="K15" s="223"/>
    </row>
    <row r="16" spans="1:14">
      <c r="B16" s="6" t="s">
        <v>263</v>
      </c>
    </row>
    <row r="17" spans="2:16">
      <c r="B17" s="9" t="s">
        <v>8</v>
      </c>
      <c r="C17" s="10" t="s">
        <v>264</v>
      </c>
      <c r="D17" s="11"/>
      <c r="E17" s="10" t="s">
        <v>265</v>
      </c>
      <c r="F17" s="12"/>
      <c r="G17" s="11"/>
      <c r="H17" s="9" t="s">
        <v>266</v>
      </c>
      <c r="J17" s="385" t="s">
        <v>58</v>
      </c>
      <c r="K17" s="386" t="s">
        <v>267</v>
      </c>
      <c r="L17" s="361"/>
      <c r="M17" s="386" t="s">
        <v>268</v>
      </c>
      <c r="N17" s="386" t="s">
        <v>269</v>
      </c>
      <c r="P17" s="9" t="s">
        <v>270</v>
      </c>
    </row>
    <row r="18" spans="2:16">
      <c r="B18" s="13">
        <v>1</v>
      </c>
      <c r="C18" s="14"/>
      <c r="D18" s="14"/>
      <c r="E18" s="177" t="s">
        <v>317</v>
      </c>
      <c r="F18" s="21"/>
      <c r="G18" s="18"/>
      <c r="H18" s="7" t="s">
        <v>318</v>
      </c>
      <c r="J18" s="360">
        <f>'パラメータ（ルート2）'!H17</f>
        <v>0</v>
      </c>
      <c r="K18" s="360">
        <f>'パラメータ（ルート2）'!H18</f>
        <v>0</v>
      </c>
      <c r="L18" s="361"/>
      <c r="M18" s="360">
        <f>'パラメータ（ルート2）'!H19</f>
        <v>0</v>
      </c>
      <c r="N18" s="360">
        <f>'パラメータ（ルート2）'!H20</f>
        <v>0</v>
      </c>
      <c r="P18" s="7"/>
    </row>
    <row r="19" spans="2:16">
      <c r="B19" s="13">
        <f>B18+1</f>
        <v>2</v>
      </c>
      <c r="C19" s="14"/>
      <c r="D19" s="14"/>
      <c r="E19" s="177" t="s">
        <v>319</v>
      </c>
      <c r="F19" s="25"/>
      <c r="G19" s="18"/>
      <c r="H19" s="7" t="s">
        <v>274</v>
      </c>
      <c r="J19" s="360">
        <f>'パラメータ（ルート2）'!H6</f>
        <v>9</v>
      </c>
      <c r="K19" s="362"/>
      <c r="L19" s="361"/>
      <c r="M19" s="360" t="e">
        <f>('数量（ルート2）'!M21/('数量（ルート2）'!J17-('数量（ルート2）'!J19-'数量（ルート2）'!M21)))*100</f>
        <v>#DIV/0!</v>
      </c>
      <c r="N19" s="362"/>
      <c r="P19" s="7"/>
    </row>
    <row r="20" spans="2:16">
      <c r="B20" s="13">
        <f t="shared" ref="B20:B69" si="1">B19+1</f>
        <v>3</v>
      </c>
      <c r="C20" s="14"/>
      <c r="D20" s="14"/>
      <c r="E20" s="177" t="s">
        <v>320</v>
      </c>
      <c r="F20" s="25"/>
      <c r="G20" s="18"/>
      <c r="H20" s="7" t="s">
        <v>318</v>
      </c>
      <c r="J20" s="360">
        <f>J18*J19/100</f>
        <v>0</v>
      </c>
      <c r="K20" s="362"/>
      <c r="L20" s="361"/>
      <c r="M20" s="360" t="e">
        <f>M18*M19/100</f>
        <v>#DIV/0!</v>
      </c>
      <c r="N20" s="362"/>
      <c r="P20" s="7"/>
    </row>
    <row r="21" spans="2:16">
      <c r="B21" s="13">
        <f t="shared" si="1"/>
        <v>4</v>
      </c>
      <c r="C21" s="14"/>
      <c r="D21" s="14"/>
      <c r="E21" s="28" t="s">
        <v>321</v>
      </c>
      <c r="F21" s="17"/>
      <c r="G21" s="18"/>
      <c r="H21" s="7" t="s">
        <v>322</v>
      </c>
      <c r="J21" s="363">
        <f>'パラメータ（ルート2）'!H21</f>
        <v>10.35</v>
      </c>
      <c r="K21" s="363">
        <f>'パラメータ（ルート2）'!H21</f>
        <v>10.35</v>
      </c>
      <c r="L21" s="361"/>
      <c r="M21" s="363">
        <f>'パラメータ（ルート2）'!H21</f>
        <v>10.35</v>
      </c>
      <c r="N21" s="363">
        <f>'パラメータ（ルート2）'!H21</f>
        <v>10.35</v>
      </c>
      <c r="P21" s="7"/>
    </row>
    <row r="22" spans="2:16">
      <c r="B22" s="13">
        <f t="shared" si="1"/>
        <v>5</v>
      </c>
      <c r="C22" s="14"/>
      <c r="D22" s="24"/>
      <c r="E22" s="28" t="s">
        <v>323</v>
      </c>
      <c r="F22" s="17"/>
      <c r="G22" s="18"/>
      <c r="H22" s="7" t="s">
        <v>173</v>
      </c>
      <c r="J22" s="363">
        <f>'パラメータ（ルート2）'!H22</f>
        <v>2.62</v>
      </c>
      <c r="K22" s="363">
        <f>'パラメータ（ルート2）'!H22</f>
        <v>2.62</v>
      </c>
      <c r="L22" s="361"/>
      <c r="M22" s="363">
        <f>'パラメータ（ルート2）'!H22</f>
        <v>2.62</v>
      </c>
      <c r="N22" s="363">
        <f>'パラメータ（ルート2）'!H22</f>
        <v>2.62</v>
      </c>
      <c r="P22" s="7"/>
    </row>
    <row r="23" spans="2:16" ht="15">
      <c r="B23" s="13">
        <f t="shared" si="1"/>
        <v>6</v>
      </c>
      <c r="C23" s="14"/>
      <c r="D23" s="35" t="s">
        <v>324</v>
      </c>
      <c r="E23" s="33"/>
      <c r="F23" s="33"/>
      <c r="G23" s="34"/>
      <c r="H23" s="122" t="s">
        <v>325</v>
      </c>
      <c r="J23" s="364">
        <f>(J20/J21)*J22/1000</f>
        <v>0</v>
      </c>
      <c r="K23" s="364">
        <f>(K18/K21)*K22/1000</f>
        <v>0</v>
      </c>
      <c r="L23" s="361"/>
      <c r="M23" s="364" t="e">
        <f>(M20/M21)*M22/1000</f>
        <v>#DIV/0!</v>
      </c>
      <c r="N23" s="364">
        <f t="shared" ref="N23" si="2">(N18/N21)*N22/1000</f>
        <v>0</v>
      </c>
      <c r="P23" s="7"/>
    </row>
    <row r="24" spans="2:16">
      <c r="B24" s="13">
        <f t="shared" si="1"/>
        <v>7</v>
      </c>
      <c r="C24" s="14"/>
      <c r="D24" s="14"/>
      <c r="E24" s="177" t="s">
        <v>326</v>
      </c>
      <c r="F24" s="25"/>
      <c r="G24" s="18"/>
      <c r="H24" s="31" t="s">
        <v>327</v>
      </c>
      <c r="J24" s="365"/>
      <c r="K24" s="366" t="e">
        <f>'パラメータ（ルート2）'!H23</f>
        <v>#DIV/0!</v>
      </c>
      <c r="L24" s="361"/>
      <c r="M24" s="365"/>
      <c r="N24" s="366" t="e">
        <f>'パラメータ（ルート2）'!H24</f>
        <v>#DIV/0!</v>
      </c>
      <c r="P24" s="31"/>
    </row>
    <row r="25" spans="2:16">
      <c r="B25" s="13">
        <f t="shared" si="1"/>
        <v>8</v>
      </c>
      <c r="C25" s="14"/>
      <c r="D25" s="21"/>
      <c r="E25" s="28" t="s">
        <v>328</v>
      </c>
      <c r="F25" s="17"/>
      <c r="G25" s="25"/>
      <c r="H25" s="7" t="s">
        <v>329</v>
      </c>
      <c r="J25" s="367"/>
      <c r="K25" s="368">
        <f>'パラメータ（ルート2）'!H25</f>
        <v>4.2900000000000002E-4</v>
      </c>
      <c r="L25" s="361"/>
      <c r="M25" s="367"/>
      <c r="N25" s="368">
        <f>'パラメータ（ルート2）'!H25</f>
        <v>4.2900000000000002E-4</v>
      </c>
      <c r="P25" s="31"/>
    </row>
    <row r="26" spans="2:16" ht="15">
      <c r="B26" s="13">
        <f t="shared" si="1"/>
        <v>9</v>
      </c>
      <c r="C26" s="14"/>
      <c r="D26" s="35" t="s">
        <v>330</v>
      </c>
      <c r="E26" s="32"/>
      <c r="F26" s="32"/>
      <c r="G26" s="34"/>
      <c r="H26" s="192" t="s">
        <v>325</v>
      </c>
      <c r="J26" s="369"/>
      <c r="K26" s="370" t="e">
        <f>K24*K25</f>
        <v>#DIV/0!</v>
      </c>
      <c r="L26" s="361"/>
      <c r="M26" s="369"/>
      <c r="N26" s="370" t="e">
        <f>N24*N25</f>
        <v>#DIV/0!</v>
      </c>
      <c r="P26" s="31"/>
    </row>
    <row r="27" spans="2:16">
      <c r="B27" s="13">
        <f t="shared" si="1"/>
        <v>10</v>
      </c>
      <c r="C27" s="14"/>
      <c r="D27" s="15"/>
      <c r="E27" s="443" t="s">
        <v>331</v>
      </c>
      <c r="F27" s="444"/>
      <c r="G27" s="445"/>
      <c r="H27" s="7" t="s">
        <v>318</v>
      </c>
      <c r="J27" s="371"/>
      <c r="K27" s="360">
        <f>('数量（ルート2）'!$K$33/'パラメータ（ルート2）'!$H$26)*'パラメータ（ルート2）'!$H$27</f>
        <v>0</v>
      </c>
      <c r="L27" s="361"/>
      <c r="M27" s="371"/>
      <c r="N27" s="360" t="e">
        <f>('数量（ルート2）'!$N$33/'パラメータ（ルート2）'!$H$26)*'パラメータ（ルート2）'!$H$28</f>
        <v>#DIV/0!</v>
      </c>
      <c r="P27" s="7"/>
    </row>
    <row r="28" spans="2:16">
      <c r="B28" s="13">
        <f t="shared" si="1"/>
        <v>11</v>
      </c>
      <c r="C28" s="14"/>
      <c r="D28" s="15"/>
      <c r="E28" s="443" t="s">
        <v>321</v>
      </c>
      <c r="F28" s="444"/>
      <c r="G28" s="445"/>
      <c r="H28" s="7" t="s">
        <v>322</v>
      </c>
      <c r="J28" s="372"/>
      <c r="K28" s="363">
        <f>'パラメータ（ルート2）'!$H$29</f>
        <v>4.1500000000000004</v>
      </c>
      <c r="L28" s="361"/>
      <c r="M28" s="372"/>
      <c r="N28" s="363">
        <f>'パラメータ（ルート2）'!$H$29</f>
        <v>4.1500000000000004</v>
      </c>
      <c r="P28" s="7"/>
    </row>
    <row r="29" spans="2:16">
      <c r="B29" s="13">
        <f t="shared" si="1"/>
        <v>12</v>
      </c>
      <c r="C29" s="14"/>
      <c r="D29" s="15"/>
      <c r="E29" s="443" t="s">
        <v>323</v>
      </c>
      <c r="F29" s="444"/>
      <c r="G29" s="445"/>
      <c r="H29" s="7" t="s">
        <v>173</v>
      </c>
      <c r="J29" s="372"/>
      <c r="K29" s="363">
        <f>'パラメータ（ルート2）'!$H$30</f>
        <v>2.62</v>
      </c>
      <c r="L29" s="361"/>
      <c r="M29" s="372"/>
      <c r="N29" s="363">
        <f>'パラメータ（ルート2）'!$H$30</f>
        <v>2.62</v>
      </c>
      <c r="P29" s="7"/>
    </row>
    <row r="30" spans="2:16" ht="15">
      <c r="B30" s="13">
        <f t="shared" si="1"/>
        <v>13</v>
      </c>
      <c r="C30" s="14"/>
      <c r="D30" s="215" t="s">
        <v>332</v>
      </c>
      <c r="E30" s="212"/>
      <c r="F30" s="212"/>
      <c r="G30" s="206"/>
      <c r="H30" s="207" t="s">
        <v>333</v>
      </c>
      <c r="J30" s="371"/>
      <c r="K30" s="364">
        <f>($K$27/$K$28)*$K$29/1000</f>
        <v>0</v>
      </c>
      <c r="L30" s="361"/>
      <c r="M30" s="371"/>
      <c r="N30" s="364" t="e">
        <f>($N$27/$N$28)*$N$29/1000</f>
        <v>#DIV/0!</v>
      </c>
      <c r="P30" s="7"/>
    </row>
    <row r="31" spans="2:16">
      <c r="B31" s="13">
        <f t="shared" si="1"/>
        <v>14</v>
      </c>
      <c r="C31" s="14"/>
      <c r="D31" s="15"/>
      <c r="E31" s="443" t="s">
        <v>334</v>
      </c>
      <c r="F31" s="444"/>
      <c r="G31" s="445"/>
      <c r="H31" s="7" t="s">
        <v>318</v>
      </c>
      <c r="J31" s="371"/>
      <c r="K31" s="360" t="e">
        <f>('数量（ルート2）'!$K$34/'パラメータ（ルート2）'!$H$31)*'パラメータ（ルート2）'!$H$32</f>
        <v>#DIV/0!</v>
      </c>
      <c r="L31" s="361"/>
      <c r="M31" s="371"/>
      <c r="N31" s="360" t="e">
        <f>('数量（ルート2）'!$N$34/'パラメータ（ルート2）'!$H$31)*'パラメータ（ルート2）'!$H$32</f>
        <v>#DIV/0!</v>
      </c>
      <c r="P31" s="7"/>
    </row>
    <row r="32" spans="2:16">
      <c r="B32" s="13">
        <f t="shared" si="1"/>
        <v>15</v>
      </c>
      <c r="C32" s="14"/>
      <c r="D32" s="15"/>
      <c r="E32" s="443" t="s">
        <v>321</v>
      </c>
      <c r="F32" s="444"/>
      <c r="G32" s="445"/>
      <c r="H32" s="7" t="s">
        <v>322</v>
      </c>
      <c r="J32" s="372"/>
      <c r="K32" s="363">
        <f>'パラメータ（ルート2）'!$H$33</f>
        <v>4.1500000000000004</v>
      </c>
      <c r="L32" s="361"/>
      <c r="M32" s="372"/>
      <c r="N32" s="363">
        <f>'パラメータ（ルート2）'!$H$33</f>
        <v>4.1500000000000004</v>
      </c>
      <c r="P32" s="7"/>
    </row>
    <row r="33" spans="2:16">
      <c r="B33" s="13">
        <f t="shared" si="1"/>
        <v>16</v>
      </c>
      <c r="C33" s="14"/>
      <c r="D33" s="24"/>
      <c r="E33" s="443" t="s">
        <v>323</v>
      </c>
      <c r="F33" s="444"/>
      <c r="G33" s="445"/>
      <c r="H33" s="7" t="s">
        <v>173</v>
      </c>
      <c r="J33" s="372"/>
      <c r="K33" s="363">
        <f>'パラメータ（ルート2）'!$H$34</f>
        <v>2.62</v>
      </c>
      <c r="L33" s="361"/>
      <c r="M33" s="372"/>
      <c r="N33" s="363">
        <f>'パラメータ（ルート2）'!$H$34</f>
        <v>2.62</v>
      </c>
      <c r="P33" s="7"/>
    </row>
    <row r="34" spans="2:16" ht="15">
      <c r="B34" s="13">
        <f t="shared" si="1"/>
        <v>17</v>
      </c>
      <c r="C34" s="14"/>
      <c r="D34" s="215" t="s">
        <v>335</v>
      </c>
      <c r="E34" s="211"/>
      <c r="F34" s="205"/>
      <c r="G34" s="206"/>
      <c r="H34" s="207" t="s">
        <v>333</v>
      </c>
      <c r="J34" s="371"/>
      <c r="K34" s="364" t="e">
        <f>($K$31/$K$32)*$K$33/1000</f>
        <v>#DIV/0!</v>
      </c>
      <c r="L34" s="361"/>
      <c r="M34" s="371"/>
      <c r="N34" s="364" t="e">
        <f>($N$31/$N$32)*$N$33/1000</f>
        <v>#DIV/0!</v>
      </c>
      <c r="P34" s="7"/>
    </row>
    <row r="35" spans="2:16">
      <c r="B35" s="13">
        <f t="shared" si="1"/>
        <v>18</v>
      </c>
      <c r="C35" s="14"/>
      <c r="D35" s="31"/>
      <c r="E35" s="124" t="s">
        <v>258</v>
      </c>
      <c r="F35" s="28"/>
      <c r="G35" s="7"/>
      <c r="H35" s="7" t="s">
        <v>336</v>
      </c>
      <c r="J35" s="371"/>
      <c r="K35" s="360">
        <f>'数量（ルート2）'!$K$38</f>
        <v>0</v>
      </c>
      <c r="L35" s="361"/>
      <c r="M35" s="371"/>
      <c r="N35" s="360" t="e">
        <f>'数量（ルート2）'!$N$38</f>
        <v>#DIV/0!</v>
      </c>
      <c r="P35" s="7"/>
    </row>
    <row r="36" spans="2:16" ht="14.25" customHeight="1">
      <c r="B36" s="13">
        <f t="shared" si="1"/>
        <v>19</v>
      </c>
      <c r="C36" s="14"/>
      <c r="D36" s="24"/>
      <c r="E36" s="442" t="s">
        <v>337</v>
      </c>
      <c r="F36" s="440"/>
      <c r="G36" s="441"/>
      <c r="H36" s="7" t="s">
        <v>338</v>
      </c>
      <c r="J36" s="371"/>
      <c r="K36" s="363">
        <f>'パラメータ（ルート2）'!$H$35</f>
        <v>0</v>
      </c>
      <c r="L36" s="361"/>
      <c r="M36" s="371"/>
      <c r="N36" s="363">
        <f>'パラメータ（ルート2）'!$H$38</f>
        <v>0</v>
      </c>
      <c r="P36" s="7"/>
    </row>
    <row r="37" spans="2:16" ht="15">
      <c r="B37" s="13">
        <f t="shared" si="1"/>
        <v>20</v>
      </c>
      <c r="C37" s="14"/>
      <c r="D37" s="35" t="s">
        <v>339</v>
      </c>
      <c r="E37" s="32"/>
      <c r="F37" s="32"/>
      <c r="G37" s="213"/>
      <c r="H37" s="207" t="s">
        <v>333</v>
      </c>
      <c r="J37" s="373"/>
      <c r="K37" s="364">
        <f>$K$35*$K$36</f>
        <v>0</v>
      </c>
      <c r="L37" s="361"/>
      <c r="M37" s="373"/>
      <c r="N37" s="364" t="e">
        <f>$N$35*$N$36</f>
        <v>#DIV/0!</v>
      </c>
      <c r="P37" s="7"/>
    </row>
    <row r="38" spans="2:16" ht="14.25" customHeight="1">
      <c r="B38" s="13">
        <f t="shared" si="1"/>
        <v>21</v>
      </c>
      <c r="C38" s="14"/>
      <c r="D38" s="15"/>
      <c r="E38" s="124" t="s">
        <v>258</v>
      </c>
      <c r="F38" s="28"/>
      <c r="G38" s="7"/>
      <c r="H38" s="7" t="s">
        <v>336</v>
      </c>
      <c r="J38" s="371"/>
      <c r="K38" s="360">
        <f>$K$35</f>
        <v>0</v>
      </c>
      <c r="L38" s="361"/>
      <c r="M38" s="371"/>
      <c r="N38" s="360" t="e">
        <f>$N$35</f>
        <v>#DIV/0!</v>
      </c>
      <c r="P38" s="7"/>
    </row>
    <row r="39" spans="2:16" ht="14.25" customHeight="1">
      <c r="B39" s="13">
        <f t="shared" si="1"/>
        <v>22</v>
      </c>
      <c r="C39" s="14"/>
      <c r="D39" s="24"/>
      <c r="E39" s="442" t="s">
        <v>340</v>
      </c>
      <c r="F39" s="440"/>
      <c r="G39" s="441"/>
      <c r="H39" s="7" t="s">
        <v>338</v>
      </c>
      <c r="J39" s="372"/>
      <c r="K39" s="363">
        <f>'パラメータ（ルート2）'!$H$36</f>
        <v>0</v>
      </c>
      <c r="L39" s="361"/>
      <c r="M39" s="372"/>
      <c r="N39" s="363">
        <f>'パラメータ（ルート2）'!$H$39</f>
        <v>0</v>
      </c>
      <c r="P39" s="7"/>
    </row>
    <row r="40" spans="2:16" ht="14.25" customHeight="1">
      <c r="B40" s="13">
        <f t="shared" si="1"/>
        <v>23</v>
      </c>
      <c r="C40" s="14"/>
      <c r="D40" s="24"/>
      <c r="E40" s="439" t="s">
        <v>341</v>
      </c>
      <c r="F40" s="440"/>
      <c r="G40" s="441"/>
      <c r="H40" s="230" t="s">
        <v>342</v>
      </c>
      <c r="J40" s="372"/>
      <c r="K40" s="363">
        <f>'パラメータ（ルート2）'!H37</f>
        <v>40.4</v>
      </c>
      <c r="L40" s="361"/>
      <c r="M40" s="372"/>
      <c r="N40" s="363">
        <f>'パラメータ（ルート2）'!$H$40</f>
        <v>40.4</v>
      </c>
      <c r="P40" s="7"/>
    </row>
    <row r="41" spans="2:16" ht="15">
      <c r="B41" s="13">
        <f t="shared" si="1"/>
        <v>24</v>
      </c>
      <c r="C41" s="14"/>
      <c r="D41" s="35" t="s">
        <v>343</v>
      </c>
      <c r="E41" s="32"/>
      <c r="F41" s="32"/>
      <c r="G41" s="64"/>
      <c r="H41" s="207" t="s">
        <v>333</v>
      </c>
      <c r="J41" s="373"/>
      <c r="K41" s="374">
        <f>$K$38*$K$39*($K$40/100)</f>
        <v>0</v>
      </c>
      <c r="L41" s="361"/>
      <c r="M41" s="373"/>
      <c r="N41" s="374" t="e">
        <f>$N$38*N39*($N$40/100)</f>
        <v>#DIV/0!</v>
      </c>
      <c r="P41" s="230" t="s">
        <v>344</v>
      </c>
    </row>
    <row r="42" spans="2:16">
      <c r="B42" s="13">
        <f t="shared" si="1"/>
        <v>25</v>
      </c>
      <c r="C42" s="14"/>
      <c r="D42" s="15"/>
      <c r="E42" s="21" t="s">
        <v>331</v>
      </c>
      <c r="F42" s="25"/>
      <c r="G42" s="18"/>
      <c r="H42" s="7" t="s">
        <v>318</v>
      </c>
      <c r="J42" s="371"/>
      <c r="K42" s="360" t="e">
        <f>('数量（ルート2）'!$K$39/'パラメータ（ルート2）'!$H$41)*'パラメータ（ルート2）'!$H$42</f>
        <v>#DIV/0!</v>
      </c>
      <c r="L42" s="361"/>
      <c r="M42" s="371"/>
      <c r="N42" s="360" t="e">
        <f>('数量（ルート2）'!$N$39/'パラメータ（ルート2）'!$H$43)*'パラメータ（ルート2）'!$H$44</f>
        <v>#DIV/0!</v>
      </c>
      <c r="P42" s="7"/>
    </row>
    <row r="43" spans="2:16">
      <c r="B43" s="13">
        <f t="shared" si="1"/>
        <v>26</v>
      </c>
      <c r="C43" s="14"/>
      <c r="D43" s="15"/>
      <c r="E43" s="28" t="s">
        <v>321</v>
      </c>
      <c r="F43" s="17"/>
      <c r="G43" s="18"/>
      <c r="H43" s="7" t="s">
        <v>322</v>
      </c>
      <c r="J43" s="372"/>
      <c r="K43" s="363">
        <f>'パラメータ（ルート2）'!$H$45</f>
        <v>4.1500000000000004</v>
      </c>
      <c r="L43" s="361"/>
      <c r="M43" s="372"/>
      <c r="N43" s="363">
        <f>'パラメータ（ルート2）'!$H$45</f>
        <v>4.1500000000000004</v>
      </c>
      <c r="P43" s="7"/>
    </row>
    <row r="44" spans="2:16">
      <c r="B44" s="13">
        <f t="shared" si="1"/>
        <v>27</v>
      </c>
      <c r="C44" s="14"/>
      <c r="D44" s="24"/>
      <c r="E44" s="28" t="s">
        <v>323</v>
      </c>
      <c r="F44" s="17"/>
      <c r="G44" s="18"/>
      <c r="H44" s="7" t="s">
        <v>173</v>
      </c>
      <c r="J44" s="372"/>
      <c r="K44" s="363">
        <f>'パラメータ（ルート2）'!$H$46</f>
        <v>2.62</v>
      </c>
      <c r="L44" s="361"/>
      <c r="M44" s="372"/>
      <c r="N44" s="363">
        <f>'パラメータ（ルート2）'!$H$46</f>
        <v>2.62</v>
      </c>
      <c r="P44" s="7"/>
    </row>
    <row r="45" spans="2:16" ht="16.5" customHeight="1">
      <c r="B45" s="13">
        <f t="shared" si="1"/>
        <v>28</v>
      </c>
      <c r="C45" s="14"/>
      <c r="D45" s="35" t="s">
        <v>345</v>
      </c>
      <c r="E45" s="32"/>
      <c r="F45" s="32"/>
      <c r="G45" s="64"/>
      <c r="H45" s="207" t="s">
        <v>333</v>
      </c>
      <c r="J45" s="373"/>
      <c r="K45" s="364" t="e">
        <f>($K$42/$K$43)*$K$44/1000</f>
        <v>#DIV/0!</v>
      </c>
      <c r="L45" s="361"/>
      <c r="M45" s="373"/>
      <c r="N45" s="364" t="e">
        <f>($N$42/$N$43)*$N$44/1000</f>
        <v>#DIV/0!</v>
      </c>
      <c r="P45" s="7"/>
    </row>
    <row r="46" spans="2:16">
      <c r="B46" s="13">
        <f t="shared" si="1"/>
        <v>29</v>
      </c>
      <c r="C46" s="14"/>
      <c r="D46" s="14"/>
      <c r="E46" s="214" t="s">
        <v>346</v>
      </c>
      <c r="F46" s="16"/>
      <c r="G46" s="16"/>
      <c r="H46" s="16" t="s">
        <v>336</v>
      </c>
      <c r="J46" s="375">
        <f>'数量（ルート2）'!$J$40</f>
        <v>0</v>
      </c>
      <c r="K46" s="376"/>
      <c r="L46" s="361"/>
      <c r="M46" s="375">
        <f>'数量（ルート2）'!$M$40</f>
        <v>0</v>
      </c>
      <c r="N46" s="376"/>
      <c r="P46" s="7"/>
    </row>
    <row r="47" spans="2:16">
      <c r="B47" s="13">
        <f t="shared" si="1"/>
        <v>30</v>
      </c>
      <c r="C47" s="14"/>
      <c r="D47" s="24"/>
      <c r="E47" s="449" t="s">
        <v>347</v>
      </c>
      <c r="F47" s="444"/>
      <c r="G47" s="445"/>
      <c r="H47" s="7" t="s">
        <v>338</v>
      </c>
      <c r="J47" s="363">
        <f>'パラメータ（ルート2）'!$H$47</f>
        <v>2.7</v>
      </c>
      <c r="K47" s="371"/>
      <c r="L47" s="377"/>
      <c r="M47" s="363">
        <f>'パラメータ（ルート2）'!$H$47</f>
        <v>2.7</v>
      </c>
      <c r="N47" s="371"/>
      <c r="P47" s="16"/>
    </row>
    <row r="48" spans="2:16">
      <c r="B48" s="13">
        <f t="shared" si="1"/>
        <v>31</v>
      </c>
      <c r="C48" s="14"/>
      <c r="D48" s="217" t="s">
        <v>348</v>
      </c>
      <c r="E48" s="59"/>
      <c r="F48" s="32"/>
      <c r="G48" s="213"/>
      <c r="H48" s="218" t="s">
        <v>349</v>
      </c>
      <c r="J48" s="378">
        <f>$J$46*J47</f>
        <v>0</v>
      </c>
      <c r="K48" s="379"/>
      <c r="L48" s="361"/>
      <c r="M48" s="378">
        <f>$M$46*$M$47</f>
        <v>0</v>
      </c>
      <c r="N48" s="379"/>
      <c r="P48" s="24"/>
    </row>
    <row r="49" spans="2:16">
      <c r="B49" s="13">
        <f t="shared" si="1"/>
        <v>32</v>
      </c>
      <c r="C49" s="14"/>
      <c r="D49" s="14"/>
      <c r="E49" s="214" t="s">
        <v>350</v>
      </c>
      <c r="F49" s="16"/>
      <c r="G49" s="16"/>
      <c r="H49" s="16" t="s">
        <v>336</v>
      </c>
      <c r="J49" s="371"/>
      <c r="K49" s="360">
        <f>'数量（ルート2）'!$K$40</f>
        <v>0</v>
      </c>
      <c r="L49" s="361"/>
      <c r="M49" s="371"/>
      <c r="N49" s="360" t="e">
        <f>'数量（ルート2）'!$N$40</f>
        <v>#DIV/0!</v>
      </c>
      <c r="P49" s="7"/>
    </row>
    <row r="50" spans="2:16">
      <c r="B50" s="13">
        <f t="shared" si="1"/>
        <v>33</v>
      </c>
      <c r="C50" s="14"/>
      <c r="D50" s="24"/>
      <c r="E50" s="449" t="s">
        <v>351</v>
      </c>
      <c r="F50" s="444"/>
      <c r="G50" s="445"/>
      <c r="H50" s="7" t="s">
        <v>338</v>
      </c>
      <c r="J50" s="371"/>
      <c r="K50" s="363">
        <f>'パラメータ（ルート2）'!$H$48</f>
        <v>2.7</v>
      </c>
      <c r="L50" s="361"/>
      <c r="M50" s="371"/>
      <c r="N50" s="363">
        <f>'パラメータ（ルート2）'!$H$48</f>
        <v>2.7</v>
      </c>
      <c r="P50" s="16"/>
    </row>
    <row r="51" spans="2:16" ht="14.25" customHeight="1">
      <c r="B51" s="13">
        <f t="shared" si="1"/>
        <v>34</v>
      </c>
      <c r="C51" s="14"/>
      <c r="D51" s="217" t="s">
        <v>352</v>
      </c>
      <c r="E51" s="59"/>
      <c r="F51" s="32"/>
      <c r="G51" s="213"/>
      <c r="H51" s="218" t="s">
        <v>349</v>
      </c>
      <c r="J51" s="379"/>
      <c r="K51" s="378">
        <f>$K$49*K50</f>
        <v>0</v>
      </c>
      <c r="L51" s="361"/>
      <c r="M51" s="379"/>
      <c r="N51" s="378" t="e">
        <f>$N$49*$N$50</f>
        <v>#DIV/0!</v>
      </c>
      <c r="P51" s="24"/>
    </row>
    <row r="52" spans="2:16">
      <c r="B52" s="13">
        <f t="shared" si="1"/>
        <v>35</v>
      </c>
      <c r="C52" s="14"/>
      <c r="D52" s="14"/>
      <c r="E52" s="214" t="s">
        <v>353</v>
      </c>
      <c r="F52" s="16"/>
      <c r="G52" s="16"/>
      <c r="H52" s="16" t="s">
        <v>336</v>
      </c>
      <c r="J52" s="371"/>
      <c r="K52" s="360">
        <f>'数量（ルート2）'!$K$39</f>
        <v>0</v>
      </c>
      <c r="L52" s="361"/>
      <c r="M52" s="371"/>
      <c r="N52" s="360" t="e">
        <f>'数量（ルート2）'!$N$39</f>
        <v>#DIV/0!</v>
      </c>
      <c r="P52" s="7"/>
    </row>
    <row r="53" spans="2:16">
      <c r="B53" s="13">
        <f t="shared" si="1"/>
        <v>36</v>
      </c>
      <c r="C53" s="14"/>
      <c r="D53" s="24"/>
      <c r="E53" s="449" t="s">
        <v>354</v>
      </c>
      <c r="F53" s="444"/>
      <c r="G53" s="445"/>
      <c r="H53" s="7" t="s">
        <v>338</v>
      </c>
      <c r="J53" s="376"/>
      <c r="K53" s="380">
        <f>'パラメータ（ルート2）'!$H$49</f>
        <v>2.7</v>
      </c>
      <c r="L53" s="361"/>
      <c r="M53" s="376"/>
      <c r="N53" s="380">
        <f>'パラメータ（ルート2）'!$H$49</f>
        <v>2.7</v>
      </c>
      <c r="P53" s="16"/>
    </row>
    <row r="54" spans="2:16">
      <c r="B54" s="13">
        <f t="shared" si="1"/>
        <v>37</v>
      </c>
      <c r="C54" s="14"/>
      <c r="D54" s="217" t="s">
        <v>355</v>
      </c>
      <c r="E54" s="59"/>
      <c r="F54" s="32"/>
      <c r="G54" s="213"/>
      <c r="H54" s="218" t="s">
        <v>349</v>
      </c>
      <c r="J54" s="372"/>
      <c r="K54" s="374">
        <f>$K$52*$K$53</f>
        <v>0</v>
      </c>
      <c r="L54" s="361"/>
      <c r="M54" s="372"/>
      <c r="N54" s="374" t="e">
        <f>$N$52*$N$53</f>
        <v>#DIV/0!</v>
      </c>
      <c r="P54" s="7"/>
    </row>
    <row r="55" spans="2:16" ht="15.75" customHeight="1">
      <c r="B55" s="13">
        <f t="shared" si="1"/>
        <v>38</v>
      </c>
      <c r="C55" s="14"/>
      <c r="D55" s="219" t="s">
        <v>356</v>
      </c>
      <c r="E55" s="32"/>
      <c r="F55" s="32"/>
      <c r="G55" s="64"/>
      <c r="H55" s="207" t="s">
        <v>333</v>
      </c>
      <c r="J55" s="364">
        <f>J48</f>
        <v>0</v>
      </c>
      <c r="K55" s="364">
        <f>$K$51+$K$54</f>
        <v>0</v>
      </c>
      <c r="L55" s="361"/>
      <c r="M55" s="364">
        <f>M48</f>
        <v>0</v>
      </c>
      <c r="N55" s="364" t="e">
        <f>$N$51+$N$54</f>
        <v>#DIV/0!</v>
      </c>
      <c r="P55" s="7"/>
    </row>
    <row r="56" spans="2:16" ht="16.5" customHeight="1">
      <c r="B56" s="13">
        <f t="shared" si="1"/>
        <v>39</v>
      </c>
      <c r="C56" s="14"/>
      <c r="D56" s="15"/>
      <c r="E56" s="220" t="s">
        <v>357</v>
      </c>
      <c r="F56" s="25"/>
      <c r="G56" s="18"/>
      <c r="H56" s="7" t="s">
        <v>318</v>
      </c>
      <c r="J56" s="360" t="e">
        <f>('数量（ルート2）'!$J$43/'パラメータ（ルート2）'!$H$50)*'パラメータ（ルート2）'!$H$51</f>
        <v>#DIV/0!</v>
      </c>
      <c r="K56" s="381"/>
      <c r="L56" s="361"/>
      <c r="M56" s="360" t="e">
        <f>('数量（ルート2）'!$M$43/'パラメータ（ルート2）'!$H$50)*'パラメータ（ルート2）'!$H$51</f>
        <v>#DIV/0!</v>
      </c>
      <c r="N56" s="381"/>
      <c r="P56" s="7"/>
    </row>
    <row r="57" spans="2:16">
      <c r="B57" s="13">
        <f t="shared" si="1"/>
        <v>40</v>
      </c>
      <c r="C57" s="14"/>
      <c r="D57" s="15"/>
      <c r="E57" s="28" t="s">
        <v>321</v>
      </c>
      <c r="F57" s="17"/>
      <c r="G57" s="18"/>
      <c r="H57" s="7" t="s">
        <v>322</v>
      </c>
      <c r="J57" s="363">
        <f>'パラメータ（ルート2）'!$H$56</f>
        <v>4.1500000000000004</v>
      </c>
      <c r="K57" s="382"/>
      <c r="L57" s="361"/>
      <c r="M57" s="363">
        <f>'パラメータ（ルート2）'!$H$56</f>
        <v>4.1500000000000004</v>
      </c>
      <c r="N57" s="382"/>
      <c r="P57" s="7"/>
    </row>
    <row r="58" spans="2:16">
      <c r="B58" s="13">
        <f t="shared" si="1"/>
        <v>41</v>
      </c>
      <c r="C58" s="14"/>
      <c r="D58" s="15"/>
      <c r="E58" s="28" t="s">
        <v>323</v>
      </c>
      <c r="F58" s="17"/>
      <c r="G58" s="18"/>
      <c r="H58" s="7" t="s">
        <v>173</v>
      </c>
      <c r="J58" s="363">
        <f>'パラメータ（ルート2）'!$H$58</f>
        <v>2.62</v>
      </c>
      <c r="K58" s="382"/>
      <c r="L58" s="361"/>
      <c r="M58" s="363">
        <f>'パラメータ（ルート2）'!$H$58</f>
        <v>2.62</v>
      </c>
      <c r="N58" s="382"/>
      <c r="P58" s="7"/>
    </row>
    <row r="59" spans="2:16">
      <c r="B59" s="13">
        <f t="shared" si="1"/>
        <v>42</v>
      </c>
      <c r="C59" s="14"/>
      <c r="D59" s="446" t="s">
        <v>358</v>
      </c>
      <c r="E59" s="447"/>
      <c r="F59" s="447"/>
      <c r="G59" s="448"/>
      <c r="H59" s="218" t="s">
        <v>349</v>
      </c>
      <c r="J59" s="374" t="e">
        <f>($J$56/$J$57)*$J$58/1000</f>
        <v>#DIV/0!</v>
      </c>
      <c r="K59" s="381"/>
      <c r="L59" s="361"/>
      <c r="M59" s="374" t="e">
        <f>($M$56/$M$57)*$M$58/1000</f>
        <v>#DIV/0!</v>
      </c>
      <c r="N59" s="381"/>
      <c r="P59" s="7"/>
    </row>
    <row r="60" spans="2:16" ht="15" customHeight="1">
      <c r="B60" s="13">
        <f t="shared" si="1"/>
        <v>43</v>
      </c>
      <c r="C60" s="14"/>
      <c r="D60" s="15"/>
      <c r="E60" s="220" t="s">
        <v>359</v>
      </c>
      <c r="F60" s="25"/>
      <c r="G60" s="18"/>
      <c r="H60" s="7" t="s">
        <v>318</v>
      </c>
      <c r="J60" s="381"/>
      <c r="K60" s="360" t="e">
        <f>('数量（ルート2）'!$K$43/'パラメータ（ルート2）'!$H$50)*'パラメータ（ルート2）'!$H$51</f>
        <v>#DIV/0!</v>
      </c>
      <c r="L60" s="361"/>
      <c r="M60" s="381"/>
      <c r="N60" s="360" t="e">
        <f>('数量（ルート2）'!$N$43/'パラメータ（ルート2）'!$H$50)*'パラメータ（ルート2）'!$H$51</f>
        <v>#DIV/0!</v>
      </c>
      <c r="P60" s="7"/>
    </row>
    <row r="61" spans="2:16">
      <c r="B61" s="13">
        <f t="shared" si="1"/>
        <v>44</v>
      </c>
      <c r="C61" s="14"/>
      <c r="D61" s="15"/>
      <c r="E61" s="28" t="s">
        <v>321</v>
      </c>
      <c r="F61" s="17"/>
      <c r="G61" s="18"/>
      <c r="H61" s="7" t="s">
        <v>322</v>
      </c>
      <c r="J61" s="382"/>
      <c r="K61" s="363">
        <f>'パラメータ（ルート2）'!$H$56</f>
        <v>4.1500000000000004</v>
      </c>
      <c r="L61" s="361"/>
      <c r="M61" s="382"/>
      <c r="N61" s="363">
        <f>'パラメータ（ルート2）'!$H$56</f>
        <v>4.1500000000000004</v>
      </c>
      <c r="P61" s="7"/>
    </row>
    <row r="62" spans="2:16">
      <c r="B62" s="13">
        <f t="shared" si="1"/>
        <v>45</v>
      </c>
      <c r="C62" s="14"/>
      <c r="D62" s="15"/>
      <c r="E62" s="28" t="s">
        <v>323</v>
      </c>
      <c r="F62" s="17"/>
      <c r="G62" s="18"/>
      <c r="H62" s="7" t="s">
        <v>173</v>
      </c>
      <c r="J62" s="382"/>
      <c r="K62" s="363">
        <f>'パラメータ（ルート2）'!$H$58</f>
        <v>2.62</v>
      </c>
      <c r="L62" s="361"/>
      <c r="M62" s="382"/>
      <c r="N62" s="363">
        <f>'パラメータ（ルート2）'!$H$58</f>
        <v>2.62</v>
      </c>
      <c r="P62" s="7"/>
    </row>
    <row r="63" spans="2:16">
      <c r="B63" s="13">
        <f t="shared" si="1"/>
        <v>46</v>
      </c>
      <c r="C63" s="14"/>
      <c r="D63" s="446" t="s">
        <v>360</v>
      </c>
      <c r="E63" s="447"/>
      <c r="F63" s="447"/>
      <c r="G63" s="448"/>
      <c r="H63" s="218" t="s">
        <v>349</v>
      </c>
      <c r="J63" s="381"/>
      <c r="K63" s="374" t="e">
        <f>($K$60/$K$61)*$K$62/1000</f>
        <v>#DIV/0!</v>
      </c>
      <c r="L63" s="361"/>
      <c r="M63" s="381"/>
      <c r="N63" s="374" t="e">
        <f>($N$60/$N$61)*$N$62/1000</f>
        <v>#DIV/0!</v>
      </c>
      <c r="P63" s="7"/>
    </row>
    <row r="64" spans="2:16" ht="15.75" customHeight="1">
      <c r="B64" s="13">
        <f t="shared" si="1"/>
        <v>47</v>
      </c>
      <c r="C64" s="14"/>
      <c r="D64" s="15"/>
      <c r="E64" s="220" t="s">
        <v>361</v>
      </c>
      <c r="F64" s="25"/>
      <c r="G64" s="18"/>
      <c r="H64" s="7" t="s">
        <v>318</v>
      </c>
      <c r="J64" s="381"/>
      <c r="K64" s="360" t="e">
        <f>('数量（ルート2）'!$K$42/'パラメータ（ルート2）'!$H$52)*'パラメータ（ルート2）'!$H$53</f>
        <v>#DIV/0!</v>
      </c>
      <c r="L64" s="361"/>
      <c r="M64" s="381"/>
      <c r="N64" s="360" t="e">
        <f>('数量（ルート2）'!$N$42/'パラメータ（ルート2）'!$H$54)*'パラメータ（ルート2）'!$H$55</f>
        <v>#DIV/0!</v>
      </c>
      <c r="P64" s="7"/>
    </row>
    <row r="65" spans="2:16">
      <c r="B65" s="13">
        <f t="shared" si="1"/>
        <v>48</v>
      </c>
      <c r="C65" s="14"/>
      <c r="D65" s="15"/>
      <c r="E65" s="28" t="s">
        <v>321</v>
      </c>
      <c r="F65" s="17"/>
      <c r="G65" s="18"/>
      <c r="H65" s="7" t="s">
        <v>322</v>
      </c>
      <c r="J65" s="382"/>
      <c r="K65" s="363">
        <f>'パラメータ（ルート2）'!$H$57</f>
        <v>4.1500000000000004</v>
      </c>
      <c r="L65" s="361"/>
      <c r="M65" s="382"/>
      <c r="N65" s="363">
        <f>'パラメータ（ルート2）'!$H$56</f>
        <v>4.1500000000000004</v>
      </c>
      <c r="P65" s="7"/>
    </row>
    <row r="66" spans="2:16">
      <c r="B66" s="13">
        <f t="shared" si="1"/>
        <v>49</v>
      </c>
      <c r="C66" s="14"/>
      <c r="D66" s="15"/>
      <c r="E66" s="28" t="s">
        <v>323</v>
      </c>
      <c r="F66" s="17"/>
      <c r="G66" s="18"/>
      <c r="H66" s="7" t="s">
        <v>173</v>
      </c>
      <c r="J66" s="382"/>
      <c r="K66" s="363">
        <f>'パラメータ（ルート2）'!$H$58</f>
        <v>2.62</v>
      </c>
      <c r="L66" s="361"/>
      <c r="M66" s="382"/>
      <c r="N66" s="363">
        <f>'パラメータ（ルート2）'!$H$58</f>
        <v>2.62</v>
      </c>
      <c r="P66" s="7"/>
    </row>
    <row r="67" spans="2:16">
      <c r="B67" s="13">
        <f t="shared" si="1"/>
        <v>50</v>
      </c>
      <c r="C67" s="14"/>
      <c r="D67" s="446" t="s">
        <v>362</v>
      </c>
      <c r="E67" s="447"/>
      <c r="F67" s="447"/>
      <c r="G67" s="448"/>
      <c r="H67" s="218" t="s">
        <v>349</v>
      </c>
      <c r="J67" s="381"/>
      <c r="K67" s="374" t="e">
        <f>($K$64/$K$65)*$K$66/1000</f>
        <v>#DIV/0!</v>
      </c>
      <c r="L67" s="361"/>
      <c r="M67" s="381"/>
      <c r="N67" s="374" t="e">
        <f>($N$64/$N$65)*$N$66/1000</f>
        <v>#DIV/0!</v>
      </c>
      <c r="P67" s="7"/>
    </row>
    <row r="68" spans="2:16" ht="15">
      <c r="B68" s="13">
        <f t="shared" si="1"/>
        <v>51</v>
      </c>
      <c r="C68" s="14"/>
      <c r="D68" s="35" t="s">
        <v>363</v>
      </c>
      <c r="E68" s="32"/>
      <c r="F68" s="32"/>
      <c r="G68" s="64"/>
      <c r="H68" s="192" t="s">
        <v>364</v>
      </c>
      <c r="J68" s="383" t="e">
        <f>J59</f>
        <v>#DIV/0!</v>
      </c>
      <c r="K68" s="383" t="e">
        <f>$K$63+K67</f>
        <v>#DIV/0!</v>
      </c>
      <c r="L68" s="361"/>
      <c r="M68" s="384" t="e">
        <f>M59</f>
        <v>#DIV/0!</v>
      </c>
      <c r="N68" s="384" t="e">
        <f>$N$63+$N$67</f>
        <v>#DIV/0!</v>
      </c>
      <c r="P68" s="7"/>
    </row>
    <row r="69" spans="2:16" ht="15">
      <c r="B69" s="13">
        <f t="shared" si="1"/>
        <v>52</v>
      </c>
      <c r="C69" s="35" t="s">
        <v>365</v>
      </c>
      <c r="D69" s="212"/>
      <c r="E69" s="212"/>
      <c r="F69" s="212"/>
      <c r="G69" s="206"/>
      <c r="H69" s="192" t="s">
        <v>364</v>
      </c>
      <c r="J69" s="364" t="e">
        <f>J$23+J$26+J$30+J$34+J$37+J$41+J$45+J$55+J$68</f>
        <v>#DIV/0!</v>
      </c>
      <c r="K69" s="364" t="e">
        <f>K$23+K$26+K$30+K$34+K$37+K$41+K$45+K$55+K$68</f>
        <v>#DIV/0!</v>
      </c>
      <c r="L69" s="361"/>
      <c r="M69" s="364" t="e">
        <f>M$23+M$26+M$30+M$34+M$37+M$41+M$45+M$55+M$68</f>
        <v>#DIV/0!</v>
      </c>
      <c r="N69" s="364" t="e">
        <f>N$23+N$26+N$30+N$34+N$37+N$41+N$45+N$55+N$68</f>
        <v>#DIV/0!</v>
      </c>
      <c r="P69" s="7"/>
    </row>
    <row r="71" spans="2:16">
      <c r="J71" s="66"/>
      <c r="K71" s="66"/>
      <c r="M71" s="66"/>
      <c r="N71" s="66"/>
    </row>
  </sheetData>
  <mergeCells count="17">
    <mergeCell ref="E47:G47"/>
    <mergeCell ref="J3:K3"/>
    <mergeCell ref="M3:N3"/>
    <mergeCell ref="E27:G27"/>
    <mergeCell ref="E28:G28"/>
    <mergeCell ref="E29:G29"/>
    <mergeCell ref="E31:G31"/>
    <mergeCell ref="E32:G32"/>
    <mergeCell ref="E33:G33"/>
    <mergeCell ref="E36:G36"/>
    <mergeCell ref="E39:G39"/>
    <mergeCell ref="E40:G40"/>
    <mergeCell ref="E50:G50"/>
    <mergeCell ref="E53:G53"/>
    <mergeCell ref="D59:G59"/>
    <mergeCell ref="D63:G63"/>
    <mergeCell ref="D67:G67"/>
  </mergeCells>
  <phoneticPr fontId="2"/>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36442-C9A4-4A52-9897-8C193AB5EDF0}">
  <dimension ref="A1:P45"/>
  <sheetViews>
    <sheetView workbookViewId="0">
      <selection activeCell="K25" sqref="K25"/>
    </sheetView>
  </sheetViews>
  <sheetFormatPr defaultColWidth="9" defaultRowHeight="14.25"/>
  <cols>
    <col min="1" max="1" width="2.5703125" style="6" customWidth="1"/>
    <col min="2" max="2" width="4.5703125" style="6" customWidth="1"/>
    <col min="3" max="6" width="2.5703125" style="6" customWidth="1"/>
    <col min="7" max="7" width="44.140625" style="6" customWidth="1"/>
    <col min="8" max="8" width="10.5703125" style="6" customWidth="1"/>
    <col min="9" max="9" width="2.7109375" style="6" customWidth="1"/>
    <col min="10" max="11" width="14.42578125" style="6" customWidth="1"/>
    <col min="12" max="12" width="2.85546875" style="6" customWidth="1"/>
    <col min="13" max="14" width="14.42578125" style="6" customWidth="1"/>
    <col min="15" max="15" width="2.85546875" style="6" customWidth="1"/>
    <col min="16" max="16" width="64.5703125" style="6" bestFit="1" customWidth="1"/>
    <col min="17" max="16384" width="9" style="6"/>
  </cols>
  <sheetData>
    <row r="1" spans="1:16" ht="18">
      <c r="A1" s="116" t="s">
        <v>366</v>
      </c>
      <c r="B1" s="5"/>
      <c r="C1" s="5"/>
    </row>
    <row r="2" spans="1:16" ht="15" thickBot="1"/>
    <row r="3" spans="1:16" ht="15">
      <c r="F3" s="36" t="s">
        <v>246</v>
      </c>
      <c r="G3" s="37"/>
      <c r="H3" s="38"/>
      <c r="J3" s="437" t="s">
        <v>247</v>
      </c>
      <c r="K3" s="438"/>
      <c r="L3" s="127"/>
      <c r="M3" s="437" t="s">
        <v>248</v>
      </c>
      <c r="N3" s="438"/>
      <c r="O3" s="39"/>
    </row>
    <row r="4" spans="1:16" ht="15">
      <c r="F4" s="40" t="s">
        <v>249</v>
      </c>
      <c r="G4" s="41"/>
      <c r="H4" s="42"/>
      <c r="J4" s="43" t="s">
        <v>250</v>
      </c>
      <c r="K4" s="126" t="s">
        <v>251</v>
      </c>
      <c r="L4" s="127"/>
      <c r="M4" s="43" t="s">
        <v>250</v>
      </c>
      <c r="N4" s="126" t="s">
        <v>252</v>
      </c>
      <c r="O4" s="39"/>
    </row>
    <row r="5" spans="1:16" ht="15">
      <c r="F5" s="44" t="s">
        <v>306</v>
      </c>
      <c r="G5" s="45"/>
      <c r="H5" s="46" t="s">
        <v>367</v>
      </c>
      <c r="J5" s="313" t="e">
        <f>J45</f>
        <v>#DIV/0!</v>
      </c>
      <c r="K5" s="314" t="e">
        <f>K45</f>
        <v>#DIV/0!</v>
      </c>
      <c r="M5" s="313" t="e">
        <f>M45</f>
        <v>#DIV/0!</v>
      </c>
      <c r="N5" s="314" t="e">
        <f>N45</f>
        <v>#DIV/0!</v>
      </c>
    </row>
    <row r="6" spans="1:16">
      <c r="F6" s="47"/>
      <c r="G6" s="48" t="s">
        <v>308</v>
      </c>
      <c r="H6" s="46" t="s">
        <v>367</v>
      </c>
      <c r="J6" s="245">
        <f>J20</f>
        <v>0</v>
      </c>
      <c r="K6" s="250">
        <f>K20</f>
        <v>0</v>
      </c>
      <c r="M6" s="245" t="e">
        <f>M20</f>
        <v>#DIV/0!</v>
      </c>
      <c r="N6" s="250">
        <f>N20</f>
        <v>0</v>
      </c>
    </row>
    <row r="7" spans="1:16">
      <c r="F7" s="47"/>
      <c r="G7" s="50" t="s">
        <v>309</v>
      </c>
      <c r="H7" s="51" t="s">
        <v>367</v>
      </c>
      <c r="J7" s="246"/>
      <c r="K7" s="250">
        <f>K24</f>
        <v>0</v>
      </c>
      <c r="M7" s="246"/>
      <c r="N7" s="250">
        <f>N24</f>
        <v>0</v>
      </c>
    </row>
    <row r="8" spans="1:16">
      <c r="F8" s="47"/>
      <c r="G8" s="50" t="s">
        <v>310</v>
      </c>
      <c r="H8" s="51" t="s">
        <v>367</v>
      </c>
      <c r="J8" s="246"/>
      <c r="K8" s="250" t="e">
        <f>K26</f>
        <v>#DIV/0!</v>
      </c>
      <c r="M8" s="246"/>
      <c r="N8" s="250" t="e">
        <f>N26</f>
        <v>#DIV/0!</v>
      </c>
    </row>
    <row r="9" spans="1:16">
      <c r="F9" s="47"/>
      <c r="G9" s="50" t="s">
        <v>311</v>
      </c>
      <c r="H9" s="51" t="s">
        <v>367</v>
      </c>
      <c r="J9" s="246"/>
      <c r="K9" s="250">
        <f>K35</f>
        <v>0</v>
      </c>
      <c r="M9" s="246"/>
      <c r="N9" s="250" t="e">
        <f>N35</f>
        <v>#DIV/0!</v>
      </c>
    </row>
    <row r="10" spans="1:16">
      <c r="F10" s="47"/>
      <c r="G10" s="50" t="s">
        <v>313</v>
      </c>
      <c r="H10" s="51" t="s">
        <v>367</v>
      </c>
      <c r="J10" s="248"/>
      <c r="K10" s="249"/>
      <c r="M10" s="248"/>
      <c r="N10" s="253"/>
    </row>
    <row r="11" spans="1:16">
      <c r="F11" s="47"/>
      <c r="G11" s="50" t="s">
        <v>368</v>
      </c>
      <c r="H11" s="51" t="s">
        <v>367</v>
      </c>
      <c r="J11" s="245">
        <f>J39</f>
        <v>0</v>
      </c>
      <c r="K11" s="250">
        <f>K39</f>
        <v>0</v>
      </c>
      <c r="M11" s="245">
        <f>M39</f>
        <v>0</v>
      </c>
      <c r="N11" s="254" t="e">
        <f>N39</f>
        <v>#DIV/0!</v>
      </c>
      <c r="O11" s="252"/>
    </row>
    <row r="12" spans="1:16">
      <c r="F12" s="47"/>
      <c r="G12" s="50" t="s">
        <v>315</v>
      </c>
      <c r="H12" s="51" t="s">
        <v>367</v>
      </c>
      <c r="J12" s="245" t="e">
        <f>J41</f>
        <v>#DIV/0!</v>
      </c>
      <c r="K12" s="250" t="e">
        <f>K41</f>
        <v>#DIV/0!</v>
      </c>
      <c r="M12" s="245" t="e">
        <f>M41</f>
        <v>#DIV/0!</v>
      </c>
      <c r="N12" s="250" t="e">
        <f>N41</f>
        <v>#DIV/0!</v>
      </c>
    </row>
    <row r="13" spans="1:16" ht="15" thickBot="1">
      <c r="F13" s="53"/>
      <c r="G13" s="54" t="s">
        <v>369</v>
      </c>
      <c r="H13" s="55" t="s">
        <v>367</v>
      </c>
      <c r="J13" s="247">
        <f>J44</f>
        <v>0</v>
      </c>
      <c r="K13" s="251">
        <f>K44</f>
        <v>0</v>
      </c>
      <c r="M13" s="247">
        <f>M44</f>
        <v>0</v>
      </c>
      <c r="N13" s="251" t="e">
        <f>N44</f>
        <v>#DIV/0!</v>
      </c>
    </row>
    <row r="14" spans="1:16">
      <c r="J14" s="66"/>
      <c r="K14" s="66"/>
      <c r="M14" s="66"/>
    </row>
    <row r="15" spans="1:16">
      <c r="B15" s="6" t="s">
        <v>263</v>
      </c>
    </row>
    <row r="16" spans="1:16">
      <c r="B16" s="9" t="s">
        <v>8</v>
      </c>
      <c r="C16" s="10" t="s">
        <v>264</v>
      </c>
      <c r="D16" s="11"/>
      <c r="E16" s="10" t="s">
        <v>265</v>
      </c>
      <c r="F16" s="12"/>
      <c r="G16" s="11"/>
      <c r="H16" s="9" t="s">
        <v>266</v>
      </c>
      <c r="J16" s="128" t="s">
        <v>58</v>
      </c>
      <c r="K16" s="9" t="s">
        <v>267</v>
      </c>
      <c r="M16" s="9" t="s">
        <v>268</v>
      </c>
      <c r="N16" s="9" t="s">
        <v>269</v>
      </c>
      <c r="P16" s="9" t="s">
        <v>270</v>
      </c>
    </row>
    <row r="17" spans="2:16" ht="14.25" customHeight="1">
      <c r="B17" s="13">
        <v>1</v>
      </c>
      <c r="C17" s="14"/>
      <c r="D17" s="14"/>
      <c r="E17" s="214"/>
      <c r="F17" s="124" t="s">
        <v>370</v>
      </c>
      <c r="G17" s="18"/>
      <c r="H17" s="230" t="s">
        <v>371</v>
      </c>
      <c r="J17" s="8">
        <f>'パラメータ（ルート2）'!$H$59</f>
        <v>0</v>
      </c>
      <c r="K17" s="185"/>
      <c r="M17" s="8">
        <f>'パラメータ（ルート2）'!$H$59</f>
        <v>0</v>
      </c>
      <c r="N17" s="185"/>
      <c r="P17" s="16"/>
    </row>
    <row r="18" spans="2:16" ht="14.25" customHeight="1">
      <c r="B18" s="13">
        <f>B17+1</f>
        <v>2</v>
      </c>
      <c r="C18" s="14"/>
      <c r="D18" s="14"/>
      <c r="E18" s="240"/>
      <c r="F18" s="124" t="s">
        <v>372</v>
      </c>
      <c r="G18" s="18"/>
      <c r="H18" s="7" t="s">
        <v>274</v>
      </c>
      <c r="J18" s="57">
        <f>'パラメータ（ルート2）'!$H$6</f>
        <v>9</v>
      </c>
      <c r="K18" s="234"/>
      <c r="M18" s="57" t="e">
        <f>('数量（ルート2）'!M21/('パラメータ（ルート2）'!$H$5-('数量（ルート2）'!N22-'数量（ルート2）'!K20)))*100</f>
        <v>#DIV/0!</v>
      </c>
      <c r="N18" s="234"/>
      <c r="P18" s="27"/>
    </row>
    <row r="19" spans="2:16" ht="14.25" customHeight="1">
      <c r="B19" s="13">
        <f t="shared" ref="B19:B45" si="0">B18+1</f>
        <v>3</v>
      </c>
      <c r="C19" s="14"/>
      <c r="D19" s="14"/>
      <c r="E19" s="451" t="s">
        <v>373</v>
      </c>
      <c r="F19" s="444"/>
      <c r="G19" s="445"/>
      <c r="H19" s="230" t="s">
        <v>371</v>
      </c>
      <c r="J19" s="233"/>
      <c r="K19" s="23">
        <f>'パラメータ（ルート2）'!$H$60</f>
        <v>0</v>
      </c>
      <c r="M19" s="233"/>
      <c r="N19" s="65">
        <f>'パラメータ（ルート2）'!$H$61</f>
        <v>0</v>
      </c>
      <c r="P19" s="20"/>
    </row>
    <row r="20" spans="2:16" ht="14.25" customHeight="1">
      <c r="B20" s="13">
        <f t="shared" si="0"/>
        <v>4</v>
      </c>
      <c r="C20" s="14"/>
      <c r="D20" s="35" t="s">
        <v>324</v>
      </c>
      <c r="E20" s="58"/>
      <c r="F20" s="34"/>
      <c r="G20" s="34"/>
      <c r="H20" s="122" t="s">
        <v>374</v>
      </c>
      <c r="J20" s="166">
        <f>((J17*J18/100))/1000</f>
        <v>0</v>
      </c>
      <c r="K20" s="166">
        <f>K19/1000</f>
        <v>0</v>
      </c>
      <c r="M20" s="166" t="e">
        <f>((M17*M18/100))/1000</f>
        <v>#DIV/0!</v>
      </c>
      <c r="N20" s="166">
        <f>N19/1000</f>
        <v>0</v>
      </c>
      <c r="P20" s="7"/>
    </row>
    <row r="21" spans="2:16" ht="14.25" customHeight="1">
      <c r="B21" s="13">
        <f t="shared" si="0"/>
        <v>5</v>
      </c>
      <c r="C21" s="14"/>
      <c r="D21" s="14"/>
      <c r="E21" s="450" t="s">
        <v>375</v>
      </c>
      <c r="F21" s="444"/>
      <c r="G21" s="445"/>
      <c r="H21" s="235" t="s">
        <v>376</v>
      </c>
      <c r="J21" s="63"/>
      <c r="K21" s="8">
        <f>'数量（ルート2）'!K28</f>
        <v>0</v>
      </c>
      <c r="M21" s="63"/>
      <c r="N21" s="8">
        <f>'数量（ルート2）'!N28</f>
        <v>0</v>
      </c>
      <c r="P21" s="31"/>
    </row>
    <row r="22" spans="2:16" ht="14.25" customHeight="1">
      <c r="B22" s="13">
        <f t="shared" si="0"/>
        <v>6</v>
      </c>
      <c r="C22" s="14"/>
      <c r="D22" s="14"/>
      <c r="E22" s="450" t="s">
        <v>377</v>
      </c>
      <c r="F22" s="444"/>
      <c r="G22" s="445"/>
      <c r="H22" s="183" t="s">
        <v>378</v>
      </c>
      <c r="J22" s="63"/>
      <c r="K22" s="8">
        <f>'パラメータ（ルート2）'!$H$62</f>
        <v>21786</v>
      </c>
      <c r="M22" s="63"/>
      <c r="N22" s="8">
        <f>'パラメータ（ルート2）'!$H$64</f>
        <v>0</v>
      </c>
      <c r="P22" s="15"/>
    </row>
    <row r="23" spans="2:16" ht="14.25" customHeight="1">
      <c r="B23" s="13">
        <f t="shared" si="0"/>
        <v>7</v>
      </c>
      <c r="C23" s="14"/>
      <c r="D23" s="24"/>
      <c r="E23" s="450" t="s">
        <v>379</v>
      </c>
      <c r="F23" s="444"/>
      <c r="G23" s="445"/>
      <c r="H23" s="236" t="s">
        <v>371</v>
      </c>
      <c r="J23" s="62"/>
      <c r="K23" s="23">
        <f>'パラメータ（ルート2）'!$H$63</f>
        <v>0</v>
      </c>
      <c r="M23" s="62"/>
      <c r="N23" s="23">
        <f>'パラメータ（ルート2）'!$H$65</f>
        <v>0</v>
      </c>
      <c r="P23" s="24"/>
    </row>
    <row r="24" spans="2:16" ht="14.25" customHeight="1">
      <c r="B24" s="13">
        <f t="shared" si="0"/>
        <v>8</v>
      </c>
      <c r="C24" s="14"/>
      <c r="D24" s="35" t="s">
        <v>330</v>
      </c>
      <c r="E24" s="32"/>
      <c r="F24" s="32"/>
      <c r="G24" s="64"/>
      <c r="H24" s="122" t="s">
        <v>380</v>
      </c>
      <c r="J24" s="67"/>
      <c r="K24" s="166">
        <f>((K21*K22)+K23)/1000</f>
        <v>0</v>
      </c>
      <c r="M24" s="67"/>
      <c r="N24" s="166">
        <f>((N21*N22)+N23)/1000</f>
        <v>0</v>
      </c>
      <c r="P24" s="7"/>
    </row>
    <row r="25" spans="2:16" ht="14.25" customHeight="1">
      <c r="B25" s="13">
        <f t="shared" si="0"/>
        <v>9</v>
      </c>
      <c r="C25" s="14"/>
      <c r="D25" s="7"/>
      <c r="E25" s="177" t="s">
        <v>381</v>
      </c>
      <c r="F25" s="25"/>
      <c r="G25" s="18"/>
      <c r="H25" s="7" t="s">
        <v>382</v>
      </c>
      <c r="J25" s="63"/>
      <c r="K25" s="8" t="e">
        <f>'パラメータ（ルート2）'!$H$66</f>
        <v>#DIV/0!</v>
      </c>
      <c r="M25" s="63"/>
      <c r="N25" s="8" t="e">
        <f>'パラメータ（ルート2）'!$H$67</f>
        <v>#DIV/0!</v>
      </c>
      <c r="P25" s="7"/>
    </row>
    <row r="26" spans="2:16" ht="14.25" customHeight="1">
      <c r="B26" s="13">
        <f t="shared" si="0"/>
        <v>10</v>
      </c>
      <c r="C26" s="14"/>
      <c r="D26" s="219" t="s">
        <v>383</v>
      </c>
      <c r="E26" s="58"/>
      <c r="F26" s="33"/>
      <c r="G26" s="34"/>
      <c r="H26" s="122" t="s">
        <v>380</v>
      </c>
      <c r="J26" s="67"/>
      <c r="K26" s="166" t="e">
        <f>K25/1000</f>
        <v>#DIV/0!</v>
      </c>
      <c r="M26" s="67"/>
      <c r="N26" s="166" t="e">
        <f>N25/1000</f>
        <v>#DIV/0!</v>
      </c>
      <c r="P26" s="230" t="s">
        <v>384</v>
      </c>
    </row>
    <row r="27" spans="2:16" ht="14.25" customHeight="1">
      <c r="B27" s="13">
        <f t="shared" si="0"/>
        <v>11</v>
      </c>
      <c r="C27" s="14"/>
      <c r="D27" s="14"/>
      <c r="E27" s="214"/>
      <c r="F27" s="124" t="s">
        <v>385</v>
      </c>
      <c r="G27" s="18"/>
      <c r="H27" s="7" t="s">
        <v>254</v>
      </c>
      <c r="J27" s="63"/>
      <c r="K27" s="8">
        <f>'数量（ルート2）'!K35</f>
        <v>0</v>
      </c>
      <c r="M27" s="63"/>
      <c r="N27" s="8" t="e">
        <f>'数量（ルート2）'!N35</f>
        <v>#DIV/0!</v>
      </c>
      <c r="P27" s="7"/>
    </row>
    <row r="28" spans="2:16" ht="14.25" customHeight="1">
      <c r="B28" s="13">
        <f t="shared" si="0"/>
        <v>12</v>
      </c>
      <c r="C28" s="14"/>
      <c r="D28" s="14"/>
      <c r="E28" s="240"/>
      <c r="F28" s="124" t="s">
        <v>386</v>
      </c>
      <c r="G28" s="18"/>
      <c r="H28" s="7" t="s">
        <v>387</v>
      </c>
      <c r="J28" s="63"/>
      <c r="K28" s="8">
        <f>'パラメータ（ルート2）'!$H$68</f>
        <v>63144</v>
      </c>
      <c r="M28" s="63"/>
      <c r="N28" s="8">
        <f>'パラメータ（ルート2）'!$H$70</f>
        <v>62999</v>
      </c>
      <c r="P28" s="7"/>
    </row>
    <row r="29" spans="2:16" ht="14.25" customHeight="1">
      <c r="B29" s="13">
        <f t="shared" si="0"/>
        <v>13</v>
      </c>
      <c r="C29" s="14"/>
      <c r="D29" s="14"/>
      <c r="E29" s="177"/>
      <c r="F29" s="124" t="s">
        <v>388</v>
      </c>
      <c r="G29" s="18"/>
      <c r="H29" s="7" t="s">
        <v>274</v>
      </c>
      <c r="J29" s="62"/>
      <c r="K29" s="23">
        <f>'パラメータ（ルート2）'!$H$69</f>
        <v>0</v>
      </c>
      <c r="M29" s="62"/>
      <c r="N29" s="23">
        <f>'パラメータ（ルート2）'!$H$69</f>
        <v>0</v>
      </c>
      <c r="P29" s="24"/>
    </row>
    <row r="30" spans="2:16" ht="14.25" customHeight="1">
      <c r="B30" s="13">
        <f t="shared" si="0"/>
        <v>14</v>
      </c>
      <c r="C30" s="14"/>
      <c r="D30" s="14"/>
      <c r="E30" s="241" t="s">
        <v>389</v>
      </c>
      <c r="F30" s="25"/>
      <c r="G30" s="22"/>
      <c r="H30" s="24" t="s">
        <v>390</v>
      </c>
      <c r="J30" s="62"/>
      <c r="K30" s="23">
        <f>K27*K28*K29/100</f>
        <v>0</v>
      </c>
      <c r="M30" s="62"/>
      <c r="N30" s="23" t="e">
        <f>N27*N28*N29/100</f>
        <v>#DIV/0!</v>
      </c>
      <c r="P30" s="7"/>
    </row>
    <row r="31" spans="2:16" ht="14.25" customHeight="1">
      <c r="B31" s="13">
        <f t="shared" si="0"/>
        <v>15</v>
      </c>
      <c r="C31" s="14"/>
      <c r="D31" s="14"/>
      <c r="E31" s="214"/>
      <c r="F31" s="124" t="s">
        <v>391</v>
      </c>
      <c r="G31" s="18"/>
      <c r="H31" s="7" t="s">
        <v>254</v>
      </c>
      <c r="J31" s="63"/>
      <c r="K31" s="63"/>
      <c r="M31" s="63"/>
      <c r="N31" s="8" t="e">
        <f>'数量（ルート2）'!N36</f>
        <v>#DIV/0!</v>
      </c>
      <c r="P31" s="7"/>
    </row>
    <row r="32" spans="2:16" ht="14.25" customHeight="1">
      <c r="B32" s="13">
        <f t="shared" si="0"/>
        <v>16</v>
      </c>
      <c r="C32" s="14"/>
      <c r="D32" s="14"/>
      <c r="E32" s="240"/>
      <c r="F32" s="124" t="s">
        <v>392</v>
      </c>
      <c r="G32" s="18"/>
      <c r="H32" s="7" t="s">
        <v>387</v>
      </c>
      <c r="J32" s="63"/>
      <c r="K32" s="63"/>
      <c r="M32" s="63"/>
      <c r="N32" s="8">
        <f>'パラメータ（ルート2）'!$H$71</f>
        <v>62999</v>
      </c>
      <c r="P32" s="7"/>
    </row>
    <row r="33" spans="2:16" ht="14.25" customHeight="1">
      <c r="B33" s="13">
        <f t="shared" si="0"/>
        <v>17</v>
      </c>
      <c r="C33" s="14"/>
      <c r="D33" s="14"/>
      <c r="E33" s="177"/>
      <c r="F33" s="124" t="s">
        <v>388</v>
      </c>
      <c r="G33" s="18"/>
      <c r="H33" s="7" t="s">
        <v>274</v>
      </c>
      <c r="J33" s="62"/>
      <c r="K33" s="62"/>
      <c r="M33" s="62"/>
      <c r="N33" s="23">
        <f>'パラメータ（ルート2）'!$H$72</f>
        <v>0</v>
      </c>
      <c r="P33" s="24"/>
    </row>
    <row r="34" spans="2:16" ht="14.25" customHeight="1">
      <c r="B34" s="13">
        <f t="shared" si="0"/>
        <v>18</v>
      </c>
      <c r="C34" s="14"/>
      <c r="D34" s="14"/>
      <c r="E34" s="241" t="s">
        <v>393</v>
      </c>
      <c r="F34" s="25"/>
      <c r="G34" s="22"/>
      <c r="H34" s="24" t="s">
        <v>390</v>
      </c>
      <c r="J34" s="62"/>
      <c r="K34" s="62"/>
      <c r="M34" s="62"/>
      <c r="N34" s="23" t="e">
        <f>N31*N32*N33/100</f>
        <v>#DIV/0!</v>
      </c>
      <c r="P34" s="7"/>
    </row>
    <row r="35" spans="2:16" ht="14.25" customHeight="1">
      <c r="B35" s="13">
        <f t="shared" si="0"/>
        <v>19</v>
      </c>
      <c r="C35" s="14"/>
      <c r="D35" s="35" t="s">
        <v>339</v>
      </c>
      <c r="E35" s="32"/>
      <c r="F35" s="32"/>
      <c r="G35" s="64"/>
      <c r="H35" s="122" t="s">
        <v>380</v>
      </c>
      <c r="J35" s="67"/>
      <c r="K35" s="166">
        <f>K30/1000</f>
        <v>0</v>
      </c>
      <c r="M35" s="67"/>
      <c r="N35" s="166" t="e">
        <f>(N30+N34)/1000</f>
        <v>#DIV/0!</v>
      </c>
      <c r="P35" s="230" t="s">
        <v>394</v>
      </c>
    </row>
    <row r="36" spans="2:16" ht="14.25" customHeight="1">
      <c r="B36" s="13">
        <f t="shared" si="0"/>
        <v>20</v>
      </c>
      <c r="C36" s="14"/>
      <c r="D36" s="19"/>
      <c r="E36" s="28" t="s">
        <v>395</v>
      </c>
      <c r="F36" s="28"/>
      <c r="G36" s="18"/>
      <c r="H36" s="7" t="s">
        <v>254</v>
      </c>
      <c r="J36" s="8">
        <f>'数量（ルート2）'!$J$40</f>
        <v>0</v>
      </c>
      <c r="K36" s="185"/>
      <c r="L36" s="25"/>
      <c r="M36" s="8">
        <f>'数量（ルート2）'!$M$40</f>
        <v>0</v>
      </c>
      <c r="N36" s="185"/>
      <c r="P36" s="7"/>
    </row>
    <row r="37" spans="2:16" ht="14.25" customHeight="1">
      <c r="B37" s="13">
        <f t="shared" si="0"/>
        <v>21</v>
      </c>
      <c r="C37" s="14"/>
      <c r="D37" s="14"/>
      <c r="E37" s="177" t="s">
        <v>396</v>
      </c>
      <c r="F37" s="177"/>
      <c r="G37" s="22"/>
      <c r="H37" s="24" t="s">
        <v>254</v>
      </c>
      <c r="J37" s="243"/>
      <c r="K37" s="23">
        <f>'数量（ルート2）'!$K$40</f>
        <v>0</v>
      </c>
      <c r="M37" s="243"/>
      <c r="N37" s="23" t="e">
        <f>'数量（ルート2）'!$N$40</f>
        <v>#DIV/0!</v>
      </c>
      <c r="P37" s="24"/>
    </row>
    <row r="38" spans="2:16" ht="14.25" customHeight="1">
      <c r="B38" s="13">
        <f t="shared" si="0"/>
        <v>22</v>
      </c>
      <c r="C38" s="14"/>
      <c r="D38" s="24"/>
      <c r="E38" s="242" t="s">
        <v>397</v>
      </c>
      <c r="F38" s="19"/>
      <c r="G38" s="30"/>
      <c r="H38" s="7" t="s">
        <v>387</v>
      </c>
      <c r="J38" s="61">
        <f>'パラメータ（ルート2）'!$H$73</f>
        <v>0</v>
      </c>
      <c r="K38" s="61">
        <f>'パラメータ（ルート2）'!$H$73</f>
        <v>0</v>
      </c>
      <c r="M38" s="61">
        <f>'パラメータ（ルート2）'!$H$73</f>
        <v>0</v>
      </c>
      <c r="N38" s="61">
        <f>'パラメータ（ルート2）'!$H$73</f>
        <v>0</v>
      </c>
      <c r="P38" s="16"/>
    </row>
    <row r="39" spans="2:16" ht="14.25" customHeight="1">
      <c r="B39" s="13">
        <f t="shared" si="0"/>
        <v>23</v>
      </c>
      <c r="C39" s="14"/>
      <c r="D39" s="35" t="s">
        <v>398</v>
      </c>
      <c r="E39" s="33"/>
      <c r="F39" s="33"/>
      <c r="G39" s="64"/>
      <c r="H39" s="122" t="s">
        <v>380</v>
      </c>
      <c r="J39" s="166">
        <f>(J36*J38)/1000</f>
        <v>0</v>
      </c>
      <c r="K39" s="166">
        <f>(K37*K38)/1000</f>
        <v>0</v>
      </c>
      <c r="M39" s="166">
        <f t="shared" ref="M39" si="1">(M36*M38)/1000</f>
        <v>0</v>
      </c>
      <c r="N39" s="244" t="e">
        <f>(N37*N38)/1000</f>
        <v>#DIV/0!</v>
      </c>
      <c r="P39" s="7"/>
    </row>
    <row r="40" spans="2:16" ht="14.25" customHeight="1">
      <c r="B40" s="13">
        <f t="shared" si="0"/>
        <v>24</v>
      </c>
      <c r="C40" s="14"/>
      <c r="D40" s="14"/>
      <c r="E40" s="177" t="s">
        <v>399</v>
      </c>
      <c r="F40" s="25"/>
      <c r="G40" s="18"/>
      <c r="H40" s="7" t="s">
        <v>382</v>
      </c>
      <c r="J40" s="8" t="e">
        <f>'パラメータ（ルート2）'!$H$74</f>
        <v>#DIV/0!</v>
      </c>
      <c r="K40" s="8" t="e">
        <f>'パラメータ（ルート2）'!$H$75</f>
        <v>#DIV/0!</v>
      </c>
      <c r="M40" s="8" t="e">
        <f>'パラメータ（ルート2）'!H76</f>
        <v>#DIV/0!</v>
      </c>
      <c r="N40" s="8" t="e">
        <f>'パラメータ（ルート2）'!$H$77</f>
        <v>#DIV/0!</v>
      </c>
      <c r="P40" s="7"/>
    </row>
    <row r="41" spans="2:16" ht="14.25" customHeight="1">
      <c r="B41" s="13">
        <f t="shared" si="0"/>
        <v>25</v>
      </c>
      <c r="C41" s="14"/>
      <c r="D41" s="35" t="s">
        <v>363</v>
      </c>
      <c r="E41" s="58"/>
      <c r="F41" s="34"/>
      <c r="G41" s="34"/>
      <c r="H41" s="122" t="s">
        <v>380</v>
      </c>
      <c r="J41" s="166" t="e">
        <f>J40/1000</f>
        <v>#DIV/0!</v>
      </c>
      <c r="K41" s="166" t="e">
        <f>K40/1000</f>
        <v>#DIV/0!</v>
      </c>
      <c r="M41" s="166" t="e">
        <f t="shared" ref="M41:N41" si="2">M40/1000</f>
        <v>#DIV/0!</v>
      </c>
      <c r="N41" s="166" t="e">
        <f t="shared" si="2"/>
        <v>#DIV/0!</v>
      </c>
      <c r="P41" s="7"/>
    </row>
    <row r="42" spans="2:16" ht="14.25" customHeight="1">
      <c r="B42" s="13">
        <f t="shared" si="0"/>
        <v>26</v>
      </c>
      <c r="C42" s="14"/>
      <c r="D42" s="14"/>
      <c r="E42" s="28" t="s">
        <v>400</v>
      </c>
      <c r="F42" s="17"/>
      <c r="G42" s="18"/>
      <c r="H42" s="7" t="s">
        <v>254</v>
      </c>
      <c r="J42" s="8">
        <f>'数量（ルート2）'!$J$43</f>
        <v>0</v>
      </c>
      <c r="K42" s="8">
        <f>'数量（ルート2）'!$K$43</f>
        <v>0</v>
      </c>
      <c r="M42" s="8">
        <f>'数量（ルート2）'!$M$43</f>
        <v>0</v>
      </c>
      <c r="N42" s="8" t="e">
        <f>'数量（ルート2）'!$N$43</f>
        <v>#DIV/0!</v>
      </c>
      <c r="P42" s="7"/>
    </row>
    <row r="43" spans="2:16" ht="14.25" customHeight="1">
      <c r="B43" s="13">
        <f t="shared" si="0"/>
        <v>27</v>
      </c>
      <c r="C43" s="14"/>
      <c r="D43" s="14"/>
      <c r="E43" s="28" t="s">
        <v>401</v>
      </c>
      <c r="F43" s="17"/>
      <c r="G43" s="18"/>
      <c r="H43" s="7" t="s">
        <v>387</v>
      </c>
      <c r="J43" s="8">
        <f>'パラメータ（ルート2）'!$H$78</f>
        <v>0</v>
      </c>
      <c r="K43" s="8">
        <f>'パラメータ（ルート2）'!$H$78</f>
        <v>0</v>
      </c>
      <c r="M43" s="8">
        <f>'パラメータ（ルート2）'!$H$79</f>
        <v>0</v>
      </c>
      <c r="N43" s="8">
        <f>'パラメータ（ルート2）'!$H$79</f>
        <v>0</v>
      </c>
      <c r="P43" s="7"/>
    </row>
    <row r="44" spans="2:16" ht="14.25" customHeight="1">
      <c r="B44" s="13">
        <f t="shared" si="0"/>
        <v>28</v>
      </c>
      <c r="C44" s="14"/>
      <c r="D44" s="35" t="s">
        <v>402</v>
      </c>
      <c r="E44" s="32"/>
      <c r="F44" s="32"/>
      <c r="G44" s="64"/>
      <c r="H44" s="122" t="s">
        <v>380</v>
      </c>
      <c r="J44" s="166">
        <f>(J42*J43)/1000</f>
        <v>0</v>
      </c>
      <c r="K44" s="166">
        <f>(K42*K43)/1000</f>
        <v>0</v>
      </c>
      <c r="M44" s="166">
        <f>(M42*M43)/1000</f>
        <v>0</v>
      </c>
      <c r="N44" s="166" t="e">
        <f>(N42*N43)/1000</f>
        <v>#DIV/0!</v>
      </c>
      <c r="P44" s="7"/>
    </row>
    <row r="45" spans="2:16" ht="14.25" customHeight="1">
      <c r="B45" s="13">
        <f t="shared" si="0"/>
        <v>29</v>
      </c>
      <c r="C45" s="35" t="s">
        <v>403</v>
      </c>
      <c r="D45" s="33"/>
      <c r="E45" s="33"/>
      <c r="F45" s="33"/>
      <c r="G45" s="64"/>
      <c r="H45" s="122" t="s">
        <v>380</v>
      </c>
      <c r="J45" s="166" t="e">
        <f>J20+J24+J26+J35+J39+J41+J44</f>
        <v>#DIV/0!</v>
      </c>
      <c r="K45" s="166" t="e">
        <f>K20+K24+K26+K35+K39+K41+K44</f>
        <v>#DIV/0!</v>
      </c>
      <c r="M45" s="166" t="e">
        <f t="shared" ref="M45:N45" si="3">M20+M24+M26+M35+M39+M41+M44</f>
        <v>#DIV/0!</v>
      </c>
      <c r="N45" s="166" t="e">
        <f t="shared" si="3"/>
        <v>#DIV/0!</v>
      </c>
      <c r="P45" s="7"/>
    </row>
  </sheetData>
  <mergeCells count="6">
    <mergeCell ref="E23:G23"/>
    <mergeCell ref="J3:K3"/>
    <mergeCell ref="M3:N3"/>
    <mergeCell ref="E19:G19"/>
    <mergeCell ref="E21:G21"/>
    <mergeCell ref="E22:G22"/>
  </mergeCells>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9B95E-A38B-42EF-BE92-BF86B5B5C816}">
  <dimension ref="B1:W182"/>
  <sheetViews>
    <sheetView showGridLines="0" workbookViewId="0">
      <selection activeCell="G89" sqref="G89"/>
    </sheetView>
  </sheetViews>
  <sheetFormatPr defaultColWidth="9" defaultRowHeight="14.25"/>
  <cols>
    <col min="4" max="4" width="9" customWidth="1"/>
    <col min="6" max="6" width="13" customWidth="1"/>
    <col min="7" max="7" width="9.42578125" bestFit="1" customWidth="1"/>
    <col min="23" max="23" width="33.42578125" customWidth="1"/>
  </cols>
  <sheetData>
    <row r="1" spans="2:23" ht="15" thickBot="1"/>
    <row r="2" spans="2:23">
      <c r="B2" s="452" t="s">
        <v>404</v>
      </c>
      <c r="C2" s="453"/>
      <c r="D2" s="453"/>
      <c r="E2" s="453"/>
      <c r="F2" s="453"/>
      <c r="G2" s="453"/>
      <c r="H2" s="453"/>
      <c r="I2" s="453"/>
      <c r="J2" s="453"/>
      <c r="K2" s="453"/>
      <c r="L2" s="453"/>
      <c r="M2" s="453"/>
      <c r="N2" s="453"/>
      <c r="O2" s="453"/>
      <c r="P2" s="453"/>
      <c r="Q2" s="453"/>
      <c r="R2" s="453"/>
      <c r="S2" s="453"/>
      <c r="T2" s="453"/>
      <c r="U2" s="453"/>
      <c r="V2" s="453"/>
      <c r="W2" s="454"/>
    </row>
    <row r="3" spans="2:23">
      <c r="B3" s="461" t="s">
        <v>405</v>
      </c>
      <c r="C3" s="462"/>
      <c r="D3" s="462"/>
      <c r="E3" s="462"/>
      <c r="F3" s="462"/>
      <c r="G3" s="462"/>
      <c r="H3" s="462"/>
      <c r="I3" s="138" t="s">
        <v>406</v>
      </c>
      <c r="J3" s="138"/>
      <c r="K3" s="138"/>
      <c r="L3" s="138"/>
      <c r="M3" s="460" t="s">
        <v>407</v>
      </c>
      <c r="N3" s="460"/>
      <c r="O3" s="460"/>
      <c r="P3" s="460"/>
      <c r="Q3" s="460"/>
      <c r="R3" s="460"/>
      <c r="S3" s="460"/>
      <c r="T3" s="138" t="s">
        <v>406</v>
      </c>
      <c r="W3" s="280"/>
    </row>
    <row r="4" spans="2:23" ht="16.5" customHeight="1">
      <c r="B4" s="281" t="s">
        <v>408</v>
      </c>
      <c r="C4" s="464" t="s">
        <v>409</v>
      </c>
      <c r="D4" s="464"/>
      <c r="E4" s="464"/>
      <c r="F4" s="464"/>
      <c r="G4" s="282">
        <f>'パラメータ（ルート2）'!H5</f>
        <v>0</v>
      </c>
      <c r="H4" t="s">
        <v>272</v>
      </c>
      <c r="I4" s="282" t="s">
        <v>410</v>
      </c>
      <c r="M4" s="283" t="s">
        <v>411</v>
      </c>
      <c r="N4" s="138" t="s">
        <v>412</v>
      </c>
      <c r="R4" s="390">
        <v>10000</v>
      </c>
      <c r="S4" t="s">
        <v>272</v>
      </c>
      <c r="T4" s="282" t="s">
        <v>413</v>
      </c>
      <c r="W4" s="280"/>
    </row>
    <row r="5" spans="2:23" ht="16.5" customHeight="1">
      <c r="B5" s="281" t="s">
        <v>414</v>
      </c>
      <c r="C5" s="465" t="s">
        <v>415</v>
      </c>
      <c r="D5" s="465"/>
      <c r="E5" s="465"/>
      <c r="F5" s="465"/>
      <c r="G5" s="282">
        <f>'パラメータ（ルート2）'!$H$6</f>
        <v>9</v>
      </c>
      <c r="H5" t="s">
        <v>274</v>
      </c>
      <c r="I5" s="282" t="s">
        <v>416</v>
      </c>
      <c r="M5" s="283" t="s">
        <v>417</v>
      </c>
      <c r="N5" s="138" t="s">
        <v>418</v>
      </c>
      <c r="R5">
        <v>70</v>
      </c>
      <c r="S5" t="s">
        <v>274</v>
      </c>
      <c r="T5" s="282" t="s">
        <v>419</v>
      </c>
      <c r="W5" s="280"/>
    </row>
    <row r="6" spans="2:23" ht="16.5" customHeight="1" thickBot="1">
      <c r="B6" s="281" t="s">
        <v>420</v>
      </c>
      <c r="C6" s="464" t="s">
        <v>421</v>
      </c>
      <c r="D6" s="464"/>
      <c r="E6" s="464"/>
      <c r="F6" s="464"/>
      <c r="G6" s="6">
        <v>50</v>
      </c>
      <c r="H6" t="s">
        <v>274</v>
      </c>
      <c r="I6" s="138" t="s">
        <v>422</v>
      </c>
      <c r="M6" s="283" t="s">
        <v>423</v>
      </c>
      <c r="N6" s="138" t="s">
        <v>424</v>
      </c>
      <c r="R6">
        <v>30</v>
      </c>
      <c r="S6" t="s">
        <v>274</v>
      </c>
      <c r="T6" s="282" t="s">
        <v>425</v>
      </c>
      <c r="W6" s="280"/>
    </row>
    <row r="7" spans="2:23" ht="16.5" customHeight="1" thickBot="1">
      <c r="B7" s="281" t="s">
        <v>426</v>
      </c>
      <c r="C7" s="464" t="s">
        <v>404</v>
      </c>
      <c r="D7" s="464"/>
      <c r="E7" s="464"/>
      <c r="F7" s="464"/>
      <c r="G7" s="392">
        <f>G4*(G5/100)*(G6/100)</f>
        <v>0</v>
      </c>
      <c r="H7" t="s">
        <v>272</v>
      </c>
      <c r="I7" s="285" t="s">
        <v>427</v>
      </c>
      <c r="M7" s="283" t="s">
        <v>428</v>
      </c>
      <c r="N7" s="138" t="s">
        <v>429</v>
      </c>
      <c r="R7" s="390">
        <f>(R4/(R5/100))*(R6/100)</f>
        <v>4285.7142857142853</v>
      </c>
      <c r="S7" t="s">
        <v>272</v>
      </c>
      <c r="T7" s="66" t="s">
        <v>430</v>
      </c>
      <c r="W7" s="280"/>
    </row>
    <row r="8" spans="2:23" ht="16.5" customHeight="1" thickBot="1">
      <c r="B8" s="286"/>
      <c r="C8" s="287"/>
      <c r="D8" s="287"/>
      <c r="E8" s="287"/>
      <c r="F8" s="287"/>
      <c r="G8" s="287"/>
      <c r="H8" s="287"/>
      <c r="I8" s="287"/>
      <c r="J8" s="287"/>
      <c r="K8" s="287"/>
      <c r="L8" s="287"/>
      <c r="M8" s="288" t="s">
        <v>431</v>
      </c>
      <c r="N8" s="466" t="s">
        <v>404</v>
      </c>
      <c r="O8" s="466"/>
      <c r="P8" s="466"/>
      <c r="Q8" s="466"/>
      <c r="R8" s="275">
        <f>R4+R7</f>
        <v>14285.714285714286</v>
      </c>
      <c r="S8" s="287" t="s">
        <v>272</v>
      </c>
      <c r="T8" s="289" t="s">
        <v>427</v>
      </c>
      <c r="U8" s="287"/>
      <c r="V8" s="287"/>
      <c r="W8" s="290"/>
    </row>
    <row r="9" spans="2:23">
      <c r="B9" s="452" t="s">
        <v>432</v>
      </c>
      <c r="C9" s="453"/>
      <c r="D9" s="453"/>
      <c r="E9" s="453"/>
      <c r="F9" s="453"/>
      <c r="G9" s="453"/>
      <c r="H9" s="453"/>
      <c r="I9" s="453"/>
      <c r="J9" s="453"/>
      <c r="K9" s="453"/>
      <c r="L9" s="453"/>
      <c r="M9" s="453"/>
      <c r="N9" s="453"/>
      <c r="O9" s="453"/>
      <c r="P9" s="453"/>
      <c r="Q9" s="453"/>
      <c r="R9" s="453"/>
      <c r="S9" s="453"/>
      <c r="T9" s="453"/>
      <c r="U9" s="453"/>
      <c r="V9" s="453"/>
      <c r="W9" s="454"/>
    </row>
    <row r="10" spans="2:23">
      <c r="B10" s="281" t="s">
        <v>408</v>
      </c>
      <c r="C10" s="138" t="s">
        <v>284</v>
      </c>
      <c r="G10" s="282">
        <f>'数量（ルート2）'!N25</f>
        <v>0</v>
      </c>
      <c r="H10" t="s">
        <v>272</v>
      </c>
      <c r="I10" s="138" t="s">
        <v>599</v>
      </c>
      <c r="W10" s="280"/>
    </row>
    <row r="11" spans="2:23" ht="15" thickBot="1">
      <c r="B11" s="281" t="s">
        <v>434</v>
      </c>
      <c r="C11" t="s">
        <v>435</v>
      </c>
      <c r="G11">
        <v>364</v>
      </c>
      <c r="H11" t="s">
        <v>272</v>
      </c>
      <c r="I11" s="138" t="s">
        <v>436</v>
      </c>
      <c r="W11" s="280"/>
    </row>
    <row r="12" spans="2:23" ht="15" thickBot="1">
      <c r="B12" s="291" t="s">
        <v>437</v>
      </c>
      <c r="C12" s="292" t="s">
        <v>438</v>
      </c>
      <c r="D12" s="287"/>
      <c r="E12" s="287"/>
      <c r="F12" s="287"/>
      <c r="G12" s="392" t="e">
        <f>(G11/G10)*100</f>
        <v>#DIV/0!</v>
      </c>
      <c r="H12" s="287" t="s">
        <v>274</v>
      </c>
      <c r="I12" s="289" t="s">
        <v>439</v>
      </c>
      <c r="J12" s="287"/>
      <c r="K12" s="287"/>
      <c r="L12" s="287"/>
      <c r="M12" s="287"/>
      <c r="N12" s="287"/>
      <c r="O12" s="287"/>
      <c r="P12" s="287"/>
      <c r="Q12" s="287"/>
      <c r="R12" s="287"/>
      <c r="S12" s="287"/>
      <c r="T12" s="287"/>
      <c r="U12" s="287"/>
      <c r="V12" s="287"/>
      <c r="W12" s="290"/>
    </row>
    <row r="13" spans="2:23">
      <c r="B13" s="452" t="s">
        <v>440</v>
      </c>
      <c r="C13" s="453"/>
      <c r="D13" s="453"/>
      <c r="E13" s="453"/>
      <c r="F13" s="453"/>
      <c r="G13" s="453"/>
      <c r="H13" s="453"/>
      <c r="I13" s="453"/>
      <c r="J13" s="453"/>
      <c r="K13" s="453"/>
      <c r="L13" s="453"/>
      <c r="M13" s="453"/>
      <c r="N13" s="453"/>
      <c r="O13" s="453"/>
      <c r="P13" s="453"/>
      <c r="Q13" s="453"/>
      <c r="R13" s="453"/>
      <c r="S13" s="453"/>
      <c r="T13" s="453"/>
      <c r="U13" s="453"/>
      <c r="V13" s="453"/>
      <c r="W13" s="454"/>
    </row>
    <row r="14" spans="2:23">
      <c r="B14" s="281" t="s">
        <v>408</v>
      </c>
      <c r="C14" s="138" t="s">
        <v>284</v>
      </c>
      <c r="G14" s="282">
        <f>'数量（ルート2）'!N26</f>
        <v>0</v>
      </c>
      <c r="H14" t="s">
        <v>272</v>
      </c>
      <c r="I14" s="138" t="s">
        <v>600</v>
      </c>
      <c r="W14" s="280"/>
    </row>
    <row r="15" spans="2:23" ht="15" thickBot="1">
      <c r="B15" s="281" t="s">
        <v>434</v>
      </c>
      <c r="C15" t="s">
        <v>435</v>
      </c>
      <c r="G15" s="388"/>
      <c r="H15" t="s">
        <v>272</v>
      </c>
      <c r="I15" s="138" t="s">
        <v>442</v>
      </c>
      <c r="W15" s="280"/>
    </row>
    <row r="16" spans="2:23" ht="15" thickBot="1">
      <c r="B16" s="291" t="s">
        <v>437</v>
      </c>
      <c r="C16" s="292" t="s">
        <v>438</v>
      </c>
      <c r="D16" s="287"/>
      <c r="E16" s="287"/>
      <c r="F16" s="287"/>
      <c r="G16" s="274" t="e">
        <f>(G15/G14)*100</f>
        <v>#DIV/0!</v>
      </c>
      <c r="H16" s="287" t="s">
        <v>274</v>
      </c>
      <c r="I16" s="289" t="s">
        <v>443</v>
      </c>
      <c r="J16" s="287"/>
      <c r="K16" s="287"/>
      <c r="L16" s="287"/>
      <c r="M16" s="287"/>
      <c r="N16" s="287"/>
      <c r="O16" s="287"/>
      <c r="P16" s="287"/>
      <c r="Q16" s="287"/>
      <c r="R16" s="287"/>
      <c r="S16" s="287"/>
      <c r="T16" s="287"/>
      <c r="U16" s="287"/>
      <c r="V16" s="287"/>
      <c r="W16" s="290"/>
    </row>
    <row r="17" spans="2:23">
      <c r="B17" s="452" t="s">
        <v>444</v>
      </c>
      <c r="C17" s="453"/>
      <c r="D17" s="453"/>
      <c r="E17" s="453"/>
      <c r="F17" s="453"/>
      <c r="G17" s="453"/>
      <c r="H17" s="453"/>
      <c r="I17" s="453"/>
      <c r="J17" s="453"/>
      <c r="K17" s="453"/>
      <c r="L17" s="453"/>
      <c r="M17" s="453"/>
      <c r="N17" s="453"/>
      <c r="O17" s="453"/>
      <c r="P17" s="453"/>
      <c r="Q17" s="453"/>
      <c r="R17" s="453"/>
      <c r="S17" s="453"/>
      <c r="T17" s="453"/>
      <c r="U17" s="453"/>
      <c r="V17" s="453"/>
      <c r="W17" s="454"/>
    </row>
    <row r="18" spans="2:23">
      <c r="B18" s="281" t="s">
        <v>408</v>
      </c>
      <c r="C18" s="138" t="s">
        <v>375</v>
      </c>
      <c r="G18" s="282">
        <f>'数量（ルート2）'!K28</f>
        <v>0</v>
      </c>
      <c r="H18" t="s">
        <v>272</v>
      </c>
      <c r="I18" s="138" t="s">
        <v>601</v>
      </c>
      <c r="W18" s="280"/>
    </row>
    <row r="19" spans="2:23">
      <c r="B19" s="281" t="s">
        <v>434</v>
      </c>
      <c r="C19" s="138" t="s">
        <v>446</v>
      </c>
      <c r="G19" s="293">
        <f>ROUNDUP(G18*0.001,1)</f>
        <v>0</v>
      </c>
      <c r="H19" t="s">
        <v>447</v>
      </c>
      <c r="I19" t="s">
        <v>448</v>
      </c>
      <c r="W19" s="280"/>
    </row>
    <row r="20" spans="2:23">
      <c r="B20" s="281" t="s">
        <v>437</v>
      </c>
      <c r="C20" s="138" t="s">
        <v>449</v>
      </c>
      <c r="G20" s="293">
        <f>ROUNDUP(G19*4.51739387354416,1)</f>
        <v>0</v>
      </c>
      <c r="H20" t="s">
        <v>450</v>
      </c>
      <c r="I20" t="s">
        <v>451</v>
      </c>
      <c r="W20" s="280"/>
    </row>
    <row r="21" spans="2:23" ht="13.5" customHeight="1">
      <c r="B21" s="281" t="s">
        <v>452</v>
      </c>
      <c r="C21" s="138" t="s">
        <v>453</v>
      </c>
      <c r="G21" s="390" t="e">
        <f>G18/G19</f>
        <v>#DIV/0!</v>
      </c>
      <c r="H21" t="s">
        <v>454</v>
      </c>
      <c r="I21" s="6" t="s">
        <v>455</v>
      </c>
      <c r="W21" s="280"/>
    </row>
    <row r="22" spans="2:23">
      <c r="B22" s="294" t="s">
        <v>456</v>
      </c>
      <c r="C22" s="295" t="s">
        <v>457</v>
      </c>
      <c r="D22" s="296"/>
      <c r="E22" s="296"/>
      <c r="F22" s="296"/>
      <c r="G22" s="395" t="e">
        <f>G20*G21</f>
        <v>#DIV/0!</v>
      </c>
      <c r="H22" s="296" t="s">
        <v>458</v>
      </c>
      <c r="I22" s="6" t="s">
        <v>459</v>
      </c>
      <c r="W22" s="280"/>
    </row>
    <row r="23" spans="2:23">
      <c r="B23" s="281" t="s">
        <v>460</v>
      </c>
      <c r="C23" s="138" t="s">
        <v>461</v>
      </c>
      <c r="G23" s="396">
        <f>ROUNDUP(G18*0.0007+1.9962,1)</f>
        <v>2</v>
      </c>
      <c r="H23" t="s">
        <v>447</v>
      </c>
      <c r="I23" t="s">
        <v>448</v>
      </c>
      <c r="W23" s="280"/>
    </row>
    <row r="24" spans="2:23">
      <c r="B24" s="281" t="s">
        <v>462</v>
      </c>
      <c r="C24" s="138" t="s">
        <v>463</v>
      </c>
      <c r="G24" s="396">
        <f>ROUNDUP(G23*13.4188554371463,1)</f>
        <v>26.900000000000002</v>
      </c>
      <c r="H24" t="s">
        <v>450</v>
      </c>
      <c r="I24" t="s">
        <v>464</v>
      </c>
      <c r="W24" s="280"/>
    </row>
    <row r="25" spans="2:23">
      <c r="B25" s="281" t="s">
        <v>465</v>
      </c>
      <c r="C25" s="138" t="s">
        <v>466</v>
      </c>
      <c r="G25" s="390">
        <f>G18/G23</f>
        <v>0</v>
      </c>
      <c r="H25" t="s">
        <v>454</v>
      </c>
      <c r="I25" t="s">
        <v>467</v>
      </c>
      <c r="W25" s="280"/>
    </row>
    <row r="26" spans="2:23">
      <c r="B26" s="294" t="s">
        <v>468</v>
      </c>
      <c r="C26" s="295" t="s">
        <v>469</v>
      </c>
      <c r="D26" s="296"/>
      <c r="E26" s="296"/>
      <c r="F26" s="296"/>
      <c r="G26" s="395">
        <f>G24*G25</f>
        <v>0</v>
      </c>
      <c r="H26" s="296" t="s">
        <v>458</v>
      </c>
      <c r="I26" s="6" t="s">
        <v>470</v>
      </c>
      <c r="W26" s="280"/>
    </row>
    <row r="27" spans="2:23">
      <c r="B27" s="281" t="s">
        <v>471</v>
      </c>
      <c r="C27" s="138" t="s">
        <v>472</v>
      </c>
      <c r="G27" s="396">
        <f>ROUNDUP(G18*0.0017,1)</f>
        <v>0</v>
      </c>
      <c r="H27" t="s">
        <v>447</v>
      </c>
      <c r="I27" t="s">
        <v>448</v>
      </c>
      <c r="W27" s="280"/>
    </row>
    <row r="28" spans="2:23">
      <c r="B28" s="281" t="s">
        <v>473</v>
      </c>
      <c r="C28" s="138" t="s">
        <v>474</v>
      </c>
      <c r="G28" s="396">
        <f>ROUNDUP(G27*0.589028125870231,1)</f>
        <v>0</v>
      </c>
      <c r="H28" t="s">
        <v>450</v>
      </c>
      <c r="I28" t="s">
        <v>475</v>
      </c>
      <c r="W28" s="280"/>
    </row>
    <row r="29" spans="2:23">
      <c r="B29" s="281" t="s">
        <v>476</v>
      </c>
      <c r="C29" s="138" t="s">
        <v>477</v>
      </c>
      <c r="G29" s="390" t="e">
        <f>G18/G27</f>
        <v>#DIV/0!</v>
      </c>
      <c r="H29" t="s">
        <v>454</v>
      </c>
      <c r="I29" t="s">
        <v>478</v>
      </c>
      <c r="W29" s="280"/>
    </row>
    <row r="30" spans="2:23">
      <c r="B30" s="294" t="s">
        <v>479</v>
      </c>
      <c r="C30" s="295" t="s">
        <v>480</v>
      </c>
      <c r="D30" s="296"/>
      <c r="E30" s="296"/>
      <c r="F30" s="296"/>
      <c r="G30" s="395" t="e">
        <f>G28*G29</f>
        <v>#DIV/0!</v>
      </c>
      <c r="H30" s="296" t="s">
        <v>458</v>
      </c>
      <c r="I30" s="6" t="s">
        <v>481</v>
      </c>
      <c r="W30" s="280"/>
    </row>
    <row r="31" spans="2:23">
      <c r="B31" s="281" t="s">
        <v>482</v>
      </c>
      <c r="C31" s="138" t="s">
        <v>483</v>
      </c>
      <c r="G31" s="293">
        <f>ROUNDUP(G18*0.001,1)</f>
        <v>0</v>
      </c>
      <c r="H31" t="s">
        <v>447</v>
      </c>
      <c r="I31" t="s">
        <v>448</v>
      </c>
      <c r="W31" s="280"/>
    </row>
    <row r="32" spans="2:23">
      <c r="B32" s="281" t="s">
        <v>484</v>
      </c>
      <c r="C32" s="138" t="s">
        <v>485</v>
      </c>
      <c r="G32" s="396">
        <f>ROUNDUP(G31*1.81191726552423,1)</f>
        <v>0</v>
      </c>
      <c r="H32" t="s">
        <v>450</v>
      </c>
      <c r="I32" t="s">
        <v>486</v>
      </c>
      <c r="W32" s="280"/>
    </row>
    <row r="33" spans="2:23">
      <c r="B33" s="281" t="s">
        <v>487</v>
      </c>
      <c r="C33" s="138" t="s">
        <v>488</v>
      </c>
      <c r="G33" s="390" t="e">
        <f>G18/G31</f>
        <v>#DIV/0!</v>
      </c>
      <c r="H33" t="s">
        <v>454</v>
      </c>
      <c r="I33" t="s">
        <v>489</v>
      </c>
      <c r="W33" s="280"/>
    </row>
    <row r="34" spans="2:23">
      <c r="B34" s="294" t="s">
        <v>490</v>
      </c>
      <c r="C34" s="295" t="s">
        <v>491</v>
      </c>
      <c r="D34" s="296"/>
      <c r="E34" s="296"/>
      <c r="F34" s="296"/>
      <c r="G34" s="395" t="e">
        <f>G32*G33</f>
        <v>#DIV/0!</v>
      </c>
      <c r="H34" s="296" t="s">
        <v>458</v>
      </c>
      <c r="I34" s="6" t="s">
        <v>492</v>
      </c>
      <c r="W34" s="280"/>
    </row>
    <row r="35" spans="2:23">
      <c r="B35" s="281" t="s">
        <v>493</v>
      </c>
      <c r="C35" s="138" t="s">
        <v>494</v>
      </c>
      <c r="G35" s="396">
        <f>ROUNDUP(G18*0.0009,1)</f>
        <v>0</v>
      </c>
      <c r="H35" t="s">
        <v>447</v>
      </c>
      <c r="I35" t="s">
        <v>448</v>
      </c>
      <c r="W35" s="280"/>
    </row>
    <row r="36" spans="2:23">
      <c r="B36" s="281" t="s">
        <v>495</v>
      </c>
      <c r="C36" s="138" t="s">
        <v>496</v>
      </c>
      <c r="G36" s="396">
        <f>ROUNDUP(G35*2.49170178799489,1)</f>
        <v>0</v>
      </c>
      <c r="H36" t="s">
        <v>450</v>
      </c>
      <c r="I36" t="s">
        <v>497</v>
      </c>
      <c r="W36" s="280"/>
    </row>
    <row r="37" spans="2:23">
      <c r="B37" s="281" t="s">
        <v>498</v>
      </c>
      <c r="C37" s="138" t="s">
        <v>499</v>
      </c>
      <c r="G37" s="390" t="e">
        <f>G18/G35</f>
        <v>#DIV/0!</v>
      </c>
      <c r="H37" t="s">
        <v>454</v>
      </c>
      <c r="I37" t="s">
        <v>500</v>
      </c>
      <c r="W37" s="280"/>
    </row>
    <row r="38" spans="2:23">
      <c r="B38" s="294" t="s">
        <v>501</v>
      </c>
      <c r="C38" s="295" t="s">
        <v>502</v>
      </c>
      <c r="D38" s="296"/>
      <c r="E38" s="296"/>
      <c r="F38" s="296"/>
      <c r="G38" s="395" t="e">
        <f>G36*G37</f>
        <v>#DIV/0!</v>
      </c>
      <c r="H38" s="296" t="s">
        <v>458</v>
      </c>
      <c r="I38" s="6" t="s">
        <v>503</v>
      </c>
      <c r="W38" s="280"/>
    </row>
    <row r="39" spans="2:23" ht="15" thickBot="1">
      <c r="B39" s="294" t="s">
        <v>504</v>
      </c>
      <c r="C39" s="295" t="s">
        <v>505</v>
      </c>
      <c r="D39" s="296"/>
      <c r="E39" s="296"/>
      <c r="F39" s="296"/>
      <c r="G39" s="296"/>
      <c r="H39" s="296" t="s">
        <v>458</v>
      </c>
      <c r="I39" s="138" t="s">
        <v>506</v>
      </c>
      <c r="W39" s="280"/>
    </row>
    <row r="40" spans="2:23" ht="15" thickBot="1">
      <c r="B40" s="291" t="s">
        <v>507</v>
      </c>
      <c r="C40" s="292" t="s">
        <v>508</v>
      </c>
      <c r="D40" s="287"/>
      <c r="E40" s="287"/>
      <c r="F40" s="287"/>
      <c r="G40" s="275" t="e">
        <f>G22+G26+G30+G34+G38+G39</f>
        <v>#DIV/0!</v>
      </c>
      <c r="H40" s="287" t="s">
        <v>458</v>
      </c>
      <c r="I40" s="289" t="s">
        <v>509</v>
      </c>
      <c r="J40" s="287"/>
      <c r="K40" s="287"/>
      <c r="L40" s="287"/>
      <c r="M40" s="287"/>
      <c r="N40" s="287"/>
      <c r="O40" s="287"/>
      <c r="P40" s="287"/>
      <c r="Q40" s="287"/>
      <c r="R40" s="287"/>
      <c r="S40" s="287"/>
      <c r="T40" s="287"/>
      <c r="U40" s="287"/>
      <c r="V40" s="287"/>
      <c r="W40" s="290"/>
    </row>
    <row r="41" spans="2:23">
      <c r="B41" s="452" t="s">
        <v>510</v>
      </c>
      <c r="C41" s="453"/>
      <c r="D41" s="453"/>
      <c r="E41" s="453"/>
      <c r="F41" s="453"/>
      <c r="G41" s="453"/>
      <c r="H41" s="453"/>
      <c r="I41" s="453"/>
      <c r="J41" s="453"/>
      <c r="K41" s="453"/>
      <c r="L41" s="453"/>
      <c r="M41" s="453"/>
      <c r="N41" s="453"/>
      <c r="O41" s="453"/>
      <c r="P41" s="453"/>
      <c r="Q41" s="453"/>
      <c r="R41" s="453"/>
      <c r="S41" s="453"/>
      <c r="T41" s="453"/>
      <c r="U41" s="453"/>
      <c r="V41" s="453"/>
      <c r="W41" s="454"/>
    </row>
    <row r="42" spans="2:23">
      <c r="B42" s="281" t="s">
        <v>408</v>
      </c>
      <c r="C42" s="138" t="s">
        <v>375</v>
      </c>
      <c r="G42" s="282">
        <f>'数量（ルート2）'!N28</f>
        <v>0</v>
      </c>
      <c r="H42" t="s">
        <v>272</v>
      </c>
      <c r="I42" s="138" t="s">
        <v>602</v>
      </c>
      <c r="W42" s="280"/>
    </row>
    <row r="43" spans="2:23">
      <c r="B43" s="281" t="s">
        <v>434</v>
      </c>
      <c r="C43" s="138" t="s">
        <v>446</v>
      </c>
      <c r="G43" s="293">
        <f>ROUNDUP(G42*0.001,1)</f>
        <v>0</v>
      </c>
      <c r="H43" t="s">
        <v>447</v>
      </c>
      <c r="I43" t="s">
        <v>448</v>
      </c>
      <c r="W43" s="280"/>
    </row>
    <row r="44" spans="2:23">
      <c r="B44" s="281" t="s">
        <v>437</v>
      </c>
      <c r="C44" s="138" t="s">
        <v>449</v>
      </c>
      <c r="G44" s="293">
        <f>ROUNDUP(G43*4.51739387354416,1)</f>
        <v>0</v>
      </c>
      <c r="H44" t="s">
        <v>450</v>
      </c>
      <c r="I44" t="s">
        <v>451</v>
      </c>
      <c r="W44" s="280"/>
    </row>
    <row r="45" spans="2:23" ht="14.25" customHeight="1">
      <c r="B45" s="281" t="s">
        <v>452</v>
      </c>
      <c r="C45" s="138" t="s">
        <v>453</v>
      </c>
      <c r="G45" s="390" t="e">
        <f>G42/G43</f>
        <v>#DIV/0!</v>
      </c>
      <c r="H45" t="s">
        <v>454</v>
      </c>
      <c r="I45" s="6" t="s">
        <v>455</v>
      </c>
      <c r="W45" s="280"/>
    </row>
    <row r="46" spans="2:23">
      <c r="B46" s="294" t="s">
        <v>456</v>
      </c>
      <c r="C46" s="295" t="s">
        <v>457</v>
      </c>
      <c r="D46" s="296"/>
      <c r="E46" s="296"/>
      <c r="F46" s="296"/>
      <c r="G46" s="395" t="e">
        <f>G44*G45</f>
        <v>#DIV/0!</v>
      </c>
      <c r="H46" s="296" t="s">
        <v>458</v>
      </c>
      <c r="I46" s="6" t="s">
        <v>459</v>
      </c>
      <c r="W46" s="280"/>
    </row>
    <row r="47" spans="2:23">
      <c r="B47" s="281" t="s">
        <v>460</v>
      </c>
      <c r="C47" s="138" t="s">
        <v>461</v>
      </c>
      <c r="G47" s="396">
        <f>ROUNDUP(G42*0.0007+1.9962,1)</f>
        <v>2</v>
      </c>
      <c r="H47" t="s">
        <v>447</v>
      </c>
      <c r="I47" t="s">
        <v>448</v>
      </c>
      <c r="W47" s="280"/>
    </row>
    <row r="48" spans="2:23">
      <c r="B48" s="281" t="s">
        <v>462</v>
      </c>
      <c r="C48" s="138" t="s">
        <v>463</v>
      </c>
      <c r="G48" s="396">
        <f>ROUNDUP(G47*13.4188554371463,1)</f>
        <v>26.900000000000002</v>
      </c>
      <c r="H48" t="s">
        <v>450</v>
      </c>
      <c r="I48" t="s">
        <v>464</v>
      </c>
      <c r="W48" s="280"/>
    </row>
    <row r="49" spans="2:23">
      <c r="B49" s="281" t="s">
        <v>465</v>
      </c>
      <c r="C49" s="138" t="s">
        <v>466</v>
      </c>
      <c r="G49" s="390">
        <f>G42/G47</f>
        <v>0</v>
      </c>
      <c r="H49" t="s">
        <v>454</v>
      </c>
      <c r="I49" t="s">
        <v>467</v>
      </c>
      <c r="W49" s="280"/>
    </row>
    <row r="50" spans="2:23">
      <c r="B50" s="294" t="s">
        <v>468</v>
      </c>
      <c r="C50" s="295" t="s">
        <v>469</v>
      </c>
      <c r="D50" s="296"/>
      <c r="E50" s="296"/>
      <c r="F50" s="296"/>
      <c r="G50" s="395">
        <f>G48*G49</f>
        <v>0</v>
      </c>
      <c r="H50" s="296" t="s">
        <v>458</v>
      </c>
      <c r="I50" s="6" t="s">
        <v>470</v>
      </c>
      <c r="W50" s="280"/>
    </row>
    <row r="51" spans="2:23">
      <c r="B51" s="281" t="s">
        <v>471</v>
      </c>
      <c r="C51" s="138" t="s">
        <v>472</v>
      </c>
      <c r="G51" s="396">
        <f>ROUNDUP(G42*0.0017,1)</f>
        <v>0</v>
      </c>
      <c r="H51" t="s">
        <v>447</v>
      </c>
      <c r="I51" t="s">
        <v>448</v>
      </c>
      <c r="W51" s="280"/>
    </row>
    <row r="52" spans="2:23">
      <c r="B52" s="281" t="s">
        <v>473</v>
      </c>
      <c r="C52" s="138" t="s">
        <v>474</v>
      </c>
      <c r="G52" s="396">
        <f>ROUNDUP(G51*0.589028125870231,1)</f>
        <v>0</v>
      </c>
      <c r="H52" t="s">
        <v>450</v>
      </c>
      <c r="I52" t="s">
        <v>475</v>
      </c>
      <c r="W52" s="280"/>
    </row>
    <row r="53" spans="2:23">
      <c r="B53" s="281" t="s">
        <v>476</v>
      </c>
      <c r="C53" s="138" t="s">
        <v>477</v>
      </c>
      <c r="G53" s="390" t="e">
        <f>G42/G51</f>
        <v>#DIV/0!</v>
      </c>
      <c r="H53" t="s">
        <v>454</v>
      </c>
      <c r="I53" t="s">
        <v>478</v>
      </c>
      <c r="W53" s="280"/>
    </row>
    <row r="54" spans="2:23">
      <c r="B54" s="294" t="s">
        <v>479</v>
      </c>
      <c r="C54" s="295" t="s">
        <v>480</v>
      </c>
      <c r="D54" s="296"/>
      <c r="E54" s="296"/>
      <c r="F54" s="296"/>
      <c r="G54" s="395" t="e">
        <f>G52*G53</f>
        <v>#DIV/0!</v>
      </c>
      <c r="H54" s="296" t="s">
        <v>458</v>
      </c>
      <c r="I54" s="6" t="s">
        <v>481</v>
      </c>
      <c r="W54" s="280"/>
    </row>
    <row r="55" spans="2:23">
      <c r="B55" s="281" t="s">
        <v>482</v>
      </c>
      <c r="C55" s="138" t="s">
        <v>483</v>
      </c>
      <c r="G55" s="293">
        <f>ROUNDUP(G42*0.001,1)</f>
        <v>0</v>
      </c>
      <c r="H55" t="s">
        <v>447</v>
      </c>
      <c r="I55" t="s">
        <v>448</v>
      </c>
      <c r="W55" s="280"/>
    </row>
    <row r="56" spans="2:23">
      <c r="B56" s="281" t="s">
        <v>484</v>
      </c>
      <c r="C56" s="138" t="s">
        <v>485</v>
      </c>
      <c r="G56" s="396">
        <f>ROUNDUP(G55*1.81191726552423,1)</f>
        <v>0</v>
      </c>
      <c r="H56" t="s">
        <v>450</v>
      </c>
      <c r="I56" t="s">
        <v>486</v>
      </c>
      <c r="W56" s="280"/>
    </row>
    <row r="57" spans="2:23">
      <c r="B57" s="281" t="s">
        <v>487</v>
      </c>
      <c r="C57" s="138" t="s">
        <v>488</v>
      </c>
      <c r="G57" s="390" t="e">
        <f>G42/G55</f>
        <v>#DIV/0!</v>
      </c>
      <c r="H57" t="s">
        <v>454</v>
      </c>
      <c r="I57" t="s">
        <v>489</v>
      </c>
      <c r="W57" s="280"/>
    </row>
    <row r="58" spans="2:23">
      <c r="B58" s="294" t="s">
        <v>490</v>
      </c>
      <c r="C58" s="295" t="s">
        <v>491</v>
      </c>
      <c r="D58" s="296"/>
      <c r="E58" s="296"/>
      <c r="F58" s="296"/>
      <c r="G58" s="395" t="e">
        <f>G56*G57</f>
        <v>#DIV/0!</v>
      </c>
      <c r="H58" s="296" t="s">
        <v>458</v>
      </c>
      <c r="I58" s="6" t="s">
        <v>492</v>
      </c>
      <c r="W58" s="280"/>
    </row>
    <row r="59" spans="2:23">
      <c r="B59" s="281" t="s">
        <v>493</v>
      </c>
      <c r="C59" s="138" t="s">
        <v>494</v>
      </c>
      <c r="G59" s="396">
        <f>ROUNDUP(G42*0.0009,1)</f>
        <v>0</v>
      </c>
      <c r="H59" t="s">
        <v>447</v>
      </c>
      <c r="I59" t="s">
        <v>448</v>
      </c>
      <c r="W59" s="280"/>
    </row>
    <row r="60" spans="2:23">
      <c r="B60" s="281" t="s">
        <v>495</v>
      </c>
      <c r="C60" s="138" t="s">
        <v>496</v>
      </c>
      <c r="G60" s="396">
        <f>ROUNDUP(G59*2.49170178799489,1)</f>
        <v>0</v>
      </c>
      <c r="H60" t="s">
        <v>450</v>
      </c>
      <c r="I60" t="s">
        <v>497</v>
      </c>
      <c r="W60" s="280"/>
    </row>
    <row r="61" spans="2:23">
      <c r="B61" s="281" t="s">
        <v>498</v>
      </c>
      <c r="C61" s="138" t="s">
        <v>499</v>
      </c>
      <c r="G61" s="390" t="e">
        <f>G42/G59</f>
        <v>#DIV/0!</v>
      </c>
      <c r="H61" t="s">
        <v>454</v>
      </c>
      <c r="I61" t="s">
        <v>500</v>
      </c>
      <c r="W61" s="280"/>
    </row>
    <row r="62" spans="2:23">
      <c r="B62" s="294" t="s">
        <v>501</v>
      </c>
      <c r="C62" s="295" t="s">
        <v>502</v>
      </c>
      <c r="D62" s="296"/>
      <c r="E62" s="296"/>
      <c r="F62" s="296"/>
      <c r="G62" s="395" t="e">
        <f>G60*G61</f>
        <v>#DIV/0!</v>
      </c>
      <c r="H62" s="296" t="s">
        <v>458</v>
      </c>
      <c r="I62" s="6" t="s">
        <v>503</v>
      </c>
      <c r="W62" s="280"/>
    </row>
    <row r="63" spans="2:23" ht="15" thickBot="1">
      <c r="B63" s="294" t="s">
        <v>504</v>
      </c>
      <c r="C63" s="295" t="s">
        <v>505</v>
      </c>
      <c r="D63" s="296"/>
      <c r="E63" s="296"/>
      <c r="F63" s="296"/>
      <c r="G63" s="296"/>
      <c r="H63" s="296" t="s">
        <v>458</v>
      </c>
      <c r="I63" s="138" t="s">
        <v>506</v>
      </c>
      <c r="W63" s="280"/>
    </row>
    <row r="64" spans="2:23" ht="15" thickBot="1">
      <c r="B64" s="291" t="s">
        <v>507</v>
      </c>
      <c r="C64" s="292" t="s">
        <v>508</v>
      </c>
      <c r="D64" s="287"/>
      <c r="E64" s="287"/>
      <c r="F64" s="287"/>
      <c r="G64" s="275" t="e">
        <f>G46+G50+G54+G58+G62+G63</f>
        <v>#DIV/0!</v>
      </c>
      <c r="H64" s="287" t="s">
        <v>458</v>
      </c>
      <c r="I64" s="289" t="s">
        <v>512</v>
      </c>
      <c r="J64" s="287"/>
      <c r="K64" s="287"/>
      <c r="L64" s="287"/>
      <c r="M64" s="287"/>
      <c r="N64" s="287"/>
      <c r="O64" s="287"/>
      <c r="P64" s="287"/>
      <c r="Q64" s="287"/>
      <c r="R64" s="287"/>
      <c r="S64" s="287"/>
      <c r="T64" s="287"/>
      <c r="U64" s="287"/>
      <c r="V64" s="287"/>
      <c r="W64" s="290"/>
    </row>
    <row r="65" spans="2:23" ht="15" thickBot="1">
      <c r="B65" s="452" t="s">
        <v>513</v>
      </c>
      <c r="C65" s="453"/>
      <c r="D65" s="453"/>
      <c r="E65" s="453"/>
      <c r="F65" s="453"/>
      <c r="G65" s="453"/>
      <c r="H65" s="453"/>
      <c r="I65" s="453"/>
      <c r="J65" s="453"/>
      <c r="K65" s="453"/>
      <c r="L65" s="453"/>
      <c r="M65" s="453"/>
      <c r="N65" s="453"/>
      <c r="O65" s="453"/>
      <c r="P65" s="453"/>
      <c r="Q65" s="453"/>
      <c r="R65" s="453"/>
      <c r="S65" s="453"/>
      <c r="T65" s="453"/>
      <c r="U65" s="453"/>
      <c r="V65" s="453"/>
      <c r="W65" s="454"/>
    </row>
    <row r="66" spans="2:23" ht="15" thickBot="1">
      <c r="B66" s="457" t="s">
        <v>514</v>
      </c>
      <c r="C66" s="456"/>
      <c r="D66" s="138" t="s">
        <v>515</v>
      </c>
      <c r="G66" s="401" t="e">
        <f>((0.29*'数量（ルート2）'!K33)+(0.365*'数量（ルート2）'!K38)+(3.19*'数量（ルート2）'!K38))/'数量（ルート2）'!K38</f>
        <v>#DIV/0!</v>
      </c>
      <c r="H66" t="s">
        <v>516</v>
      </c>
      <c r="I66" s="285" t="s">
        <v>517</v>
      </c>
      <c r="W66" s="280"/>
    </row>
    <row r="67" spans="2:23" ht="15" thickBot="1">
      <c r="B67" s="457"/>
      <c r="C67" s="456"/>
      <c r="D67" s="138" t="s">
        <v>518</v>
      </c>
      <c r="G67" s="274">
        <v>-5.53</v>
      </c>
      <c r="H67" t="s">
        <v>516</v>
      </c>
      <c r="I67" s="285" t="s">
        <v>519</v>
      </c>
      <c r="W67" s="280"/>
    </row>
    <row r="68" spans="2:23" ht="15" thickBot="1">
      <c r="B68" s="398"/>
      <c r="C68" s="399"/>
      <c r="D68" s="138" t="s">
        <v>520</v>
      </c>
      <c r="G68" s="401" t="e">
        <f>((0.29*'数量（ルート2）'!N33)+(0.365*'数量（ルート2）'!N38)+(3.19*'数量（ルート2）'!N38))/'数量（ルート2）'!N38</f>
        <v>#DIV/0!</v>
      </c>
      <c r="H68" t="s">
        <v>516</v>
      </c>
      <c r="I68" s="285" t="s">
        <v>521</v>
      </c>
      <c r="W68" s="280"/>
    </row>
    <row r="69" spans="2:23" ht="15" thickBot="1">
      <c r="B69" s="398"/>
      <c r="C69" s="399"/>
      <c r="D69" s="138" t="s">
        <v>522</v>
      </c>
      <c r="G69" s="274">
        <v>-5.53</v>
      </c>
      <c r="H69" t="s">
        <v>516</v>
      </c>
      <c r="I69" s="285" t="s">
        <v>523</v>
      </c>
      <c r="W69" s="280"/>
    </row>
    <row r="70" spans="2:23" ht="15" thickBot="1">
      <c r="B70" s="299"/>
      <c r="D70" s="138"/>
      <c r="I70" s="285"/>
      <c r="W70" s="280"/>
    </row>
    <row r="71" spans="2:23" ht="15" thickBot="1">
      <c r="B71" s="455" t="s">
        <v>524</v>
      </c>
      <c r="C71" s="456"/>
      <c r="D71" s="138" t="s">
        <v>515</v>
      </c>
      <c r="G71" s="274" t="e">
        <f>(2.71*'数量（ルート2）'!K33)/'数量（ルート2）'!K38</f>
        <v>#DIV/0!</v>
      </c>
      <c r="H71" t="s">
        <v>516</v>
      </c>
      <c r="I71" s="285" t="s">
        <v>517</v>
      </c>
      <c r="W71" s="280"/>
    </row>
    <row r="72" spans="2:23" ht="15" thickBot="1">
      <c r="B72" s="457"/>
      <c r="C72" s="456"/>
      <c r="D72" s="138" t="s">
        <v>518</v>
      </c>
      <c r="G72" s="274">
        <v>-1.37</v>
      </c>
      <c r="H72" t="s">
        <v>516</v>
      </c>
      <c r="I72" s="285" t="s">
        <v>519</v>
      </c>
      <c r="W72" s="280"/>
    </row>
    <row r="73" spans="2:23" ht="15" thickBot="1">
      <c r="B73" s="398"/>
      <c r="C73" s="399"/>
      <c r="D73" s="138" t="s">
        <v>520</v>
      </c>
      <c r="G73" s="274" t="e">
        <f>(2.71*'数量（ルート2）'!N33)/'数量（ルート2）'!N38</f>
        <v>#DIV/0!</v>
      </c>
      <c r="H73" t="s">
        <v>516</v>
      </c>
      <c r="I73" s="285" t="s">
        <v>521</v>
      </c>
      <c r="W73" s="280"/>
    </row>
    <row r="74" spans="2:23" ht="15" thickBot="1">
      <c r="B74" s="398"/>
      <c r="C74" s="399"/>
      <c r="D74" s="138" t="s">
        <v>522</v>
      </c>
      <c r="G74" s="274">
        <v>-1.37</v>
      </c>
      <c r="H74" t="s">
        <v>516</v>
      </c>
      <c r="I74" s="285" t="s">
        <v>523</v>
      </c>
      <c r="W74" s="280"/>
    </row>
    <row r="75" spans="2:23" ht="15" thickBot="1">
      <c r="B75" s="299"/>
      <c r="D75" s="138"/>
      <c r="I75" s="285"/>
      <c r="W75" s="280"/>
    </row>
    <row r="76" spans="2:23" ht="15" thickBot="1">
      <c r="B76" s="455" t="s">
        <v>525</v>
      </c>
      <c r="C76" s="456"/>
      <c r="D76" s="138" t="s">
        <v>515</v>
      </c>
      <c r="G76" s="274" t="e">
        <f>(4.91*'数量（ルート2）'!K33)/'数量（ルート2）'!K38</f>
        <v>#DIV/0!</v>
      </c>
      <c r="H76" t="s">
        <v>516</v>
      </c>
      <c r="I76" s="285" t="s">
        <v>517</v>
      </c>
      <c r="W76" s="280"/>
    </row>
    <row r="77" spans="2:23" ht="15" thickBot="1">
      <c r="B77" s="457"/>
      <c r="C77" s="456"/>
      <c r="D77" s="138" t="s">
        <v>518</v>
      </c>
      <c r="G77" s="274">
        <v>-4.3</v>
      </c>
      <c r="H77" t="s">
        <v>516</v>
      </c>
      <c r="I77" s="285" t="s">
        <v>519</v>
      </c>
      <c r="W77" s="280"/>
    </row>
    <row r="78" spans="2:23" ht="15" thickBot="1">
      <c r="B78" s="398"/>
      <c r="C78" s="399"/>
      <c r="D78" s="138" t="s">
        <v>520</v>
      </c>
      <c r="G78" s="274" t="e">
        <f>(4.91*'数量（ルート2）'!N33)/'数量（ルート2）'!N38</f>
        <v>#DIV/0!</v>
      </c>
      <c r="H78" t="s">
        <v>516</v>
      </c>
      <c r="I78" s="285" t="s">
        <v>521</v>
      </c>
      <c r="W78" s="280"/>
    </row>
    <row r="79" spans="2:23" ht="15" thickBot="1">
      <c r="B79" s="398"/>
      <c r="C79" s="399"/>
      <c r="D79" s="138" t="s">
        <v>522</v>
      </c>
      <c r="G79" s="274">
        <v>-4.3</v>
      </c>
      <c r="H79" t="s">
        <v>516</v>
      </c>
      <c r="I79" s="285" t="s">
        <v>523</v>
      </c>
      <c r="W79" s="280"/>
    </row>
    <row r="80" spans="2:23" ht="15" thickBot="1">
      <c r="B80" s="299"/>
      <c r="W80" s="280"/>
    </row>
    <row r="81" spans="2:23" ht="15" thickBot="1">
      <c r="B81" s="455" t="s">
        <v>526</v>
      </c>
      <c r="C81" s="456"/>
      <c r="D81" s="138" t="s">
        <v>515</v>
      </c>
      <c r="G81" s="274" t="e">
        <f>(119.91*'数量（ルート2）'!K33)/'数量（ルート2）'!K38</f>
        <v>#DIV/0!</v>
      </c>
      <c r="H81" t="s">
        <v>516</v>
      </c>
      <c r="I81" s="285" t="s">
        <v>517</v>
      </c>
      <c r="W81" s="280"/>
    </row>
    <row r="82" spans="2:23" ht="15" thickBot="1">
      <c r="B82" s="457"/>
      <c r="C82" s="456"/>
      <c r="D82" s="138" t="s">
        <v>518</v>
      </c>
      <c r="G82" s="274">
        <v>-120.22</v>
      </c>
      <c r="H82" t="s">
        <v>516</v>
      </c>
      <c r="I82" s="285" t="s">
        <v>519</v>
      </c>
      <c r="W82" s="280"/>
    </row>
    <row r="83" spans="2:23" ht="15" thickBot="1">
      <c r="B83" s="398"/>
      <c r="C83" s="399"/>
      <c r="D83" s="138" t="s">
        <v>520</v>
      </c>
      <c r="G83" s="403" t="e">
        <f>(119.91*'数量（ルート2）'!N33)/'数量（ルート2）'!N38</f>
        <v>#DIV/0!</v>
      </c>
      <c r="H83" t="s">
        <v>516</v>
      </c>
      <c r="I83" s="285" t="s">
        <v>521</v>
      </c>
      <c r="W83" s="280"/>
    </row>
    <row r="84" spans="2:23" ht="15" thickBot="1">
      <c r="B84" s="398"/>
      <c r="C84" s="399"/>
      <c r="D84" s="138" t="s">
        <v>522</v>
      </c>
      <c r="G84" s="274">
        <v>-120.22</v>
      </c>
      <c r="H84" t="s">
        <v>516</v>
      </c>
      <c r="I84" s="285" t="s">
        <v>523</v>
      </c>
      <c r="W84" s="280"/>
    </row>
    <row r="85" spans="2:23" ht="15" thickBot="1">
      <c r="B85" s="299"/>
      <c r="D85" s="138"/>
      <c r="I85" s="285"/>
      <c r="W85" s="280"/>
    </row>
    <row r="86" spans="2:23" ht="15" thickBot="1">
      <c r="B86" s="455" t="s">
        <v>527</v>
      </c>
      <c r="C86" s="456"/>
      <c r="D86" s="138" t="s">
        <v>515</v>
      </c>
      <c r="G86" s="274" t="e">
        <f>(3.53*'数量（ルート2）'!K33)/'数量（ルート2）'!K38</f>
        <v>#DIV/0!</v>
      </c>
      <c r="H86" t="s">
        <v>516</v>
      </c>
      <c r="I86" s="285" t="s">
        <v>517</v>
      </c>
      <c r="W86" s="280"/>
    </row>
    <row r="87" spans="2:23" ht="15" thickBot="1">
      <c r="B87" s="457"/>
      <c r="C87" s="456"/>
      <c r="D87" s="138" t="s">
        <v>518</v>
      </c>
      <c r="G87" s="274">
        <v>-3.55</v>
      </c>
      <c r="H87" t="s">
        <v>516</v>
      </c>
      <c r="I87" s="285" t="s">
        <v>519</v>
      </c>
      <c r="W87" s="280"/>
    </row>
    <row r="88" spans="2:23" ht="15" thickBot="1">
      <c r="B88" s="398"/>
      <c r="C88" s="399"/>
      <c r="D88" s="138" t="s">
        <v>520</v>
      </c>
      <c r="G88" s="402" t="e">
        <f>(3.53*'数量（ルート2）'!N33)/'数量（ルート2）'!N38</f>
        <v>#DIV/0!</v>
      </c>
      <c r="H88" t="s">
        <v>516</v>
      </c>
      <c r="I88" s="285" t="s">
        <v>521</v>
      </c>
      <c r="W88" s="280"/>
    </row>
    <row r="89" spans="2:23" ht="15" thickBot="1">
      <c r="B89" s="398"/>
      <c r="C89" s="399"/>
      <c r="D89" s="138" t="s">
        <v>522</v>
      </c>
      <c r="G89" s="274">
        <v>-3.55</v>
      </c>
      <c r="H89" t="s">
        <v>516</v>
      </c>
      <c r="I89" s="285" t="s">
        <v>523</v>
      </c>
      <c r="W89" s="280"/>
    </row>
    <row r="90" spans="2:23">
      <c r="B90" s="452" t="s">
        <v>528</v>
      </c>
      <c r="C90" s="453"/>
      <c r="D90" s="453"/>
      <c r="E90" s="453"/>
      <c r="F90" s="453"/>
      <c r="G90" s="453"/>
      <c r="H90" s="453"/>
      <c r="I90" s="453"/>
      <c r="J90" s="453"/>
      <c r="K90" s="453"/>
      <c r="L90" s="453"/>
      <c r="M90" s="453"/>
      <c r="N90" s="453"/>
      <c r="O90" s="453"/>
      <c r="P90" s="453"/>
      <c r="Q90" s="453"/>
      <c r="R90" s="453"/>
      <c r="S90" s="453"/>
      <c r="T90" s="453"/>
      <c r="U90" s="453"/>
      <c r="V90" s="453"/>
      <c r="W90" s="454"/>
    </row>
    <row r="91" spans="2:23">
      <c r="B91" s="281" t="s">
        <v>408</v>
      </c>
      <c r="C91" t="s">
        <v>529</v>
      </c>
      <c r="G91" s="282">
        <f>'数量（ルート2）'!K34</f>
        <v>0</v>
      </c>
      <c r="H91" t="s">
        <v>530</v>
      </c>
      <c r="I91" s="138" t="s">
        <v>603</v>
      </c>
      <c r="W91" s="280"/>
    </row>
    <row r="92" spans="2:23">
      <c r="B92" s="281" t="s">
        <v>434</v>
      </c>
      <c r="C92" t="s">
        <v>532</v>
      </c>
      <c r="G92" s="282">
        <f>'パラメータ（ルート2）'!H31</f>
        <v>0</v>
      </c>
      <c r="H92" t="s">
        <v>533</v>
      </c>
      <c r="I92" s="138" t="s">
        <v>604</v>
      </c>
      <c r="W92" s="280"/>
    </row>
    <row r="93" spans="2:23">
      <c r="B93" s="281" t="s">
        <v>437</v>
      </c>
      <c r="C93" t="s">
        <v>535</v>
      </c>
      <c r="G93" s="282">
        <f>'パラメータ（ルート2）'!H32</f>
        <v>0</v>
      </c>
      <c r="H93" t="s">
        <v>536</v>
      </c>
      <c r="I93" s="138" t="s">
        <v>605</v>
      </c>
      <c r="W93" s="280"/>
    </row>
    <row r="94" spans="2:23">
      <c r="B94" s="281" t="s">
        <v>452</v>
      </c>
      <c r="C94" t="s">
        <v>538</v>
      </c>
      <c r="G94" s="293">
        <f>'パラメータ（ルート2）'!H33</f>
        <v>4.1500000000000004</v>
      </c>
      <c r="H94" t="s">
        <v>322</v>
      </c>
      <c r="I94" s="138" t="s">
        <v>606</v>
      </c>
      <c r="W94" s="280"/>
    </row>
    <row r="95" spans="2:23">
      <c r="B95" s="281" t="s">
        <v>456</v>
      </c>
      <c r="C95" t="s">
        <v>540</v>
      </c>
      <c r="G95" s="388"/>
      <c r="H95" t="s">
        <v>541</v>
      </c>
      <c r="I95" s="301" t="s">
        <v>542</v>
      </c>
      <c r="W95" s="280"/>
    </row>
    <row r="96" spans="2:23">
      <c r="B96" s="281" t="s">
        <v>460</v>
      </c>
      <c r="C96" s="302" t="s">
        <v>543</v>
      </c>
      <c r="D96" s="303"/>
      <c r="E96" s="303"/>
      <c r="F96" s="303"/>
      <c r="G96" s="389" t="e">
        <f>((G91/G92)*G93/G94)*G95</f>
        <v>#DIV/0!</v>
      </c>
      <c r="H96" s="303" t="s">
        <v>544</v>
      </c>
      <c r="W96" s="280"/>
    </row>
    <row r="97" spans="2:23">
      <c r="B97" s="281" t="s">
        <v>462</v>
      </c>
      <c r="C97" t="s">
        <v>545</v>
      </c>
      <c r="G97">
        <v>1</v>
      </c>
      <c r="H97" t="s">
        <v>546</v>
      </c>
      <c r="I97" s="301" t="s">
        <v>542</v>
      </c>
      <c r="W97" s="280"/>
    </row>
    <row r="98" spans="2:23">
      <c r="B98" s="281" t="s">
        <v>465</v>
      </c>
      <c r="C98" t="s">
        <v>547</v>
      </c>
      <c r="G98" s="390" t="e">
        <f>G91/G92</f>
        <v>#DIV/0!</v>
      </c>
      <c r="H98" t="s">
        <v>548</v>
      </c>
      <c r="I98" s="391" t="s">
        <v>549</v>
      </c>
      <c r="W98" s="280"/>
    </row>
    <row r="99" spans="2:23">
      <c r="B99" s="281" t="s">
        <v>468</v>
      </c>
      <c r="C99" t="s">
        <v>550</v>
      </c>
      <c r="G99" s="305"/>
      <c r="H99" t="s">
        <v>551</v>
      </c>
      <c r="I99" s="301" t="s">
        <v>542</v>
      </c>
      <c r="W99" s="280"/>
    </row>
    <row r="100" spans="2:23">
      <c r="B100" s="281" t="s">
        <v>471</v>
      </c>
      <c r="C100" t="s">
        <v>552</v>
      </c>
      <c r="G100" s="390">
        <v>12606</v>
      </c>
      <c r="H100" t="s">
        <v>553</v>
      </c>
      <c r="I100" s="307" t="s">
        <v>554</v>
      </c>
      <c r="W100" s="280"/>
    </row>
    <row r="101" spans="2:23" ht="15" thickBot="1">
      <c r="B101" s="281" t="s">
        <v>473</v>
      </c>
      <c r="C101" s="303" t="s">
        <v>555</v>
      </c>
      <c r="D101" s="303"/>
      <c r="E101" s="303"/>
      <c r="F101" s="303"/>
      <c r="G101" s="389" t="e">
        <f>G97*G98*G99*G100</f>
        <v>#DIV/0!</v>
      </c>
      <c r="H101" s="303" t="s">
        <v>544</v>
      </c>
      <c r="W101" s="280"/>
    </row>
    <row r="102" spans="2:23" ht="15" thickBot="1">
      <c r="B102" s="291" t="s">
        <v>476</v>
      </c>
      <c r="C102" s="292" t="s">
        <v>90</v>
      </c>
      <c r="D102" s="287"/>
      <c r="E102" s="287"/>
      <c r="F102" s="287"/>
      <c r="G102" s="275" t="e">
        <f>G96+G101</f>
        <v>#DIV/0!</v>
      </c>
      <c r="H102" s="306" t="s">
        <v>556</v>
      </c>
      <c r="I102" s="289" t="s">
        <v>557</v>
      </c>
      <c r="J102" s="287"/>
      <c r="K102" s="287"/>
      <c r="L102" s="287"/>
      <c r="M102" s="287"/>
      <c r="N102" s="287"/>
      <c r="O102" s="287"/>
      <c r="P102" s="287"/>
      <c r="Q102" s="287"/>
      <c r="R102" s="287"/>
      <c r="S102" s="287"/>
      <c r="T102" s="287"/>
      <c r="U102" s="287"/>
      <c r="V102" s="287"/>
      <c r="W102" s="290"/>
    </row>
    <row r="103" spans="2:23">
      <c r="B103" s="452" t="s">
        <v>558</v>
      </c>
      <c r="C103" s="453"/>
      <c r="D103" s="453"/>
      <c r="E103" s="453"/>
      <c r="F103" s="453"/>
      <c r="G103" s="453"/>
      <c r="H103" s="453"/>
      <c r="I103" s="453"/>
      <c r="J103" s="453"/>
      <c r="K103" s="453"/>
      <c r="L103" s="453"/>
      <c r="M103" s="453"/>
      <c r="N103" s="453"/>
      <c r="O103" s="453"/>
      <c r="P103" s="453"/>
      <c r="Q103" s="453"/>
      <c r="R103" s="453"/>
      <c r="S103" s="453"/>
      <c r="T103" s="453"/>
      <c r="U103" s="453"/>
      <c r="V103" s="453"/>
      <c r="W103" s="454"/>
    </row>
    <row r="104" spans="2:23">
      <c r="B104" s="281" t="s">
        <v>408</v>
      </c>
      <c r="C104" t="s">
        <v>529</v>
      </c>
      <c r="G104" s="282" t="e">
        <f>'数量（ルート2）'!N34</f>
        <v>#DIV/0!</v>
      </c>
      <c r="H104" t="s">
        <v>530</v>
      </c>
      <c r="I104" s="138" t="s">
        <v>607</v>
      </c>
      <c r="W104" s="280"/>
    </row>
    <row r="105" spans="2:23">
      <c r="B105" s="281" t="s">
        <v>434</v>
      </c>
      <c r="C105" t="s">
        <v>532</v>
      </c>
      <c r="G105" s="282">
        <f>'パラメータ（ルート2）'!H31</f>
        <v>0</v>
      </c>
      <c r="H105" t="s">
        <v>533</v>
      </c>
      <c r="I105" s="138" t="s">
        <v>604</v>
      </c>
      <c r="W105" s="280"/>
    </row>
    <row r="106" spans="2:23">
      <c r="B106" s="281" t="s">
        <v>437</v>
      </c>
      <c r="C106" t="s">
        <v>535</v>
      </c>
      <c r="G106" s="282">
        <f>'パラメータ（ルート2）'!H32</f>
        <v>0</v>
      </c>
      <c r="H106" t="s">
        <v>536</v>
      </c>
      <c r="I106" s="138" t="s">
        <v>605</v>
      </c>
      <c r="W106" s="280"/>
    </row>
    <row r="107" spans="2:23">
      <c r="B107" s="281" t="s">
        <v>452</v>
      </c>
      <c r="C107" t="s">
        <v>538</v>
      </c>
      <c r="G107" s="293">
        <f>'パラメータ（ルート2）'!H33</f>
        <v>4.1500000000000004</v>
      </c>
      <c r="H107" t="s">
        <v>322</v>
      </c>
      <c r="I107" s="138" t="s">
        <v>606</v>
      </c>
      <c r="W107" s="280"/>
    </row>
    <row r="108" spans="2:23">
      <c r="B108" s="281" t="s">
        <v>456</v>
      </c>
      <c r="C108" t="s">
        <v>540</v>
      </c>
      <c r="G108" s="388"/>
      <c r="H108" t="s">
        <v>541</v>
      </c>
      <c r="I108" s="301" t="s">
        <v>542</v>
      </c>
      <c r="W108" s="280"/>
    </row>
    <row r="109" spans="2:23">
      <c r="B109" s="281" t="s">
        <v>460</v>
      </c>
      <c r="C109" s="302" t="s">
        <v>543</v>
      </c>
      <c r="D109" s="303"/>
      <c r="E109" s="303"/>
      <c r="F109" s="303"/>
      <c r="G109" s="389" t="e">
        <f>((G104/G105)*G106/G107)*G108</f>
        <v>#DIV/0!</v>
      </c>
      <c r="H109" s="303" t="s">
        <v>544</v>
      </c>
      <c r="W109" s="280"/>
    </row>
    <row r="110" spans="2:23">
      <c r="B110" s="281" t="s">
        <v>462</v>
      </c>
      <c r="C110" t="s">
        <v>545</v>
      </c>
      <c r="G110">
        <v>1</v>
      </c>
      <c r="H110" t="s">
        <v>546</v>
      </c>
      <c r="I110" s="301" t="s">
        <v>542</v>
      </c>
      <c r="W110" s="280"/>
    </row>
    <row r="111" spans="2:23">
      <c r="B111" s="281" t="s">
        <v>465</v>
      </c>
      <c r="C111" t="s">
        <v>547</v>
      </c>
      <c r="G111" s="390" t="e">
        <f>G104/G105</f>
        <v>#DIV/0!</v>
      </c>
      <c r="H111" t="s">
        <v>548</v>
      </c>
      <c r="I111" s="391" t="s">
        <v>549</v>
      </c>
      <c r="W111" s="280"/>
    </row>
    <row r="112" spans="2:23">
      <c r="B112" s="281" t="s">
        <v>468</v>
      </c>
      <c r="C112" t="s">
        <v>550</v>
      </c>
      <c r="G112" s="305"/>
      <c r="H112" t="s">
        <v>551</v>
      </c>
      <c r="I112" s="301" t="s">
        <v>542</v>
      </c>
      <c r="W112" s="280"/>
    </row>
    <row r="113" spans="2:23">
      <c r="B113" s="281" t="s">
        <v>471</v>
      </c>
      <c r="C113" t="s">
        <v>552</v>
      </c>
      <c r="G113" s="390">
        <v>12606</v>
      </c>
      <c r="H113" t="s">
        <v>553</v>
      </c>
      <c r="I113" s="307" t="s">
        <v>560</v>
      </c>
      <c r="W113" s="280"/>
    </row>
    <row r="114" spans="2:23" ht="15" thickBot="1">
      <c r="B114" s="281" t="s">
        <v>473</v>
      </c>
      <c r="C114" s="303" t="s">
        <v>555</v>
      </c>
      <c r="D114" s="303"/>
      <c r="E114" s="303"/>
      <c r="F114" s="303"/>
      <c r="G114" s="389" t="e">
        <f>G110*G111*G112*G113</f>
        <v>#DIV/0!</v>
      </c>
      <c r="H114" s="303" t="s">
        <v>544</v>
      </c>
      <c r="W114" s="280"/>
    </row>
    <row r="115" spans="2:23" ht="15" thickBot="1">
      <c r="B115" s="291" t="s">
        <v>476</v>
      </c>
      <c r="C115" s="292" t="s">
        <v>90</v>
      </c>
      <c r="D115" s="287"/>
      <c r="E115" s="287"/>
      <c r="F115" s="287"/>
      <c r="G115" s="275" t="e">
        <f>G109+G114</f>
        <v>#DIV/0!</v>
      </c>
      <c r="H115" s="306" t="s">
        <v>556</v>
      </c>
      <c r="I115" s="289" t="s">
        <v>561</v>
      </c>
      <c r="J115" s="287"/>
      <c r="K115" s="287"/>
      <c r="L115" s="287"/>
      <c r="M115" s="287"/>
      <c r="N115" s="287"/>
      <c r="O115" s="287"/>
      <c r="P115" s="287"/>
      <c r="Q115" s="287"/>
      <c r="R115" s="287"/>
      <c r="S115" s="287"/>
      <c r="T115" s="287"/>
      <c r="U115" s="287"/>
      <c r="V115" s="287"/>
      <c r="W115" s="290"/>
    </row>
    <row r="116" spans="2:23" ht="15" thickBot="1">
      <c r="B116" s="452" t="s">
        <v>562</v>
      </c>
      <c r="C116" s="453"/>
      <c r="D116" s="453"/>
      <c r="E116" s="453"/>
      <c r="F116" s="453"/>
      <c r="G116" s="453"/>
      <c r="H116" s="453"/>
      <c r="I116" s="453"/>
      <c r="J116" s="453"/>
      <c r="K116" s="453"/>
      <c r="L116" s="453"/>
      <c r="M116" s="453"/>
      <c r="N116" s="453"/>
      <c r="O116" s="453"/>
      <c r="P116" s="453"/>
      <c r="Q116" s="453"/>
      <c r="R116" s="453"/>
      <c r="S116" s="453"/>
      <c r="T116" s="453"/>
      <c r="U116" s="453"/>
      <c r="V116" s="453"/>
      <c r="W116" s="454"/>
    </row>
    <row r="117" spans="2:23" ht="15" thickBot="1">
      <c r="B117" s="281" t="s">
        <v>408</v>
      </c>
      <c r="C117" s="138" t="s">
        <v>514</v>
      </c>
      <c r="G117" s="392">
        <v>67779</v>
      </c>
      <c r="H117" s="138" t="s">
        <v>563</v>
      </c>
      <c r="I117" s="393" t="s">
        <v>564</v>
      </c>
      <c r="W117" s="280"/>
    </row>
    <row r="118" spans="2:23" ht="15" thickBot="1">
      <c r="B118" s="281" t="s">
        <v>434</v>
      </c>
      <c r="C118" s="138" t="s">
        <v>565</v>
      </c>
      <c r="G118" s="392">
        <v>58205</v>
      </c>
      <c r="H118" s="138" t="s">
        <v>563</v>
      </c>
      <c r="I118" s="393" t="s">
        <v>566</v>
      </c>
      <c r="W118" s="280"/>
    </row>
    <row r="119" spans="2:23" ht="15" thickBot="1">
      <c r="B119" s="281" t="s">
        <v>437</v>
      </c>
      <c r="C119" s="138" t="s">
        <v>567</v>
      </c>
      <c r="G119" s="392">
        <v>54779</v>
      </c>
      <c r="H119" s="138" t="s">
        <v>563</v>
      </c>
      <c r="I119" s="393" t="s">
        <v>568</v>
      </c>
      <c r="W119" s="280"/>
    </row>
    <row r="120" spans="2:23" ht="15" thickBot="1">
      <c r="B120" s="291" t="s">
        <v>452</v>
      </c>
      <c r="C120" s="292" t="s">
        <v>569</v>
      </c>
      <c r="D120" s="287"/>
      <c r="E120" s="287"/>
      <c r="F120" s="287"/>
      <c r="G120" s="392">
        <v>62943</v>
      </c>
      <c r="H120" s="292" t="s">
        <v>563</v>
      </c>
      <c r="I120" s="394" t="s">
        <v>570</v>
      </c>
      <c r="J120" s="287"/>
      <c r="K120" s="287"/>
      <c r="L120" s="287"/>
      <c r="M120" s="287"/>
      <c r="N120" s="287"/>
      <c r="O120" s="287"/>
      <c r="P120" s="287"/>
      <c r="Q120" s="287"/>
      <c r="R120" s="287"/>
      <c r="S120" s="287"/>
      <c r="T120" s="287"/>
      <c r="U120" s="287"/>
      <c r="V120" s="287"/>
      <c r="W120" s="290"/>
    </row>
    <row r="121" spans="2:23" ht="15" thickBot="1">
      <c r="B121" s="452" t="s">
        <v>571</v>
      </c>
      <c r="C121" s="453"/>
      <c r="D121" s="453"/>
      <c r="E121" s="453"/>
      <c r="F121" s="453"/>
      <c r="G121" s="453"/>
      <c r="H121" s="453"/>
      <c r="I121" s="453"/>
      <c r="J121" s="453"/>
      <c r="K121" s="453"/>
      <c r="L121" s="453"/>
      <c r="M121" s="453"/>
      <c r="N121" s="453"/>
      <c r="O121" s="453"/>
      <c r="P121" s="453"/>
      <c r="Q121" s="453"/>
      <c r="R121" s="453"/>
      <c r="S121" s="453"/>
      <c r="T121" s="453"/>
      <c r="U121" s="453"/>
      <c r="V121" s="453"/>
      <c r="W121" s="454"/>
    </row>
    <row r="122" spans="2:23" ht="15" thickBot="1">
      <c r="B122" s="281" t="s">
        <v>408</v>
      </c>
      <c r="C122" s="138" t="s">
        <v>514</v>
      </c>
      <c r="G122" s="392">
        <v>67779</v>
      </c>
      <c r="H122" s="138" t="s">
        <v>563</v>
      </c>
      <c r="I122" s="393" t="s">
        <v>572</v>
      </c>
      <c r="W122" s="280"/>
    </row>
    <row r="123" spans="2:23" ht="15" thickBot="1">
      <c r="B123" s="281" t="s">
        <v>434</v>
      </c>
      <c r="C123" s="138" t="s">
        <v>565</v>
      </c>
      <c r="G123" s="392">
        <v>58205</v>
      </c>
      <c r="H123" s="138" t="s">
        <v>563</v>
      </c>
      <c r="I123" s="393" t="s">
        <v>573</v>
      </c>
      <c r="W123" s="280"/>
    </row>
    <row r="124" spans="2:23" ht="15" thickBot="1">
      <c r="B124" s="281" t="s">
        <v>437</v>
      </c>
      <c r="C124" s="138" t="s">
        <v>567</v>
      </c>
      <c r="G124" s="392">
        <v>54779</v>
      </c>
      <c r="H124" s="138" t="s">
        <v>563</v>
      </c>
      <c r="I124" s="393" t="s">
        <v>574</v>
      </c>
      <c r="W124" s="280"/>
    </row>
    <row r="125" spans="2:23" ht="15" thickBot="1">
      <c r="B125" s="291" t="s">
        <v>452</v>
      </c>
      <c r="C125" s="292" t="s">
        <v>569</v>
      </c>
      <c r="D125" s="287"/>
      <c r="E125" s="287"/>
      <c r="F125" s="287"/>
      <c r="G125" s="392">
        <v>62943</v>
      </c>
      <c r="H125" s="292" t="s">
        <v>563</v>
      </c>
      <c r="I125" s="394" t="s">
        <v>575</v>
      </c>
      <c r="J125" s="287"/>
      <c r="K125" s="287"/>
      <c r="L125" s="287"/>
      <c r="M125" s="287"/>
      <c r="N125" s="287"/>
      <c r="O125" s="287"/>
      <c r="P125" s="287"/>
      <c r="Q125" s="287"/>
      <c r="R125" s="287"/>
      <c r="S125" s="287"/>
      <c r="T125" s="287"/>
      <c r="U125" s="287"/>
      <c r="V125" s="287"/>
      <c r="W125" s="290"/>
    </row>
    <row r="126" spans="2:23" ht="15" thickBot="1">
      <c r="B126" s="452" t="s">
        <v>576</v>
      </c>
      <c r="C126" s="453"/>
      <c r="D126" s="453"/>
      <c r="E126" s="453"/>
      <c r="F126" s="453"/>
      <c r="G126" s="453"/>
      <c r="H126" s="453"/>
      <c r="I126" s="453"/>
      <c r="J126" s="453"/>
      <c r="K126" s="453"/>
      <c r="L126" s="453"/>
      <c r="M126" s="453"/>
      <c r="N126" s="453"/>
      <c r="O126" s="453"/>
      <c r="P126" s="453"/>
      <c r="Q126" s="453"/>
      <c r="R126" s="453"/>
      <c r="S126" s="453"/>
      <c r="T126" s="453"/>
      <c r="U126" s="453"/>
      <c r="V126" s="453"/>
      <c r="W126" s="454"/>
    </row>
    <row r="127" spans="2:23" ht="15" thickBot="1">
      <c r="B127" s="281" t="s">
        <v>408</v>
      </c>
      <c r="C127" s="138" t="s">
        <v>514</v>
      </c>
      <c r="G127" s="392">
        <v>67779</v>
      </c>
      <c r="H127" s="138" t="s">
        <v>563</v>
      </c>
      <c r="I127" s="393" t="s">
        <v>577</v>
      </c>
      <c r="W127" s="280"/>
    </row>
    <row r="128" spans="2:23" ht="15" thickBot="1">
      <c r="B128" s="281" t="s">
        <v>434</v>
      </c>
      <c r="C128" s="138" t="s">
        <v>565</v>
      </c>
      <c r="G128" s="392">
        <v>58205</v>
      </c>
      <c r="H128" s="138" t="s">
        <v>563</v>
      </c>
      <c r="I128" s="393" t="s">
        <v>578</v>
      </c>
      <c r="W128" s="280"/>
    </row>
    <row r="129" spans="2:23" ht="15" thickBot="1">
      <c r="B129" s="281" t="s">
        <v>437</v>
      </c>
      <c r="C129" s="138" t="s">
        <v>567</v>
      </c>
      <c r="G129" s="392">
        <v>54779</v>
      </c>
      <c r="H129" s="138" t="s">
        <v>563</v>
      </c>
      <c r="I129" s="393" t="s">
        <v>579</v>
      </c>
      <c r="W129" s="280"/>
    </row>
    <row r="130" spans="2:23" ht="15" thickBot="1">
      <c r="B130" s="291" t="s">
        <v>452</v>
      </c>
      <c r="C130" s="292" t="s">
        <v>569</v>
      </c>
      <c r="D130" s="287"/>
      <c r="E130" s="287"/>
      <c r="F130" s="287"/>
      <c r="G130" s="392">
        <v>62943</v>
      </c>
      <c r="H130" s="292" t="s">
        <v>563</v>
      </c>
      <c r="I130" s="394" t="s">
        <v>580</v>
      </c>
      <c r="J130" s="287"/>
      <c r="K130" s="287"/>
      <c r="L130" s="287"/>
      <c r="M130" s="287"/>
      <c r="N130" s="287"/>
      <c r="O130" s="287"/>
      <c r="P130" s="287"/>
      <c r="Q130" s="287"/>
      <c r="R130" s="287"/>
      <c r="S130" s="287"/>
      <c r="T130" s="287"/>
      <c r="U130" s="287"/>
      <c r="V130" s="287"/>
      <c r="W130" s="290"/>
    </row>
    <row r="131" spans="2:23">
      <c r="B131" s="452" t="s">
        <v>581</v>
      </c>
      <c r="C131" s="453"/>
      <c r="D131" s="453"/>
      <c r="E131" s="453"/>
      <c r="F131" s="453"/>
      <c r="G131" s="453"/>
      <c r="H131" s="453"/>
      <c r="I131" s="453"/>
      <c r="J131" s="453"/>
      <c r="K131" s="453"/>
      <c r="L131" s="453"/>
      <c r="M131" s="453"/>
      <c r="N131" s="453"/>
      <c r="O131" s="453"/>
      <c r="P131" s="453"/>
      <c r="Q131" s="453"/>
      <c r="R131" s="453"/>
      <c r="S131" s="453"/>
      <c r="T131" s="453"/>
      <c r="U131" s="453"/>
      <c r="V131" s="453"/>
      <c r="W131" s="454"/>
    </row>
    <row r="132" spans="2:23">
      <c r="B132" s="281" t="s">
        <v>408</v>
      </c>
      <c r="C132" t="s">
        <v>529</v>
      </c>
      <c r="G132" s="282">
        <f>'数量（ルート2）'!J43</f>
        <v>0</v>
      </c>
      <c r="H132" t="s">
        <v>530</v>
      </c>
      <c r="I132" s="138" t="s">
        <v>608</v>
      </c>
      <c r="W132" s="280"/>
    </row>
    <row r="133" spans="2:23">
      <c r="B133" s="281" t="s">
        <v>434</v>
      </c>
      <c r="C133" t="s">
        <v>532</v>
      </c>
      <c r="G133" s="282">
        <f>'パラメータ（ルート2）'!H50</f>
        <v>0</v>
      </c>
      <c r="H133" t="s">
        <v>533</v>
      </c>
      <c r="I133" s="138" t="s">
        <v>609</v>
      </c>
      <c r="W133" s="280"/>
    </row>
    <row r="134" spans="2:23">
      <c r="B134" s="281" t="s">
        <v>437</v>
      </c>
      <c r="C134" t="s">
        <v>535</v>
      </c>
      <c r="G134" s="282">
        <f>'パラメータ（ルート2）'!H51</f>
        <v>0</v>
      </c>
      <c r="H134" t="s">
        <v>536</v>
      </c>
      <c r="I134" s="138" t="s">
        <v>610</v>
      </c>
      <c r="W134" s="280"/>
    </row>
    <row r="135" spans="2:23">
      <c r="B135" s="281" t="s">
        <v>452</v>
      </c>
      <c r="C135" t="s">
        <v>538</v>
      </c>
      <c r="G135" s="293">
        <f>'パラメータ（ルート2）'!H56</f>
        <v>4.1500000000000004</v>
      </c>
      <c r="H135" t="s">
        <v>322</v>
      </c>
      <c r="I135" s="138" t="s">
        <v>611</v>
      </c>
      <c r="W135" s="280"/>
    </row>
    <row r="136" spans="2:23">
      <c r="B136" s="281" t="s">
        <v>456</v>
      </c>
      <c r="C136" t="s">
        <v>540</v>
      </c>
      <c r="G136" s="388"/>
      <c r="H136" t="s">
        <v>541</v>
      </c>
      <c r="I136" s="301" t="s">
        <v>542</v>
      </c>
      <c r="W136" s="280"/>
    </row>
    <row r="137" spans="2:23">
      <c r="B137" s="281" t="s">
        <v>460</v>
      </c>
      <c r="C137" s="302" t="s">
        <v>543</v>
      </c>
      <c r="D137" s="303"/>
      <c r="E137" s="303"/>
      <c r="F137" s="303"/>
      <c r="G137" s="389" t="e">
        <f>((G132/G133)*G134/G135)*G136</f>
        <v>#DIV/0!</v>
      </c>
      <c r="H137" s="303" t="s">
        <v>544</v>
      </c>
      <c r="W137" s="280"/>
    </row>
    <row r="138" spans="2:23">
      <c r="B138" s="281" t="s">
        <v>462</v>
      </c>
      <c r="C138" t="s">
        <v>545</v>
      </c>
      <c r="G138">
        <v>1</v>
      </c>
      <c r="H138" t="s">
        <v>546</v>
      </c>
      <c r="I138" s="301" t="s">
        <v>542</v>
      </c>
      <c r="W138" s="280"/>
    </row>
    <row r="139" spans="2:23">
      <c r="B139" s="281" t="s">
        <v>465</v>
      </c>
      <c r="C139" t="s">
        <v>547</v>
      </c>
      <c r="G139" s="390" t="e">
        <f>G132/G133</f>
        <v>#DIV/0!</v>
      </c>
      <c r="H139" t="s">
        <v>548</v>
      </c>
      <c r="I139" s="391" t="s">
        <v>549</v>
      </c>
      <c r="W139" s="280"/>
    </row>
    <row r="140" spans="2:23">
      <c r="B140" s="281" t="s">
        <v>468</v>
      </c>
      <c r="C140" t="s">
        <v>550</v>
      </c>
      <c r="G140" s="305"/>
      <c r="H140" t="s">
        <v>551</v>
      </c>
      <c r="I140" s="301" t="s">
        <v>542</v>
      </c>
      <c r="W140" s="280"/>
    </row>
    <row r="141" spans="2:23">
      <c r="B141" s="281" t="s">
        <v>471</v>
      </c>
      <c r="C141" t="s">
        <v>552</v>
      </c>
      <c r="G141" s="390">
        <v>12606</v>
      </c>
      <c r="H141" t="s">
        <v>553</v>
      </c>
      <c r="I141" s="307" t="s">
        <v>554</v>
      </c>
      <c r="W141" s="280"/>
    </row>
    <row r="142" spans="2:23" ht="15" thickBot="1">
      <c r="B142" s="281" t="s">
        <v>473</v>
      </c>
      <c r="C142" s="303" t="s">
        <v>555</v>
      </c>
      <c r="D142" s="303"/>
      <c r="E142" s="303"/>
      <c r="F142" s="303"/>
      <c r="G142" s="389" t="e">
        <f>G138*G139*G140*G141</f>
        <v>#DIV/0!</v>
      </c>
      <c r="H142" s="303" t="s">
        <v>544</v>
      </c>
      <c r="W142" s="280"/>
    </row>
    <row r="143" spans="2:23" ht="15" thickBot="1">
      <c r="B143" s="291" t="s">
        <v>476</v>
      </c>
      <c r="C143" s="292" t="s">
        <v>90</v>
      </c>
      <c r="D143" s="287"/>
      <c r="E143" s="287"/>
      <c r="F143" s="287"/>
      <c r="G143" s="275" t="e">
        <f>G137+G142</f>
        <v>#DIV/0!</v>
      </c>
      <c r="H143" s="306" t="s">
        <v>556</v>
      </c>
      <c r="I143" s="289" t="s">
        <v>586</v>
      </c>
      <c r="J143" s="287"/>
      <c r="K143" s="287"/>
      <c r="L143" s="287"/>
      <c r="M143" s="287"/>
      <c r="N143" s="287"/>
      <c r="O143" s="287"/>
      <c r="P143" s="287"/>
      <c r="Q143" s="287"/>
      <c r="R143" s="287"/>
      <c r="S143" s="287"/>
      <c r="T143" s="287"/>
      <c r="U143" s="287"/>
      <c r="V143" s="287"/>
      <c r="W143" s="290"/>
    </row>
    <row r="144" spans="2:23">
      <c r="B144" s="452" t="s">
        <v>587</v>
      </c>
      <c r="C144" s="453"/>
      <c r="D144" s="453"/>
      <c r="E144" s="453"/>
      <c r="F144" s="453"/>
      <c r="G144" s="453"/>
      <c r="H144" s="453"/>
      <c r="I144" s="453"/>
      <c r="J144" s="453"/>
      <c r="K144" s="453"/>
      <c r="L144" s="453"/>
      <c r="M144" s="453"/>
      <c r="N144" s="453"/>
      <c r="O144" s="453"/>
      <c r="P144" s="453"/>
      <c r="Q144" s="453"/>
      <c r="R144" s="453"/>
      <c r="S144" s="453"/>
      <c r="T144" s="453"/>
      <c r="U144" s="453"/>
      <c r="V144" s="453"/>
      <c r="W144" s="454"/>
    </row>
    <row r="145" spans="2:23">
      <c r="B145" s="281" t="s">
        <v>408</v>
      </c>
      <c r="C145" t="s">
        <v>529</v>
      </c>
      <c r="G145" s="282">
        <f>'数量（ルート2）'!K43</f>
        <v>0</v>
      </c>
      <c r="H145" t="s">
        <v>530</v>
      </c>
      <c r="I145" s="138" t="s">
        <v>612</v>
      </c>
      <c r="W145" s="280"/>
    </row>
    <row r="146" spans="2:23">
      <c r="B146" s="281" t="s">
        <v>434</v>
      </c>
      <c r="C146" t="s">
        <v>532</v>
      </c>
      <c r="G146" s="282">
        <f>'パラメータ（ルート2）'!H50</f>
        <v>0</v>
      </c>
      <c r="H146" t="s">
        <v>533</v>
      </c>
      <c r="I146" s="138" t="s">
        <v>609</v>
      </c>
      <c r="W146" s="280"/>
    </row>
    <row r="147" spans="2:23">
      <c r="B147" s="281" t="s">
        <v>437</v>
      </c>
      <c r="C147" t="s">
        <v>535</v>
      </c>
      <c r="G147" s="282">
        <f>'パラメータ（ルート2）'!H51</f>
        <v>0</v>
      </c>
      <c r="H147" t="s">
        <v>536</v>
      </c>
      <c r="I147" s="138" t="s">
        <v>610</v>
      </c>
      <c r="W147" s="280"/>
    </row>
    <row r="148" spans="2:23">
      <c r="B148" s="281" t="s">
        <v>452</v>
      </c>
      <c r="C148" t="s">
        <v>538</v>
      </c>
      <c r="G148" s="293">
        <f>'パラメータ（ルート2）'!H56</f>
        <v>4.1500000000000004</v>
      </c>
      <c r="H148" t="s">
        <v>322</v>
      </c>
      <c r="I148" s="138" t="s">
        <v>611</v>
      </c>
      <c r="W148" s="280"/>
    </row>
    <row r="149" spans="2:23">
      <c r="B149" s="281" t="s">
        <v>456</v>
      </c>
      <c r="C149" t="s">
        <v>540</v>
      </c>
      <c r="G149" s="388"/>
      <c r="H149" t="s">
        <v>541</v>
      </c>
      <c r="I149" s="301" t="s">
        <v>542</v>
      </c>
      <c r="W149" s="280"/>
    </row>
    <row r="150" spans="2:23">
      <c r="B150" s="281" t="s">
        <v>460</v>
      </c>
      <c r="C150" s="302" t="s">
        <v>543</v>
      </c>
      <c r="D150" s="303"/>
      <c r="E150" s="303"/>
      <c r="F150" s="303"/>
      <c r="G150" s="389" t="e">
        <f>((G145/G146)*G147/G148)*G149</f>
        <v>#DIV/0!</v>
      </c>
      <c r="H150" s="303" t="s">
        <v>544</v>
      </c>
      <c r="W150" s="280"/>
    </row>
    <row r="151" spans="2:23">
      <c r="B151" s="281" t="s">
        <v>462</v>
      </c>
      <c r="C151" t="s">
        <v>545</v>
      </c>
      <c r="G151">
        <v>1</v>
      </c>
      <c r="H151" t="s">
        <v>546</v>
      </c>
      <c r="I151" s="301" t="s">
        <v>542</v>
      </c>
      <c r="W151" s="280"/>
    </row>
    <row r="152" spans="2:23">
      <c r="B152" s="281" t="s">
        <v>465</v>
      </c>
      <c r="C152" t="s">
        <v>547</v>
      </c>
      <c r="G152" s="390" t="e">
        <f>G145/G146</f>
        <v>#DIV/0!</v>
      </c>
      <c r="H152" t="s">
        <v>548</v>
      </c>
      <c r="I152" s="391" t="s">
        <v>549</v>
      </c>
      <c r="W152" s="280"/>
    </row>
    <row r="153" spans="2:23">
      <c r="B153" s="281" t="s">
        <v>468</v>
      </c>
      <c r="C153" t="s">
        <v>550</v>
      </c>
      <c r="G153" s="305"/>
      <c r="H153" t="s">
        <v>551</v>
      </c>
      <c r="I153" s="301" t="s">
        <v>542</v>
      </c>
      <c r="W153" s="280"/>
    </row>
    <row r="154" spans="2:23">
      <c r="B154" s="281" t="s">
        <v>471</v>
      </c>
      <c r="C154" t="s">
        <v>552</v>
      </c>
      <c r="G154" s="390">
        <v>12606</v>
      </c>
      <c r="H154" t="s">
        <v>553</v>
      </c>
      <c r="I154" s="307" t="s">
        <v>560</v>
      </c>
      <c r="W154" s="280"/>
    </row>
    <row r="155" spans="2:23" ht="15" thickBot="1">
      <c r="B155" s="281" t="s">
        <v>473</v>
      </c>
      <c r="C155" s="303" t="s">
        <v>555</v>
      </c>
      <c r="D155" s="303"/>
      <c r="E155" s="303"/>
      <c r="F155" s="303"/>
      <c r="G155" s="389" t="e">
        <f>G151*G152*G153*G154</f>
        <v>#DIV/0!</v>
      </c>
      <c r="H155" s="303" t="s">
        <v>544</v>
      </c>
      <c r="W155" s="280"/>
    </row>
    <row r="156" spans="2:23" ht="15" thickBot="1">
      <c r="B156" s="291" t="s">
        <v>476</v>
      </c>
      <c r="C156" s="292" t="s">
        <v>90</v>
      </c>
      <c r="D156" s="287"/>
      <c r="E156" s="287"/>
      <c r="F156" s="287"/>
      <c r="G156" s="275" t="e">
        <f>G150+G155</f>
        <v>#DIV/0!</v>
      </c>
      <c r="H156" s="306" t="s">
        <v>556</v>
      </c>
      <c r="I156" s="289" t="s">
        <v>589</v>
      </c>
      <c r="J156" s="287"/>
      <c r="K156" s="287"/>
      <c r="L156" s="287"/>
      <c r="M156" s="287"/>
      <c r="N156" s="287"/>
      <c r="O156" s="287"/>
      <c r="P156" s="287"/>
      <c r="Q156" s="287"/>
      <c r="R156" s="287"/>
      <c r="S156" s="287"/>
      <c r="T156" s="287"/>
      <c r="U156" s="287"/>
      <c r="V156" s="287"/>
      <c r="W156" s="290"/>
    </row>
    <row r="157" spans="2:23">
      <c r="B157" s="452" t="s">
        <v>590</v>
      </c>
      <c r="C157" s="453"/>
      <c r="D157" s="453"/>
      <c r="E157" s="453"/>
      <c r="F157" s="453"/>
      <c r="G157" s="453"/>
      <c r="H157" s="453"/>
      <c r="I157" s="453"/>
      <c r="J157" s="453"/>
      <c r="K157" s="453"/>
      <c r="L157" s="453"/>
      <c r="M157" s="453"/>
      <c r="N157" s="453"/>
      <c r="O157" s="453"/>
      <c r="P157" s="453"/>
      <c r="Q157" s="453"/>
      <c r="R157" s="453"/>
      <c r="S157" s="453"/>
      <c r="T157" s="453"/>
      <c r="U157" s="453"/>
      <c r="V157" s="453"/>
      <c r="W157" s="454"/>
    </row>
    <row r="158" spans="2:23">
      <c r="B158" s="281" t="s">
        <v>408</v>
      </c>
      <c r="C158" t="s">
        <v>529</v>
      </c>
      <c r="G158" s="282">
        <f>'数量（ルート2）'!M43</f>
        <v>0</v>
      </c>
      <c r="H158" t="s">
        <v>530</v>
      </c>
      <c r="I158" s="138" t="s">
        <v>613</v>
      </c>
      <c r="W158" s="280"/>
    </row>
    <row r="159" spans="2:23">
      <c r="B159" s="281" t="s">
        <v>434</v>
      </c>
      <c r="C159" t="s">
        <v>532</v>
      </c>
      <c r="G159" s="282">
        <f>'パラメータ（ルート2）'!H50</f>
        <v>0</v>
      </c>
      <c r="H159" t="s">
        <v>533</v>
      </c>
      <c r="I159" s="138" t="s">
        <v>614</v>
      </c>
      <c r="W159" s="280"/>
    </row>
    <row r="160" spans="2:23">
      <c r="B160" s="281" t="s">
        <v>437</v>
      </c>
      <c r="C160" t="s">
        <v>535</v>
      </c>
      <c r="G160" s="282">
        <f>'パラメータ（ルート2）'!H51</f>
        <v>0</v>
      </c>
      <c r="H160" t="s">
        <v>536</v>
      </c>
      <c r="I160" s="138" t="s">
        <v>615</v>
      </c>
      <c r="W160" s="280"/>
    </row>
    <row r="161" spans="2:23">
      <c r="B161" s="281" t="s">
        <v>452</v>
      </c>
      <c r="C161" t="s">
        <v>538</v>
      </c>
      <c r="G161" s="293">
        <f>'パラメータ（ルート2）'!H56</f>
        <v>4.1500000000000004</v>
      </c>
      <c r="H161" t="s">
        <v>322</v>
      </c>
      <c r="I161" s="138" t="s">
        <v>616</v>
      </c>
      <c r="W161" s="280"/>
    </row>
    <row r="162" spans="2:23">
      <c r="B162" s="281" t="s">
        <v>456</v>
      </c>
      <c r="C162" t="s">
        <v>540</v>
      </c>
      <c r="G162" s="388"/>
      <c r="H162" t="s">
        <v>541</v>
      </c>
      <c r="I162" s="301" t="s">
        <v>542</v>
      </c>
      <c r="W162" s="280"/>
    </row>
    <row r="163" spans="2:23">
      <c r="B163" s="281" t="s">
        <v>460</v>
      </c>
      <c r="C163" s="302" t="s">
        <v>543</v>
      </c>
      <c r="D163" s="303"/>
      <c r="E163" s="303"/>
      <c r="F163" s="303"/>
      <c r="G163" s="389" t="e">
        <f>((G158/G159)*G160/G161)*G162</f>
        <v>#DIV/0!</v>
      </c>
      <c r="H163" s="303" t="s">
        <v>544</v>
      </c>
      <c r="W163" s="280"/>
    </row>
    <row r="164" spans="2:23">
      <c r="B164" s="281" t="s">
        <v>462</v>
      </c>
      <c r="C164" t="s">
        <v>545</v>
      </c>
      <c r="G164">
        <v>1</v>
      </c>
      <c r="H164" t="s">
        <v>546</v>
      </c>
      <c r="I164" s="301" t="s">
        <v>542</v>
      </c>
      <c r="W164" s="280"/>
    </row>
    <row r="165" spans="2:23">
      <c r="B165" s="281" t="s">
        <v>465</v>
      </c>
      <c r="C165" t="s">
        <v>547</v>
      </c>
      <c r="G165" s="390" t="e">
        <f>G158/G159</f>
        <v>#DIV/0!</v>
      </c>
      <c r="H165" t="s">
        <v>548</v>
      </c>
      <c r="I165" s="391" t="s">
        <v>549</v>
      </c>
      <c r="W165" s="280"/>
    </row>
    <row r="166" spans="2:23">
      <c r="B166" s="281" t="s">
        <v>468</v>
      </c>
      <c r="C166" t="s">
        <v>550</v>
      </c>
      <c r="G166" s="305"/>
      <c r="H166" t="s">
        <v>551</v>
      </c>
      <c r="I166" s="301" t="s">
        <v>542</v>
      </c>
      <c r="W166" s="280"/>
    </row>
    <row r="167" spans="2:23">
      <c r="B167" s="281" t="s">
        <v>471</v>
      </c>
      <c r="C167" t="s">
        <v>552</v>
      </c>
      <c r="G167" s="390">
        <v>12606</v>
      </c>
      <c r="H167" t="s">
        <v>553</v>
      </c>
      <c r="I167" s="307" t="s">
        <v>554</v>
      </c>
      <c r="W167" s="280"/>
    </row>
    <row r="168" spans="2:23" ht="15" thickBot="1">
      <c r="B168" s="281" t="s">
        <v>473</v>
      </c>
      <c r="C168" s="303" t="s">
        <v>555</v>
      </c>
      <c r="D168" s="303"/>
      <c r="E168" s="303"/>
      <c r="F168" s="303"/>
      <c r="G168" s="389" t="e">
        <f>G164*G165*G166*G167</f>
        <v>#DIV/0!</v>
      </c>
      <c r="H168" s="303" t="s">
        <v>544</v>
      </c>
      <c r="W168" s="280"/>
    </row>
    <row r="169" spans="2:23" ht="15" thickBot="1">
      <c r="B169" s="291" t="s">
        <v>476</v>
      </c>
      <c r="C169" s="292" t="s">
        <v>90</v>
      </c>
      <c r="D169" s="287"/>
      <c r="E169" s="287"/>
      <c r="F169" s="287"/>
      <c r="G169" s="275" t="e">
        <f>G163+G168</f>
        <v>#DIV/0!</v>
      </c>
      <c r="H169" s="306" t="s">
        <v>556</v>
      </c>
      <c r="I169" s="289" t="s">
        <v>595</v>
      </c>
      <c r="J169" s="287"/>
      <c r="K169" s="287"/>
      <c r="L169" s="287"/>
      <c r="M169" s="287"/>
      <c r="N169" s="287"/>
      <c r="O169" s="287"/>
      <c r="P169" s="287"/>
      <c r="Q169" s="287"/>
      <c r="R169" s="287"/>
      <c r="S169" s="287"/>
      <c r="T169" s="287"/>
      <c r="U169" s="287"/>
      <c r="V169" s="287"/>
      <c r="W169" s="290"/>
    </row>
    <row r="170" spans="2:23">
      <c r="B170" s="452" t="s">
        <v>596</v>
      </c>
      <c r="C170" s="453"/>
      <c r="D170" s="453"/>
      <c r="E170" s="453"/>
      <c r="F170" s="453"/>
      <c r="G170" s="453"/>
      <c r="H170" s="453"/>
      <c r="I170" s="453"/>
      <c r="J170" s="453"/>
      <c r="K170" s="453"/>
      <c r="L170" s="453"/>
      <c r="M170" s="453"/>
      <c r="N170" s="453"/>
      <c r="O170" s="453"/>
      <c r="P170" s="453"/>
      <c r="Q170" s="453"/>
      <c r="R170" s="453"/>
      <c r="S170" s="453"/>
      <c r="T170" s="453"/>
      <c r="U170" s="453"/>
      <c r="V170" s="453"/>
      <c r="W170" s="454"/>
    </row>
    <row r="171" spans="2:23">
      <c r="B171" s="281" t="s">
        <v>408</v>
      </c>
      <c r="C171" t="s">
        <v>529</v>
      </c>
      <c r="G171" s="282" t="e">
        <f>'数量（ルート2）'!N43</f>
        <v>#DIV/0!</v>
      </c>
      <c r="H171" t="s">
        <v>530</v>
      </c>
      <c r="I171" s="138" t="s">
        <v>612</v>
      </c>
      <c r="W171" s="280"/>
    </row>
    <row r="172" spans="2:23">
      <c r="B172" s="281" t="s">
        <v>434</v>
      </c>
      <c r="C172" t="s">
        <v>532</v>
      </c>
      <c r="G172" s="282">
        <f>'パラメータ（ルート2）'!H50</f>
        <v>0</v>
      </c>
      <c r="H172" t="s">
        <v>533</v>
      </c>
      <c r="I172" s="138" t="s">
        <v>614</v>
      </c>
      <c r="W172" s="280"/>
    </row>
    <row r="173" spans="2:23">
      <c r="B173" s="281" t="s">
        <v>437</v>
      </c>
      <c r="C173" t="s">
        <v>535</v>
      </c>
      <c r="G173" s="282">
        <f>'パラメータ（ルート2）'!H51</f>
        <v>0</v>
      </c>
      <c r="H173" t="s">
        <v>536</v>
      </c>
      <c r="I173" s="138" t="s">
        <v>615</v>
      </c>
      <c r="W173" s="280"/>
    </row>
    <row r="174" spans="2:23">
      <c r="B174" s="281" t="s">
        <v>452</v>
      </c>
      <c r="C174" t="s">
        <v>538</v>
      </c>
      <c r="G174" s="293">
        <f>'パラメータ（ルート2）'!H56</f>
        <v>4.1500000000000004</v>
      </c>
      <c r="H174" t="s">
        <v>322</v>
      </c>
      <c r="I174" s="138" t="s">
        <v>616</v>
      </c>
      <c r="W174" s="280"/>
    </row>
    <row r="175" spans="2:23">
      <c r="B175" s="281" t="s">
        <v>456</v>
      </c>
      <c r="C175" t="s">
        <v>540</v>
      </c>
      <c r="G175" s="388"/>
      <c r="H175" t="s">
        <v>541</v>
      </c>
      <c r="I175" s="301" t="s">
        <v>542</v>
      </c>
      <c r="W175" s="280"/>
    </row>
    <row r="176" spans="2:23">
      <c r="B176" s="281" t="s">
        <v>460</v>
      </c>
      <c r="C176" s="302" t="s">
        <v>543</v>
      </c>
      <c r="D176" s="303"/>
      <c r="E176" s="303"/>
      <c r="F176" s="303"/>
      <c r="G176" s="389" t="e">
        <f>((G171/G172)*G173/G174)*G175</f>
        <v>#DIV/0!</v>
      </c>
      <c r="H176" s="303" t="s">
        <v>544</v>
      </c>
      <c r="W176" s="280"/>
    </row>
    <row r="177" spans="2:23">
      <c r="B177" s="281" t="s">
        <v>462</v>
      </c>
      <c r="C177" t="s">
        <v>545</v>
      </c>
      <c r="G177">
        <v>1</v>
      </c>
      <c r="H177" t="s">
        <v>546</v>
      </c>
      <c r="I177" s="301" t="s">
        <v>542</v>
      </c>
      <c r="W177" s="280"/>
    </row>
    <row r="178" spans="2:23">
      <c r="B178" s="281" t="s">
        <v>465</v>
      </c>
      <c r="C178" t="s">
        <v>547</v>
      </c>
      <c r="G178" s="390" t="e">
        <f>G171/G172</f>
        <v>#DIV/0!</v>
      </c>
      <c r="H178" t="s">
        <v>548</v>
      </c>
      <c r="I178" s="391" t="s">
        <v>549</v>
      </c>
      <c r="W178" s="280"/>
    </row>
    <row r="179" spans="2:23">
      <c r="B179" s="281" t="s">
        <v>468</v>
      </c>
      <c r="C179" t="s">
        <v>550</v>
      </c>
      <c r="G179" s="305"/>
      <c r="H179" t="s">
        <v>551</v>
      </c>
      <c r="I179" s="301" t="s">
        <v>542</v>
      </c>
      <c r="W179" s="280"/>
    </row>
    <row r="180" spans="2:23">
      <c r="B180" s="281" t="s">
        <v>471</v>
      </c>
      <c r="C180" t="s">
        <v>552</v>
      </c>
      <c r="G180" s="390">
        <v>12606</v>
      </c>
      <c r="H180" t="s">
        <v>553</v>
      </c>
      <c r="I180" s="307" t="s">
        <v>560</v>
      </c>
      <c r="W180" s="280"/>
    </row>
    <row r="181" spans="2:23" ht="15" thickBot="1">
      <c r="B181" s="281" t="s">
        <v>473</v>
      </c>
      <c r="C181" s="303" t="s">
        <v>555</v>
      </c>
      <c r="D181" s="303"/>
      <c r="E181" s="303"/>
      <c r="F181" s="303"/>
      <c r="G181" s="389" t="e">
        <f>G177*G178*G179*G180</f>
        <v>#DIV/0!</v>
      </c>
      <c r="H181" s="303" t="s">
        <v>544</v>
      </c>
      <c r="W181" s="280"/>
    </row>
    <row r="182" spans="2:23" ht="15" thickBot="1">
      <c r="B182" s="291" t="s">
        <v>476</v>
      </c>
      <c r="C182" s="292" t="s">
        <v>90</v>
      </c>
      <c r="D182" s="287"/>
      <c r="E182" s="287"/>
      <c r="F182" s="287"/>
      <c r="G182" s="275" t="e">
        <f>G176+G181</f>
        <v>#DIV/0!</v>
      </c>
      <c r="H182" s="306" t="s">
        <v>556</v>
      </c>
      <c r="I182" s="289" t="s">
        <v>597</v>
      </c>
      <c r="J182" s="287"/>
      <c r="K182" s="287"/>
      <c r="L182" s="287"/>
      <c r="M182" s="287"/>
      <c r="N182" s="287"/>
      <c r="O182" s="287"/>
      <c r="P182" s="287"/>
      <c r="Q182" s="287"/>
      <c r="R182" s="287"/>
      <c r="S182" s="287"/>
      <c r="T182" s="287"/>
      <c r="U182" s="287"/>
      <c r="V182" s="287"/>
      <c r="W182" s="290"/>
    </row>
  </sheetData>
  <mergeCells count="27">
    <mergeCell ref="C6:F6"/>
    <mergeCell ref="B2:W2"/>
    <mergeCell ref="B3:H3"/>
    <mergeCell ref="M3:S3"/>
    <mergeCell ref="C4:F4"/>
    <mergeCell ref="C5:F5"/>
    <mergeCell ref="B86:C87"/>
    <mergeCell ref="C7:F7"/>
    <mergeCell ref="N8:Q8"/>
    <mergeCell ref="B9:W9"/>
    <mergeCell ref="B13:W13"/>
    <mergeCell ref="B17:W17"/>
    <mergeCell ref="B41:W41"/>
    <mergeCell ref="B65:W65"/>
    <mergeCell ref="B66:C67"/>
    <mergeCell ref="B71:C72"/>
    <mergeCell ref="B76:C77"/>
    <mergeCell ref="B81:C82"/>
    <mergeCell ref="B144:W144"/>
    <mergeCell ref="B157:W157"/>
    <mergeCell ref="B170:W170"/>
    <mergeCell ref="B90:W90"/>
    <mergeCell ref="B103:W103"/>
    <mergeCell ref="B116:W116"/>
    <mergeCell ref="B121:W121"/>
    <mergeCell ref="B126:W126"/>
    <mergeCell ref="B131:W131"/>
  </mergeCells>
  <phoneticPr fontId="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969A2-ECE4-419C-BB6F-614D26C25A71}">
  <sheetPr>
    <tabColor theme="3"/>
  </sheetPr>
  <dimension ref="A1"/>
  <sheetViews>
    <sheetView workbookViewId="0">
      <selection activeCell="K29" sqref="K29"/>
    </sheetView>
  </sheetViews>
  <sheetFormatPr defaultRowHeight="14.25"/>
  <sheetData>
    <row r="1" spans="1:1">
      <c r="A1" s="308"/>
    </row>
  </sheetData>
  <phoneticPr fontId="2"/>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45EFE-30DF-4B59-89F2-8A0DF7AC3791}">
  <sheetPr>
    <pageSetUpPr fitToPage="1"/>
  </sheetPr>
  <dimension ref="A1:M83"/>
  <sheetViews>
    <sheetView zoomScaleNormal="100" workbookViewId="0">
      <selection activeCell="J58" sqref="J58"/>
    </sheetView>
  </sheetViews>
  <sheetFormatPr defaultColWidth="9" defaultRowHeight="12.75"/>
  <cols>
    <col min="1" max="1" width="2.5703125" style="69" customWidth="1"/>
    <col min="2" max="2" width="4.42578125" style="69" customWidth="1"/>
    <col min="3" max="3" width="5.42578125" style="69" customWidth="1"/>
    <col min="4" max="4" width="22.85546875" style="68" bestFit="1" customWidth="1"/>
    <col min="5" max="5" width="10.42578125" style="68" bestFit="1" customWidth="1"/>
    <col min="6" max="6" width="59.42578125" style="69" customWidth="1"/>
    <col min="7" max="7" width="9.140625" style="68" bestFit="1" customWidth="1"/>
    <col min="8" max="8" width="9" style="68"/>
    <col min="9" max="9" width="9.42578125" style="68" bestFit="1" customWidth="1"/>
    <col min="10" max="10" width="37" style="68" bestFit="1" customWidth="1"/>
    <col min="11" max="11" width="9.28515625" style="69" customWidth="1"/>
    <col min="12" max="12" width="248" style="69" bestFit="1" customWidth="1"/>
    <col min="13" max="16384" width="9" style="69"/>
  </cols>
  <sheetData>
    <row r="1" spans="1:13" ht="18">
      <c r="A1" s="269" t="s">
        <v>617</v>
      </c>
      <c r="B1" s="1"/>
      <c r="C1" s="1"/>
      <c r="K1" s="68"/>
      <c r="M1" s="69" t="s">
        <v>92</v>
      </c>
    </row>
    <row r="2" spans="1:13" ht="15.75">
      <c r="B2" s="2"/>
      <c r="C2" s="2"/>
      <c r="F2" s="2"/>
      <c r="K2" s="70"/>
      <c r="M2" s="69" t="s">
        <v>92</v>
      </c>
    </row>
    <row r="3" spans="1:13" ht="16.5" thickBot="1">
      <c r="B3" s="270"/>
      <c r="C3" s="270"/>
      <c r="D3" s="271"/>
      <c r="E3" s="271"/>
      <c r="F3" s="273"/>
      <c r="G3" s="272"/>
      <c r="H3" s="70"/>
      <c r="I3" s="434" t="s">
        <v>93</v>
      </c>
      <c r="J3" s="435"/>
      <c r="K3" s="436" t="s">
        <v>94</v>
      </c>
      <c r="L3" s="436"/>
      <c r="M3" s="69" t="s">
        <v>92</v>
      </c>
    </row>
    <row r="4" spans="1:13" ht="14.25" customHeight="1">
      <c r="B4" s="160" t="s">
        <v>95</v>
      </c>
      <c r="C4" s="196" t="s">
        <v>96</v>
      </c>
      <c r="D4" s="160" t="s">
        <v>97</v>
      </c>
      <c r="E4" s="196" t="s">
        <v>98</v>
      </c>
      <c r="F4" s="125" t="s">
        <v>99</v>
      </c>
      <c r="G4" s="141" t="s">
        <v>100</v>
      </c>
      <c r="H4" s="147" t="s">
        <v>101</v>
      </c>
      <c r="I4" s="146" t="s">
        <v>102</v>
      </c>
      <c r="J4" s="139" t="s">
        <v>103</v>
      </c>
      <c r="K4" s="125" t="s">
        <v>104</v>
      </c>
      <c r="L4" s="161" t="s">
        <v>105</v>
      </c>
    </row>
    <row r="5" spans="1:13" ht="12.75" customHeight="1">
      <c r="B5" s="71">
        <v>1</v>
      </c>
      <c r="C5" s="200" t="s">
        <v>18</v>
      </c>
      <c r="D5" s="71" t="s">
        <v>106</v>
      </c>
      <c r="E5" s="197" t="s">
        <v>107</v>
      </c>
      <c r="F5" s="72" t="s">
        <v>108</v>
      </c>
      <c r="G5" s="142" t="s">
        <v>109</v>
      </c>
      <c r="H5" s="150">
        <f t="shared" ref="H5:H71" si="0">IF($I5="",$K5,$I5)</f>
        <v>0</v>
      </c>
      <c r="I5" s="151"/>
      <c r="J5" s="72"/>
      <c r="K5" s="157"/>
      <c r="L5" s="162" t="s">
        <v>110</v>
      </c>
      <c r="M5" s="69" t="s">
        <v>92</v>
      </c>
    </row>
    <row r="6" spans="1:13" ht="12.75" customHeight="1">
      <c r="B6" s="71">
        <f t="shared" ref="B6:B72" si="1">B5+1</f>
        <v>2</v>
      </c>
      <c r="C6" s="198" t="s">
        <v>18</v>
      </c>
      <c r="D6" s="71" t="s">
        <v>106</v>
      </c>
      <c r="E6" s="198" t="s">
        <v>107</v>
      </c>
      <c r="F6" s="159" t="s">
        <v>111</v>
      </c>
      <c r="G6" s="143" t="s">
        <v>112</v>
      </c>
      <c r="H6" s="150">
        <f t="shared" si="0"/>
        <v>9</v>
      </c>
      <c r="I6" s="152"/>
      <c r="J6" s="149"/>
      <c r="K6" s="148">
        <v>9</v>
      </c>
      <c r="L6" s="165" t="s">
        <v>113</v>
      </c>
      <c r="M6" s="69" t="s">
        <v>92</v>
      </c>
    </row>
    <row r="7" spans="1:13" ht="12.75" customHeight="1">
      <c r="B7" s="71">
        <f t="shared" si="1"/>
        <v>3</v>
      </c>
      <c r="C7" s="198" t="s">
        <v>18</v>
      </c>
      <c r="D7" s="71" t="s">
        <v>106</v>
      </c>
      <c r="E7" s="198" t="s">
        <v>107</v>
      </c>
      <c r="F7" s="73" t="s">
        <v>114</v>
      </c>
      <c r="G7" s="143" t="s">
        <v>109</v>
      </c>
      <c r="H7" s="150">
        <f t="shared" si="0"/>
        <v>0</v>
      </c>
      <c r="I7" s="152"/>
      <c r="J7" s="73"/>
      <c r="K7" s="163"/>
      <c r="L7" s="149" t="s">
        <v>115</v>
      </c>
      <c r="M7" s="69" t="s">
        <v>92</v>
      </c>
    </row>
    <row r="8" spans="1:13" ht="12.75" customHeight="1">
      <c r="B8" s="71">
        <f t="shared" si="1"/>
        <v>4</v>
      </c>
      <c r="C8" s="198" t="s">
        <v>18</v>
      </c>
      <c r="D8" s="186" t="s">
        <v>116</v>
      </c>
      <c r="E8" s="198" t="s">
        <v>107</v>
      </c>
      <c r="F8" s="159" t="s">
        <v>117</v>
      </c>
      <c r="G8" s="143" t="s">
        <v>112</v>
      </c>
      <c r="H8" s="150">
        <f t="shared" si="0"/>
        <v>16.7</v>
      </c>
      <c r="I8" s="152"/>
      <c r="J8" s="73"/>
      <c r="K8" s="148">
        <v>16.7</v>
      </c>
      <c r="L8" s="164" t="s">
        <v>118</v>
      </c>
      <c r="M8" s="69" t="s">
        <v>92</v>
      </c>
    </row>
    <row r="9" spans="1:13" ht="12.75" customHeight="1">
      <c r="B9" s="71">
        <f t="shared" si="1"/>
        <v>5</v>
      </c>
      <c r="C9" s="198" t="s">
        <v>18</v>
      </c>
      <c r="D9" s="209" t="s">
        <v>119</v>
      </c>
      <c r="E9" s="198" t="s">
        <v>107</v>
      </c>
      <c r="F9" s="4" t="s">
        <v>120</v>
      </c>
      <c r="G9" s="143" t="s">
        <v>112</v>
      </c>
      <c r="H9" s="155">
        <f t="shared" si="0"/>
        <v>55</v>
      </c>
      <c r="I9" s="152"/>
      <c r="J9" s="189" t="s">
        <v>121</v>
      </c>
      <c r="K9" s="264">
        <v>55</v>
      </c>
      <c r="L9" s="189" t="s">
        <v>122</v>
      </c>
      <c r="M9" s="69" t="s">
        <v>92</v>
      </c>
    </row>
    <row r="10" spans="1:13" ht="12.75" customHeight="1">
      <c r="B10" s="71">
        <f t="shared" si="1"/>
        <v>6</v>
      </c>
      <c r="C10" s="198" t="s">
        <v>18</v>
      </c>
      <c r="D10" s="198" t="s">
        <v>123</v>
      </c>
      <c r="E10" s="198" t="s">
        <v>124</v>
      </c>
      <c r="F10" s="73" t="s">
        <v>125</v>
      </c>
      <c r="G10" s="143" t="s">
        <v>112</v>
      </c>
      <c r="H10" s="150">
        <f t="shared" si="0"/>
        <v>3</v>
      </c>
      <c r="I10" s="152"/>
      <c r="J10" s="73"/>
      <c r="K10" s="264">
        <v>3</v>
      </c>
      <c r="L10" s="265" t="s">
        <v>126</v>
      </c>
      <c r="M10" s="69" t="s">
        <v>92</v>
      </c>
    </row>
    <row r="11" spans="1:13" ht="12.75" customHeight="1">
      <c r="B11" s="71">
        <f t="shared" si="1"/>
        <v>7</v>
      </c>
      <c r="C11" s="198" t="s">
        <v>18</v>
      </c>
      <c r="D11" s="71" t="s">
        <v>106</v>
      </c>
      <c r="E11" s="198" t="s">
        <v>127</v>
      </c>
      <c r="F11" s="149" t="s">
        <v>128</v>
      </c>
      <c r="G11" s="143" t="s">
        <v>129</v>
      </c>
      <c r="H11" s="150">
        <f t="shared" si="0"/>
        <v>0</v>
      </c>
      <c r="I11" s="152"/>
      <c r="J11" s="73"/>
      <c r="K11" s="238"/>
      <c r="L11" s="267" t="s">
        <v>130</v>
      </c>
    </row>
    <row r="12" spans="1:13" ht="12.75" customHeight="1">
      <c r="B12" s="71">
        <f t="shared" si="1"/>
        <v>8</v>
      </c>
      <c r="C12" s="198" t="s">
        <v>18</v>
      </c>
      <c r="D12" s="71" t="s">
        <v>106</v>
      </c>
      <c r="E12" s="198" t="s">
        <v>127</v>
      </c>
      <c r="F12" s="159" t="s">
        <v>131</v>
      </c>
      <c r="G12" s="143" t="s">
        <v>112</v>
      </c>
      <c r="H12" s="150">
        <f t="shared" si="0"/>
        <v>0</v>
      </c>
      <c r="I12" s="152"/>
      <c r="J12" s="73"/>
      <c r="K12" s="148"/>
      <c r="L12" s="149" t="s">
        <v>132</v>
      </c>
      <c r="M12" s="69" t="s">
        <v>92</v>
      </c>
    </row>
    <row r="13" spans="1:13" ht="12.75" customHeight="1">
      <c r="B13" s="71">
        <f t="shared" si="1"/>
        <v>9</v>
      </c>
      <c r="C13" s="198" t="s">
        <v>18</v>
      </c>
      <c r="D13" s="71" t="s">
        <v>106</v>
      </c>
      <c r="E13" s="198" t="s">
        <v>127</v>
      </c>
      <c r="F13" s="159" t="s">
        <v>133</v>
      </c>
      <c r="G13" s="143" t="s">
        <v>112</v>
      </c>
      <c r="H13" s="150">
        <f t="shared" si="0"/>
        <v>0</v>
      </c>
      <c r="I13" s="152"/>
      <c r="J13" s="73"/>
      <c r="K13" s="148"/>
      <c r="L13" s="149" t="s">
        <v>132</v>
      </c>
      <c r="M13" s="69" t="s">
        <v>92</v>
      </c>
    </row>
    <row r="14" spans="1:13" ht="12.75" customHeight="1">
      <c r="B14" s="71">
        <f t="shared" si="1"/>
        <v>10</v>
      </c>
      <c r="C14" s="198" t="s">
        <v>18</v>
      </c>
      <c r="D14" s="186" t="s">
        <v>116</v>
      </c>
      <c r="E14" s="198" t="s">
        <v>127</v>
      </c>
      <c r="F14" s="276" t="s">
        <v>134</v>
      </c>
      <c r="G14" s="143" t="s">
        <v>112</v>
      </c>
      <c r="H14" s="155" t="e">
        <f t="shared" si="0"/>
        <v>#DIV/0!</v>
      </c>
      <c r="I14" s="156"/>
      <c r="J14" s="73"/>
      <c r="K14" s="237" t="e">
        <f>'仮定値算定シート（ルート3)'!G12</f>
        <v>#DIV/0!</v>
      </c>
      <c r="L14" s="267" t="s">
        <v>130</v>
      </c>
      <c r="M14" s="69" t="s">
        <v>92</v>
      </c>
    </row>
    <row r="15" spans="1:13" ht="12.75" customHeight="1">
      <c r="B15" s="71">
        <f t="shared" si="1"/>
        <v>11</v>
      </c>
      <c r="C15" s="198" t="s">
        <v>18</v>
      </c>
      <c r="D15" s="186" t="s">
        <v>116</v>
      </c>
      <c r="E15" s="198" t="s">
        <v>127</v>
      </c>
      <c r="F15" s="276" t="s">
        <v>135</v>
      </c>
      <c r="G15" s="143" t="s">
        <v>112</v>
      </c>
      <c r="H15" s="155" t="e">
        <f t="shared" si="0"/>
        <v>#DIV/0!</v>
      </c>
      <c r="I15" s="156"/>
      <c r="J15" s="73"/>
      <c r="K15" s="237" t="e">
        <f>'仮定値算定シート（ルート3)'!G16</f>
        <v>#DIV/0!</v>
      </c>
      <c r="L15" s="267" t="s">
        <v>130</v>
      </c>
      <c r="M15" s="69" t="s">
        <v>92</v>
      </c>
    </row>
    <row r="16" spans="1:13" ht="12.75" customHeight="1">
      <c r="B16" s="71">
        <f t="shared" si="1"/>
        <v>12</v>
      </c>
      <c r="C16" s="198" t="s">
        <v>18</v>
      </c>
      <c r="D16" s="209" t="s">
        <v>119</v>
      </c>
      <c r="E16" s="198" t="s">
        <v>127</v>
      </c>
      <c r="F16" s="276" t="s">
        <v>136</v>
      </c>
      <c r="G16" s="143" t="s">
        <v>112</v>
      </c>
      <c r="H16" s="155">
        <f t="shared" si="0"/>
        <v>55</v>
      </c>
      <c r="I16" s="156"/>
      <c r="J16" s="189" t="s">
        <v>137</v>
      </c>
      <c r="K16" s="264">
        <v>55</v>
      </c>
      <c r="L16" s="189" t="s">
        <v>138</v>
      </c>
      <c r="M16" s="69" t="s">
        <v>92</v>
      </c>
    </row>
    <row r="17" spans="2:13" ht="12.75" customHeight="1">
      <c r="B17" s="71">
        <f t="shared" si="1"/>
        <v>13</v>
      </c>
      <c r="C17" s="71" t="s">
        <v>21</v>
      </c>
      <c r="D17" s="71" t="s">
        <v>106</v>
      </c>
      <c r="E17" s="198" t="s">
        <v>107</v>
      </c>
      <c r="F17" s="73" t="s">
        <v>139</v>
      </c>
      <c r="G17" s="143" t="s">
        <v>140</v>
      </c>
      <c r="H17" s="150">
        <f t="shared" si="0"/>
        <v>0</v>
      </c>
      <c r="I17" s="152"/>
      <c r="J17" s="73"/>
      <c r="K17" s="163"/>
      <c r="L17" s="175" t="s">
        <v>141</v>
      </c>
      <c r="M17" s="69" t="s">
        <v>92</v>
      </c>
    </row>
    <row r="18" spans="2:13" ht="12.75" customHeight="1">
      <c r="B18" s="71">
        <f t="shared" si="1"/>
        <v>14</v>
      </c>
      <c r="C18" s="71" t="s">
        <v>21</v>
      </c>
      <c r="D18" s="71" t="s">
        <v>106</v>
      </c>
      <c r="E18" s="198" t="s">
        <v>107</v>
      </c>
      <c r="F18" s="159" t="s">
        <v>142</v>
      </c>
      <c r="G18" s="143" t="s">
        <v>143</v>
      </c>
      <c r="H18" s="150">
        <f t="shared" si="0"/>
        <v>0</v>
      </c>
      <c r="I18" s="152"/>
      <c r="J18" s="73"/>
      <c r="K18" s="163"/>
      <c r="L18" s="175" t="s">
        <v>144</v>
      </c>
      <c r="M18" s="69" t="s">
        <v>92</v>
      </c>
    </row>
    <row r="19" spans="2:13" ht="12.75" customHeight="1">
      <c r="B19" s="71">
        <f t="shared" si="1"/>
        <v>15</v>
      </c>
      <c r="C19" s="71" t="s">
        <v>21</v>
      </c>
      <c r="D19" s="71" t="s">
        <v>106</v>
      </c>
      <c r="E19" s="198" t="s">
        <v>127</v>
      </c>
      <c r="F19" s="73" t="s">
        <v>145</v>
      </c>
      <c r="G19" s="143" t="s">
        <v>143</v>
      </c>
      <c r="H19" s="150">
        <f t="shared" si="0"/>
        <v>0</v>
      </c>
      <c r="I19" s="152"/>
      <c r="J19" s="73"/>
      <c r="K19" s="163"/>
      <c r="L19" s="175" t="s">
        <v>146</v>
      </c>
      <c r="M19" s="69" t="s">
        <v>92</v>
      </c>
    </row>
    <row r="20" spans="2:13" ht="12.75" customHeight="1">
      <c r="B20" s="71">
        <f t="shared" si="1"/>
        <v>16</v>
      </c>
      <c r="C20" s="71" t="s">
        <v>21</v>
      </c>
      <c r="D20" s="74" t="s">
        <v>106</v>
      </c>
      <c r="E20" s="199" t="s">
        <v>127</v>
      </c>
      <c r="F20" s="73" t="s">
        <v>147</v>
      </c>
      <c r="G20" s="143" t="s">
        <v>143</v>
      </c>
      <c r="H20" s="150">
        <f t="shared" si="0"/>
        <v>0</v>
      </c>
      <c r="I20" s="152"/>
      <c r="J20" s="73"/>
      <c r="K20" s="163"/>
      <c r="L20" s="159" t="s">
        <v>148</v>
      </c>
      <c r="M20" s="69" t="s">
        <v>92</v>
      </c>
    </row>
    <row r="21" spans="2:13" ht="12.75" customHeight="1">
      <c r="B21" s="71">
        <f t="shared" si="1"/>
        <v>17</v>
      </c>
      <c r="C21" s="71" t="s">
        <v>21</v>
      </c>
      <c r="D21" s="71" t="s">
        <v>106</v>
      </c>
      <c r="E21" s="266" t="s">
        <v>124</v>
      </c>
      <c r="F21" s="267" t="s">
        <v>149</v>
      </c>
      <c r="G21" s="144" t="s">
        <v>150</v>
      </c>
      <c r="H21" s="268">
        <f t="shared" si="0"/>
        <v>10.35</v>
      </c>
      <c r="I21" s="154"/>
      <c r="J21" s="3"/>
      <c r="K21" s="204">
        <v>10.35</v>
      </c>
      <c r="L21" s="267" t="s">
        <v>151</v>
      </c>
      <c r="M21" s="69" t="s">
        <v>92</v>
      </c>
    </row>
    <row r="22" spans="2:13" ht="12.75" customHeight="1">
      <c r="B22" s="71">
        <f t="shared" si="1"/>
        <v>18</v>
      </c>
      <c r="C22" s="71" t="s">
        <v>21</v>
      </c>
      <c r="D22" s="71" t="s">
        <v>106</v>
      </c>
      <c r="E22" s="198" t="s">
        <v>124</v>
      </c>
      <c r="F22" s="176" t="s">
        <v>152</v>
      </c>
      <c r="G22" s="143" t="s">
        <v>153</v>
      </c>
      <c r="H22" s="178">
        <f t="shared" si="0"/>
        <v>2.62</v>
      </c>
      <c r="I22" s="152"/>
      <c r="J22" s="73"/>
      <c r="K22" s="179">
        <v>2.62</v>
      </c>
      <c r="L22" s="175" t="s">
        <v>154</v>
      </c>
      <c r="M22" s="69" t="s">
        <v>92</v>
      </c>
    </row>
    <row r="23" spans="2:13" ht="12.75" customHeight="1">
      <c r="B23" s="71">
        <f t="shared" si="1"/>
        <v>19</v>
      </c>
      <c r="C23" s="71" t="s">
        <v>21</v>
      </c>
      <c r="D23" s="186" t="s">
        <v>116</v>
      </c>
      <c r="E23" s="186" t="s">
        <v>107</v>
      </c>
      <c r="F23" s="187" t="s">
        <v>155</v>
      </c>
      <c r="G23" s="144" t="s">
        <v>156</v>
      </c>
      <c r="H23" s="153" t="e">
        <f t="shared" si="0"/>
        <v>#DIV/0!</v>
      </c>
      <c r="I23" s="154"/>
      <c r="J23" s="3"/>
      <c r="K23" s="158" t="e">
        <f>'仮定値算定シート（ルート3)'!G40</f>
        <v>#DIV/0!</v>
      </c>
      <c r="L23" s="277" t="s">
        <v>130</v>
      </c>
      <c r="M23" s="69" t="s">
        <v>92</v>
      </c>
    </row>
    <row r="24" spans="2:13" ht="12.75" customHeight="1">
      <c r="B24" s="71">
        <f t="shared" si="1"/>
        <v>20</v>
      </c>
      <c r="C24" s="71" t="s">
        <v>21</v>
      </c>
      <c r="D24" s="186" t="s">
        <v>116</v>
      </c>
      <c r="E24" s="186" t="s">
        <v>107</v>
      </c>
      <c r="F24" s="187" t="s">
        <v>157</v>
      </c>
      <c r="G24" s="144" t="s">
        <v>156</v>
      </c>
      <c r="H24" s="153" t="e">
        <f t="shared" si="0"/>
        <v>#DIV/0!</v>
      </c>
      <c r="I24" s="154"/>
      <c r="J24" s="3"/>
      <c r="K24" s="158" t="e">
        <f>'仮定値算定シート（ルート3)'!G64</f>
        <v>#DIV/0!</v>
      </c>
      <c r="L24" s="277" t="s">
        <v>130</v>
      </c>
      <c r="M24" s="69" t="s">
        <v>92</v>
      </c>
    </row>
    <row r="25" spans="2:13" ht="12.75" customHeight="1">
      <c r="B25" s="71">
        <f t="shared" si="1"/>
        <v>21</v>
      </c>
      <c r="C25" s="71" t="s">
        <v>21</v>
      </c>
      <c r="D25" s="188" t="s">
        <v>116</v>
      </c>
      <c r="E25" s="188" t="s">
        <v>124</v>
      </c>
      <c r="F25" s="189" t="s">
        <v>158</v>
      </c>
      <c r="G25" s="193" t="s">
        <v>159</v>
      </c>
      <c r="H25" s="191">
        <f t="shared" si="0"/>
        <v>4.2900000000000002E-4</v>
      </c>
      <c r="I25" s="324"/>
      <c r="J25" s="4"/>
      <c r="K25" s="190">
        <v>4.2900000000000002E-4</v>
      </c>
      <c r="L25" s="195" t="s">
        <v>160</v>
      </c>
      <c r="M25" s="69" t="s">
        <v>92</v>
      </c>
    </row>
    <row r="26" spans="2:13" ht="12.75" customHeight="1">
      <c r="B26" s="71">
        <f t="shared" si="1"/>
        <v>22</v>
      </c>
      <c r="C26" s="71" t="s">
        <v>21</v>
      </c>
      <c r="D26" s="210" t="s">
        <v>161</v>
      </c>
      <c r="E26" s="200" t="s">
        <v>124</v>
      </c>
      <c r="F26" s="175" t="s">
        <v>162</v>
      </c>
      <c r="G26" s="145" t="s">
        <v>163</v>
      </c>
      <c r="H26" s="201">
        <f t="shared" si="0"/>
        <v>6</v>
      </c>
      <c r="I26" s="202"/>
      <c r="J26" s="4"/>
      <c r="K26" s="203">
        <v>6</v>
      </c>
      <c r="L26" s="165" t="s">
        <v>164</v>
      </c>
      <c r="M26" s="69" t="s">
        <v>92</v>
      </c>
    </row>
    <row r="27" spans="2:13" ht="12.75" customHeight="1">
      <c r="B27" s="71">
        <f t="shared" si="1"/>
        <v>23</v>
      </c>
      <c r="C27" s="71" t="s">
        <v>21</v>
      </c>
      <c r="D27" s="71" t="s">
        <v>161</v>
      </c>
      <c r="E27" s="200" t="s">
        <v>107</v>
      </c>
      <c r="F27" s="175" t="s">
        <v>165</v>
      </c>
      <c r="G27" s="145" t="s">
        <v>166</v>
      </c>
      <c r="H27" s="201">
        <f t="shared" si="0"/>
        <v>0</v>
      </c>
      <c r="I27" s="156"/>
      <c r="J27" s="4"/>
      <c r="K27" s="208"/>
      <c r="L27" s="187" t="s">
        <v>167</v>
      </c>
      <c r="M27" s="69" t="s">
        <v>92</v>
      </c>
    </row>
    <row r="28" spans="2:13" ht="12.75" customHeight="1">
      <c r="B28" s="71">
        <f t="shared" si="1"/>
        <v>24</v>
      </c>
      <c r="C28" s="71" t="s">
        <v>21</v>
      </c>
      <c r="D28" s="71" t="s">
        <v>161</v>
      </c>
      <c r="E28" s="200" t="s">
        <v>127</v>
      </c>
      <c r="F28" s="175" t="s">
        <v>168</v>
      </c>
      <c r="G28" s="145" t="s">
        <v>166</v>
      </c>
      <c r="H28" s="201">
        <f t="shared" si="0"/>
        <v>0</v>
      </c>
      <c r="I28" s="156"/>
      <c r="J28" s="4"/>
      <c r="K28" s="208"/>
      <c r="L28" s="187" t="s">
        <v>167</v>
      </c>
      <c r="M28" s="69" t="s">
        <v>92</v>
      </c>
    </row>
    <row r="29" spans="2:13" ht="12.75" customHeight="1">
      <c r="B29" s="71">
        <f t="shared" si="1"/>
        <v>25</v>
      </c>
      <c r="C29" s="71" t="s">
        <v>21</v>
      </c>
      <c r="D29" s="71" t="s">
        <v>161</v>
      </c>
      <c r="E29" s="200" t="s">
        <v>124</v>
      </c>
      <c r="F29" s="75" t="s">
        <v>169</v>
      </c>
      <c r="G29" s="194" t="s">
        <v>170</v>
      </c>
      <c r="H29" s="201">
        <f t="shared" si="0"/>
        <v>4.1500000000000004</v>
      </c>
      <c r="I29" s="156"/>
      <c r="J29" s="4"/>
      <c r="K29" s="204">
        <v>4.1500000000000004</v>
      </c>
      <c r="L29" s="3" t="s">
        <v>171</v>
      </c>
      <c r="M29" s="69" t="s">
        <v>92</v>
      </c>
    </row>
    <row r="30" spans="2:13" ht="12.75" customHeight="1">
      <c r="B30" s="71">
        <f t="shared" si="1"/>
        <v>26</v>
      </c>
      <c r="C30" s="71" t="s">
        <v>21</v>
      </c>
      <c r="D30" s="71" t="s">
        <v>161</v>
      </c>
      <c r="E30" s="198" t="s">
        <v>124</v>
      </c>
      <c r="F30" s="73" t="s">
        <v>172</v>
      </c>
      <c r="G30" s="73" t="s">
        <v>173</v>
      </c>
      <c r="H30" s="201">
        <f t="shared" si="0"/>
        <v>2.62</v>
      </c>
      <c r="I30" s="156"/>
      <c r="J30" s="4"/>
      <c r="K30" s="204">
        <v>2.62</v>
      </c>
      <c r="L30" s="3" t="s">
        <v>174</v>
      </c>
      <c r="M30" s="69" t="s">
        <v>92</v>
      </c>
    </row>
    <row r="31" spans="2:13" ht="12.75" customHeight="1">
      <c r="B31" s="71">
        <f t="shared" si="1"/>
        <v>27</v>
      </c>
      <c r="C31" s="71" t="s">
        <v>21</v>
      </c>
      <c r="D31" s="210" t="s">
        <v>175</v>
      </c>
      <c r="E31" s="198" t="s">
        <v>124</v>
      </c>
      <c r="F31" s="189" t="s">
        <v>176</v>
      </c>
      <c r="G31" s="145" t="s">
        <v>177</v>
      </c>
      <c r="H31" s="155">
        <f t="shared" si="0"/>
        <v>0</v>
      </c>
      <c r="I31" s="156"/>
      <c r="J31" s="4"/>
      <c r="K31" s="208"/>
      <c r="L31" s="175" t="s">
        <v>178</v>
      </c>
      <c r="M31" s="69" t="s">
        <v>92</v>
      </c>
    </row>
    <row r="32" spans="2:13" ht="12.75" customHeight="1">
      <c r="B32" s="71">
        <f t="shared" si="1"/>
        <v>28</v>
      </c>
      <c r="C32" s="71" t="s">
        <v>21</v>
      </c>
      <c r="D32" s="210" t="s">
        <v>175</v>
      </c>
      <c r="E32" s="198" t="s">
        <v>124</v>
      </c>
      <c r="F32" s="189" t="s">
        <v>179</v>
      </c>
      <c r="G32" s="145" t="s">
        <v>180</v>
      </c>
      <c r="H32" s="155">
        <f t="shared" si="0"/>
        <v>0</v>
      </c>
      <c r="I32" s="156"/>
      <c r="J32" s="4"/>
      <c r="K32" s="238"/>
      <c r="L32" s="175" t="s">
        <v>181</v>
      </c>
      <c r="M32" s="69" t="s">
        <v>92</v>
      </c>
    </row>
    <row r="33" spans="2:13" ht="12.75" customHeight="1">
      <c r="B33" s="71">
        <f t="shared" si="1"/>
        <v>29</v>
      </c>
      <c r="C33" s="71" t="s">
        <v>21</v>
      </c>
      <c r="D33" s="210" t="s">
        <v>175</v>
      </c>
      <c r="E33" s="200" t="s">
        <v>124</v>
      </c>
      <c r="F33" s="75" t="s">
        <v>169</v>
      </c>
      <c r="G33" s="194" t="s">
        <v>170</v>
      </c>
      <c r="H33" s="201">
        <f t="shared" si="0"/>
        <v>4.1500000000000004</v>
      </c>
      <c r="I33" s="156"/>
      <c r="J33" s="4"/>
      <c r="K33" s="204">
        <v>4.1500000000000004</v>
      </c>
      <c r="L33" s="3" t="s">
        <v>171</v>
      </c>
      <c r="M33" s="69" t="s">
        <v>92</v>
      </c>
    </row>
    <row r="34" spans="2:13" ht="12.75" customHeight="1">
      <c r="B34" s="71">
        <f t="shared" si="1"/>
        <v>30</v>
      </c>
      <c r="C34" s="71" t="s">
        <v>21</v>
      </c>
      <c r="D34" s="210" t="s">
        <v>175</v>
      </c>
      <c r="E34" s="198" t="s">
        <v>124</v>
      </c>
      <c r="F34" s="73" t="s">
        <v>172</v>
      </c>
      <c r="G34" s="73" t="s">
        <v>173</v>
      </c>
      <c r="H34" s="201">
        <f t="shared" si="0"/>
        <v>2.62</v>
      </c>
      <c r="I34" s="156"/>
      <c r="J34" s="4"/>
      <c r="K34" s="204">
        <v>2.62</v>
      </c>
      <c r="L34" s="3" t="s">
        <v>174</v>
      </c>
      <c r="M34" s="69" t="s">
        <v>92</v>
      </c>
    </row>
    <row r="35" spans="2:13" ht="12.75" customHeight="1">
      <c r="B35" s="71">
        <f t="shared" si="1"/>
        <v>31</v>
      </c>
      <c r="C35" s="71" t="s">
        <v>21</v>
      </c>
      <c r="D35" s="188" t="s">
        <v>182</v>
      </c>
      <c r="E35" s="198" t="s">
        <v>107</v>
      </c>
      <c r="F35" s="189" t="s">
        <v>183</v>
      </c>
      <c r="G35" s="145" t="s">
        <v>184</v>
      </c>
      <c r="H35" s="201">
        <f t="shared" si="0"/>
        <v>0</v>
      </c>
      <c r="I35" s="202"/>
      <c r="J35" s="4"/>
      <c r="K35" s="158"/>
      <c r="L35" s="277" t="s">
        <v>130</v>
      </c>
      <c r="M35" s="69" t="s">
        <v>92</v>
      </c>
    </row>
    <row r="36" spans="2:13" ht="12.75" customHeight="1">
      <c r="B36" s="71">
        <f t="shared" si="1"/>
        <v>32</v>
      </c>
      <c r="C36" s="71" t="s">
        <v>21</v>
      </c>
      <c r="D36" s="188" t="s">
        <v>182</v>
      </c>
      <c r="E36" s="198" t="s">
        <v>107</v>
      </c>
      <c r="F36" s="189" t="s">
        <v>185</v>
      </c>
      <c r="G36" s="145" t="s">
        <v>184</v>
      </c>
      <c r="H36" s="201">
        <f t="shared" si="0"/>
        <v>0</v>
      </c>
      <c r="I36" s="202"/>
      <c r="J36" s="4"/>
      <c r="K36" s="158"/>
      <c r="L36" s="277" t="s">
        <v>130</v>
      </c>
      <c r="M36" s="69" t="s">
        <v>92</v>
      </c>
    </row>
    <row r="37" spans="2:13" ht="12.75" customHeight="1">
      <c r="B37" s="71">
        <f t="shared" si="1"/>
        <v>33</v>
      </c>
      <c r="C37" s="71" t="s">
        <v>21</v>
      </c>
      <c r="D37" s="188" t="s">
        <v>182</v>
      </c>
      <c r="E37" s="198" t="s">
        <v>107</v>
      </c>
      <c r="F37" s="231" t="s">
        <v>188</v>
      </c>
      <c r="G37" s="232" t="s">
        <v>112</v>
      </c>
      <c r="H37" s="201">
        <f t="shared" si="0"/>
        <v>40.4</v>
      </c>
      <c r="I37" s="202"/>
      <c r="J37" s="189" t="s">
        <v>189</v>
      </c>
      <c r="K37" s="279">
        <v>40.4</v>
      </c>
      <c r="L37" s="277" t="s">
        <v>190</v>
      </c>
      <c r="M37" s="69" t="s">
        <v>92</v>
      </c>
    </row>
    <row r="38" spans="2:13" ht="12.75" customHeight="1">
      <c r="B38" s="71">
        <f t="shared" si="1"/>
        <v>34</v>
      </c>
      <c r="C38" s="71" t="s">
        <v>21</v>
      </c>
      <c r="D38" s="188" t="s">
        <v>182</v>
      </c>
      <c r="E38" s="198" t="s">
        <v>127</v>
      </c>
      <c r="F38" s="189" t="s">
        <v>191</v>
      </c>
      <c r="G38" s="145" t="s">
        <v>184</v>
      </c>
      <c r="H38" s="201">
        <f t="shared" si="0"/>
        <v>0</v>
      </c>
      <c r="I38" s="202"/>
      <c r="J38" s="4"/>
      <c r="K38" s="158"/>
      <c r="L38" s="277" t="s">
        <v>130</v>
      </c>
      <c r="M38" s="69" t="s">
        <v>92</v>
      </c>
    </row>
    <row r="39" spans="2:13" ht="12.75" customHeight="1">
      <c r="B39" s="71">
        <f t="shared" si="1"/>
        <v>35</v>
      </c>
      <c r="C39" s="71" t="s">
        <v>21</v>
      </c>
      <c r="D39" s="188" t="s">
        <v>182</v>
      </c>
      <c r="E39" s="198" t="s">
        <v>127</v>
      </c>
      <c r="F39" s="189" t="s">
        <v>192</v>
      </c>
      <c r="G39" s="145" t="s">
        <v>184</v>
      </c>
      <c r="H39" s="201">
        <f t="shared" si="0"/>
        <v>0</v>
      </c>
      <c r="I39" s="202"/>
      <c r="J39" s="4"/>
      <c r="K39" s="158"/>
      <c r="L39" s="277" t="s">
        <v>130</v>
      </c>
      <c r="M39" s="69" t="s">
        <v>92</v>
      </c>
    </row>
    <row r="40" spans="2:13" ht="12.75" customHeight="1">
      <c r="B40" s="71">
        <f t="shared" si="1"/>
        <v>36</v>
      </c>
      <c r="C40" s="71" t="s">
        <v>21</v>
      </c>
      <c r="D40" s="188" t="s">
        <v>182</v>
      </c>
      <c r="E40" s="198" t="s">
        <v>127</v>
      </c>
      <c r="F40" s="231" t="s">
        <v>193</v>
      </c>
      <c r="G40" s="232" t="s">
        <v>112</v>
      </c>
      <c r="H40" s="201">
        <f t="shared" si="0"/>
        <v>40.4</v>
      </c>
      <c r="I40" s="202"/>
      <c r="J40" s="189" t="s">
        <v>189</v>
      </c>
      <c r="K40" s="279">
        <v>40.4</v>
      </c>
      <c r="L40" s="277" t="s">
        <v>190</v>
      </c>
      <c r="M40" s="69" t="s">
        <v>92</v>
      </c>
    </row>
    <row r="41" spans="2:13" ht="12.75" customHeight="1">
      <c r="B41" s="71">
        <f t="shared" si="1"/>
        <v>37</v>
      </c>
      <c r="C41" s="71" t="s">
        <v>21</v>
      </c>
      <c r="D41" s="71" t="s">
        <v>194</v>
      </c>
      <c r="E41" s="198" t="s">
        <v>107</v>
      </c>
      <c r="F41" s="189" t="s">
        <v>195</v>
      </c>
      <c r="G41" s="145" t="s">
        <v>177</v>
      </c>
      <c r="H41" s="155">
        <f t="shared" si="0"/>
        <v>0</v>
      </c>
      <c r="I41" s="156"/>
      <c r="J41" s="4"/>
      <c r="K41" s="208"/>
      <c r="L41" s="175" t="s">
        <v>110</v>
      </c>
      <c r="M41" s="69" t="s">
        <v>92</v>
      </c>
    </row>
    <row r="42" spans="2:13" ht="12.75" customHeight="1">
      <c r="B42" s="71">
        <f t="shared" si="1"/>
        <v>38</v>
      </c>
      <c r="C42" s="71" t="s">
        <v>21</v>
      </c>
      <c r="D42" s="71" t="s">
        <v>194</v>
      </c>
      <c r="E42" s="198" t="s">
        <v>107</v>
      </c>
      <c r="F42" s="189" t="s">
        <v>196</v>
      </c>
      <c r="G42" s="145" t="s">
        <v>180</v>
      </c>
      <c r="H42" s="155">
        <f t="shared" si="0"/>
        <v>0</v>
      </c>
      <c r="I42" s="156"/>
      <c r="J42" s="4"/>
      <c r="K42" s="208"/>
      <c r="L42" s="175" t="s">
        <v>197</v>
      </c>
      <c r="M42" s="69" t="s">
        <v>92</v>
      </c>
    </row>
    <row r="43" spans="2:13" ht="12.75" customHeight="1">
      <c r="B43" s="71">
        <f t="shared" si="1"/>
        <v>39</v>
      </c>
      <c r="C43" s="71" t="s">
        <v>21</v>
      </c>
      <c r="D43" s="71" t="s">
        <v>194</v>
      </c>
      <c r="E43" s="198" t="s">
        <v>127</v>
      </c>
      <c r="F43" s="189" t="s">
        <v>198</v>
      </c>
      <c r="G43" s="145" t="s">
        <v>177</v>
      </c>
      <c r="H43" s="155">
        <f t="shared" si="0"/>
        <v>0</v>
      </c>
      <c r="I43" s="156"/>
      <c r="J43" s="4"/>
      <c r="K43" s="238"/>
      <c r="L43" s="175" t="s">
        <v>199</v>
      </c>
      <c r="M43" s="69" t="s">
        <v>92</v>
      </c>
    </row>
    <row r="44" spans="2:13" ht="12.75" customHeight="1">
      <c r="B44" s="71">
        <f t="shared" si="1"/>
        <v>40</v>
      </c>
      <c r="C44" s="71" t="s">
        <v>21</v>
      </c>
      <c r="D44" s="71" t="s">
        <v>194</v>
      </c>
      <c r="E44" s="198" t="s">
        <v>127</v>
      </c>
      <c r="F44" s="189" t="s">
        <v>200</v>
      </c>
      <c r="G44" s="145" t="s">
        <v>180</v>
      </c>
      <c r="H44" s="155">
        <f t="shared" si="0"/>
        <v>0</v>
      </c>
      <c r="I44" s="156"/>
      <c r="J44" s="4"/>
      <c r="K44" s="238"/>
      <c r="L44" s="175" t="s">
        <v>201</v>
      </c>
      <c r="M44" s="69" t="s">
        <v>92</v>
      </c>
    </row>
    <row r="45" spans="2:13" ht="12.75" customHeight="1">
      <c r="B45" s="71">
        <f t="shared" si="1"/>
        <v>41</v>
      </c>
      <c r="C45" s="71" t="s">
        <v>21</v>
      </c>
      <c r="D45" s="71" t="s">
        <v>202</v>
      </c>
      <c r="E45" s="200" t="s">
        <v>124</v>
      </c>
      <c r="F45" s="75" t="s">
        <v>169</v>
      </c>
      <c r="G45" s="194" t="s">
        <v>170</v>
      </c>
      <c r="H45" s="201">
        <f t="shared" si="0"/>
        <v>4.1500000000000004</v>
      </c>
      <c r="I45" s="156"/>
      <c r="J45" s="4"/>
      <c r="K45" s="204">
        <v>4.1500000000000004</v>
      </c>
      <c r="L45" s="3" t="s">
        <v>171</v>
      </c>
      <c r="M45" s="69" t="s">
        <v>92</v>
      </c>
    </row>
    <row r="46" spans="2:13" ht="12.75" customHeight="1">
      <c r="B46" s="71">
        <f t="shared" si="1"/>
        <v>42</v>
      </c>
      <c r="C46" s="71" t="s">
        <v>21</v>
      </c>
      <c r="D46" s="71" t="s">
        <v>202</v>
      </c>
      <c r="E46" s="198" t="s">
        <v>124</v>
      </c>
      <c r="F46" s="73" t="s">
        <v>172</v>
      </c>
      <c r="G46" s="73" t="s">
        <v>173</v>
      </c>
      <c r="H46" s="201">
        <f t="shared" si="0"/>
        <v>2.62</v>
      </c>
      <c r="I46" s="156"/>
      <c r="J46" s="4"/>
      <c r="K46" s="204">
        <v>2.62</v>
      </c>
      <c r="L46" s="3" t="s">
        <v>174</v>
      </c>
      <c r="M46" s="69" t="s">
        <v>92</v>
      </c>
    </row>
    <row r="47" spans="2:13" ht="12.75" customHeight="1">
      <c r="B47" s="71">
        <f t="shared" si="1"/>
        <v>43</v>
      </c>
      <c r="C47" s="71" t="s">
        <v>21</v>
      </c>
      <c r="D47" s="188" t="s">
        <v>123</v>
      </c>
      <c r="E47" s="198" t="s">
        <v>124</v>
      </c>
      <c r="F47" s="159" t="s">
        <v>203</v>
      </c>
      <c r="G47" s="145" t="s">
        <v>184</v>
      </c>
      <c r="H47" s="201">
        <f t="shared" si="0"/>
        <v>2.7</v>
      </c>
      <c r="I47" s="202"/>
      <c r="J47" s="4"/>
      <c r="K47" s="204">
        <v>2.7</v>
      </c>
      <c r="L47" s="216" t="s">
        <v>204</v>
      </c>
      <c r="M47" s="69" t="s">
        <v>92</v>
      </c>
    </row>
    <row r="48" spans="2:13" ht="12.75" customHeight="1">
      <c r="B48" s="71">
        <f t="shared" si="1"/>
        <v>44</v>
      </c>
      <c r="C48" s="71" t="s">
        <v>21</v>
      </c>
      <c r="D48" s="188" t="s">
        <v>123</v>
      </c>
      <c r="E48" s="198" t="s">
        <v>124</v>
      </c>
      <c r="F48" s="159" t="s">
        <v>205</v>
      </c>
      <c r="G48" s="145" t="s">
        <v>184</v>
      </c>
      <c r="H48" s="201">
        <f t="shared" si="0"/>
        <v>2.7</v>
      </c>
      <c r="I48" s="202"/>
      <c r="J48" s="4"/>
      <c r="K48" s="204">
        <v>2.7</v>
      </c>
      <c r="L48" s="216" t="s">
        <v>204</v>
      </c>
      <c r="M48" s="69" t="s">
        <v>92</v>
      </c>
    </row>
    <row r="49" spans="2:13" ht="12.75" customHeight="1">
      <c r="B49" s="71">
        <f t="shared" si="1"/>
        <v>45</v>
      </c>
      <c r="C49" s="71" t="s">
        <v>21</v>
      </c>
      <c r="D49" s="188" t="s">
        <v>123</v>
      </c>
      <c r="E49" s="198" t="s">
        <v>124</v>
      </c>
      <c r="F49" s="159" t="s">
        <v>206</v>
      </c>
      <c r="G49" s="145" t="s">
        <v>184</v>
      </c>
      <c r="H49" s="201">
        <f t="shared" si="0"/>
        <v>2.7</v>
      </c>
      <c r="I49" s="202"/>
      <c r="J49" s="4"/>
      <c r="K49" s="204">
        <v>2.7</v>
      </c>
      <c r="L49" s="216" t="s">
        <v>204</v>
      </c>
      <c r="M49" s="69" t="s">
        <v>92</v>
      </c>
    </row>
    <row r="50" spans="2:13" ht="12.75" customHeight="1">
      <c r="B50" s="71">
        <f t="shared" si="1"/>
        <v>46</v>
      </c>
      <c r="C50" s="71" t="s">
        <v>21</v>
      </c>
      <c r="D50" s="71" t="s">
        <v>207</v>
      </c>
      <c r="E50" s="198" t="s">
        <v>124</v>
      </c>
      <c r="F50" s="189" t="s">
        <v>208</v>
      </c>
      <c r="G50" s="145" t="s">
        <v>177</v>
      </c>
      <c r="H50" s="155">
        <f t="shared" si="0"/>
        <v>0</v>
      </c>
      <c r="I50" s="156"/>
      <c r="J50" s="4"/>
      <c r="K50" s="208"/>
      <c r="L50" s="175" t="s">
        <v>197</v>
      </c>
      <c r="M50" s="69" t="s">
        <v>92</v>
      </c>
    </row>
    <row r="51" spans="2:13" ht="12.75" customHeight="1">
      <c r="B51" s="71">
        <f t="shared" si="1"/>
        <v>47</v>
      </c>
      <c r="C51" s="71" t="s">
        <v>21</v>
      </c>
      <c r="D51" s="71" t="s">
        <v>207</v>
      </c>
      <c r="E51" s="198" t="s">
        <v>124</v>
      </c>
      <c r="F51" s="189" t="s">
        <v>209</v>
      </c>
      <c r="G51" s="145" t="s">
        <v>180</v>
      </c>
      <c r="H51" s="155">
        <f t="shared" si="0"/>
        <v>0</v>
      </c>
      <c r="I51" s="156"/>
      <c r="J51" s="4"/>
      <c r="K51" s="208"/>
      <c r="L51" s="175" t="s">
        <v>197</v>
      </c>
      <c r="M51" s="69" t="s">
        <v>92</v>
      </c>
    </row>
    <row r="52" spans="2:13" ht="12.75" customHeight="1">
      <c r="B52" s="71">
        <f t="shared" si="1"/>
        <v>48</v>
      </c>
      <c r="C52" s="71" t="s">
        <v>21</v>
      </c>
      <c r="D52" s="71" t="s">
        <v>207</v>
      </c>
      <c r="E52" s="198" t="s">
        <v>107</v>
      </c>
      <c r="F52" s="189" t="s">
        <v>210</v>
      </c>
      <c r="G52" s="145" t="s">
        <v>177</v>
      </c>
      <c r="H52" s="155">
        <f t="shared" si="0"/>
        <v>0</v>
      </c>
      <c r="I52" s="156"/>
      <c r="J52" s="4"/>
      <c r="K52" s="208"/>
      <c r="L52" s="175" t="s">
        <v>197</v>
      </c>
      <c r="M52" s="69" t="s">
        <v>92</v>
      </c>
    </row>
    <row r="53" spans="2:13" ht="12.75" customHeight="1">
      <c r="B53" s="71">
        <f t="shared" si="1"/>
        <v>49</v>
      </c>
      <c r="C53" s="71" t="s">
        <v>21</v>
      </c>
      <c r="D53" s="71" t="s">
        <v>207</v>
      </c>
      <c r="E53" s="198" t="s">
        <v>107</v>
      </c>
      <c r="F53" s="189" t="s">
        <v>211</v>
      </c>
      <c r="G53" s="145" t="s">
        <v>180</v>
      </c>
      <c r="H53" s="155">
        <f t="shared" si="0"/>
        <v>0</v>
      </c>
      <c r="I53" s="156"/>
      <c r="J53" s="4"/>
      <c r="K53" s="208"/>
      <c r="L53" s="175" t="s">
        <v>197</v>
      </c>
      <c r="M53" s="69" t="s">
        <v>92</v>
      </c>
    </row>
    <row r="54" spans="2:13" ht="12.75" customHeight="1">
      <c r="B54" s="71">
        <f t="shared" si="1"/>
        <v>50</v>
      </c>
      <c r="C54" s="71" t="s">
        <v>21</v>
      </c>
      <c r="D54" s="71" t="s">
        <v>207</v>
      </c>
      <c r="E54" s="198" t="s">
        <v>127</v>
      </c>
      <c r="F54" s="189" t="s">
        <v>212</v>
      </c>
      <c r="G54" s="145" t="s">
        <v>177</v>
      </c>
      <c r="H54" s="155">
        <f t="shared" si="0"/>
        <v>0</v>
      </c>
      <c r="I54" s="156"/>
      <c r="J54" s="4"/>
      <c r="K54" s="208"/>
      <c r="L54" s="175" t="s">
        <v>197</v>
      </c>
      <c r="M54" s="69" t="s">
        <v>92</v>
      </c>
    </row>
    <row r="55" spans="2:13" ht="12.75" customHeight="1">
      <c r="B55" s="71">
        <f t="shared" si="1"/>
        <v>51</v>
      </c>
      <c r="C55" s="71" t="s">
        <v>21</v>
      </c>
      <c r="D55" s="71" t="s">
        <v>207</v>
      </c>
      <c r="E55" s="198" t="s">
        <v>127</v>
      </c>
      <c r="F55" s="189" t="s">
        <v>213</v>
      </c>
      <c r="G55" s="145" t="s">
        <v>180</v>
      </c>
      <c r="H55" s="155">
        <f t="shared" si="0"/>
        <v>0</v>
      </c>
      <c r="I55" s="156"/>
      <c r="J55" s="4"/>
      <c r="K55" s="208"/>
      <c r="L55" s="175" t="s">
        <v>197</v>
      </c>
      <c r="M55" s="69" t="s">
        <v>92</v>
      </c>
    </row>
    <row r="56" spans="2:13" ht="12.75" customHeight="1">
      <c r="B56" s="71">
        <f t="shared" si="1"/>
        <v>52</v>
      </c>
      <c r="C56" s="71" t="s">
        <v>21</v>
      </c>
      <c r="D56" s="71" t="s">
        <v>207</v>
      </c>
      <c r="E56" s="200" t="s">
        <v>124</v>
      </c>
      <c r="F56" s="175" t="s">
        <v>214</v>
      </c>
      <c r="G56" s="194" t="s">
        <v>170</v>
      </c>
      <c r="H56" s="201">
        <f t="shared" si="0"/>
        <v>4.1500000000000004</v>
      </c>
      <c r="I56" s="156"/>
      <c r="J56" s="4"/>
      <c r="K56" s="204">
        <v>4.1500000000000004</v>
      </c>
      <c r="L56" s="3" t="s">
        <v>171</v>
      </c>
      <c r="M56" s="69" t="s">
        <v>92</v>
      </c>
    </row>
    <row r="57" spans="2:13" ht="12.75" customHeight="1">
      <c r="B57" s="71">
        <f t="shared" si="1"/>
        <v>53</v>
      </c>
      <c r="C57" s="71" t="s">
        <v>21</v>
      </c>
      <c r="D57" s="71" t="s">
        <v>207</v>
      </c>
      <c r="E57" s="200" t="s">
        <v>124</v>
      </c>
      <c r="F57" s="175" t="s">
        <v>215</v>
      </c>
      <c r="G57" s="194" t="s">
        <v>170</v>
      </c>
      <c r="H57" s="201">
        <f t="shared" si="0"/>
        <v>4.1500000000000004</v>
      </c>
      <c r="I57" s="156"/>
      <c r="J57" s="4"/>
      <c r="K57" s="204">
        <v>4.1500000000000004</v>
      </c>
      <c r="L57" s="3" t="s">
        <v>171</v>
      </c>
      <c r="M57" s="69" t="s">
        <v>92</v>
      </c>
    </row>
    <row r="58" spans="2:13" ht="12.75" customHeight="1">
      <c r="B58" s="71">
        <f t="shared" si="1"/>
        <v>54</v>
      </c>
      <c r="C58" s="71" t="s">
        <v>21</v>
      </c>
      <c r="D58" s="71" t="s">
        <v>207</v>
      </c>
      <c r="E58" s="198" t="s">
        <v>124</v>
      </c>
      <c r="F58" s="73" t="s">
        <v>172</v>
      </c>
      <c r="G58" s="73" t="s">
        <v>173</v>
      </c>
      <c r="H58" s="201">
        <f t="shared" si="0"/>
        <v>2.62</v>
      </c>
      <c r="I58" s="156"/>
      <c r="J58" s="4"/>
      <c r="K58" s="204">
        <v>2.62</v>
      </c>
      <c r="L58" s="3" t="s">
        <v>174</v>
      </c>
      <c r="M58" s="69" t="s">
        <v>92</v>
      </c>
    </row>
    <row r="59" spans="2:13" ht="12.75" customHeight="1">
      <c r="B59" s="71">
        <f t="shared" si="1"/>
        <v>55</v>
      </c>
      <c r="C59" s="198" t="s">
        <v>24</v>
      </c>
      <c r="D59" s="71" t="s">
        <v>106</v>
      </c>
      <c r="E59" s="198" t="s">
        <v>124</v>
      </c>
      <c r="F59" s="231" t="s">
        <v>216</v>
      </c>
      <c r="G59" s="232" t="s">
        <v>217</v>
      </c>
      <c r="H59" s="155">
        <f t="shared" si="0"/>
        <v>0</v>
      </c>
      <c r="I59" s="156"/>
      <c r="J59" s="4"/>
      <c r="K59" s="208"/>
      <c r="L59" s="175" t="s">
        <v>218</v>
      </c>
      <c r="M59" s="69" t="s">
        <v>92</v>
      </c>
    </row>
    <row r="60" spans="2:13" ht="12.75" customHeight="1">
      <c r="B60" s="71">
        <f t="shared" si="1"/>
        <v>56</v>
      </c>
      <c r="C60" s="198" t="s">
        <v>24</v>
      </c>
      <c r="D60" s="71" t="s">
        <v>106</v>
      </c>
      <c r="E60" s="198" t="s">
        <v>107</v>
      </c>
      <c r="F60" s="231" t="s">
        <v>219</v>
      </c>
      <c r="G60" s="232" t="s">
        <v>217</v>
      </c>
      <c r="H60" s="155">
        <f t="shared" si="0"/>
        <v>0</v>
      </c>
      <c r="I60" s="156"/>
      <c r="J60" s="4"/>
      <c r="K60" s="208"/>
      <c r="L60" s="175" t="s">
        <v>220</v>
      </c>
      <c r="M60" s="69" t="s">
        <v>92</v>
      </c>
    </row>
    <row r="61" spans="2:13" ht="12.75" customHeight="1">
      <c r="B61" s="71">
        <f t="shared" si="1"/>
        <v>57</v>
      </c>
      <c r="C61" s="198" t="s">
        <v>24</v>
      </c>
      <c r="D61" s="71" t="s">
        <v>106</v>
      </c>
      <c r="E61" s="198" t="s">
        <v>127</v>
      </c>
      <c r="F61" s="231" t="s">
        <v>221</v>
      </c>
      <c r="G61" s="232" t="s">
        <v>217</v>
      </c>
      <c r="H61" s="155">
        <f t="shared" si="0"/>
        <v>0</v>
      </c>
      <c r="I61" s="156"/>
      <c r="J61" s="4"/>
      <c r="K61" s="208"/>
      <c r="L61" s="175" t="s">
        <v>220</v>
      </c>
      <c r="M61" s="69" t="s">
        <v>92</v>
      </c>
    </row>
    <row r="62" spans="2:13" ht="12.75" customHeight="1">
      <c r="B62" s="71">
        <f t="shared" si="1"/>
        <v>58</v>
      </c>
      <c r="C62" s="198" t="s">
        <v>24</v>
      </c>
      <c r="D62" s="186" t="s">
        <v>116</v>
      </c>
      <c r="E62" s="198" t="s">
        <v>107</v>
      </c>
      <c r="F62" s="231" t="s">
        <v>222</v>
      </c>
      <c r="G62" s="145" t="s">
        <v>223</v>
      </c>
      <c r="H62" s="155">
        <f t="shared" si="0"/>
        <v>21786</v>
      </c>
      <c r="I62" s="156"/>
      <c r="J62" s="4"/>
      <c r="K62" s="237">
        <v>21786</v>
      </c>
      <c r="L62" s="267" t="s">
        <v>224</v>
      </c>
      <c r="M62" s="69" t="s">
        <v>92</v>
      </c>
    </row>
    <row r="63" spans="2:13" ht="12.75" customHeight="1">
      <c r="B63" s="71">
        <f t="shared" si="1"/>
        <v>59</v>
      </c>
      <c r="C63" s="198" t="s">
        <v>24</v>
      </c>
      <c r="D63" s="186" t="s">
        <v>116</v>
      </c>
      <c r="E63" s="198" t="s">
        <v>107</v>
      </c>
      <c r="F63" s="231" t="s">
        <v>225</v>
      </c>
      <c r="G63" s="145" t="s">
        <v>226</v>
      </c>
      <c r="H63" s="155">
        <f t="shared" si="0"/>
        <v>0</v>
      </c>
      <c r="I63" s="156"/>
      <c r="J63" s="4"/>
      <c r="K63" s="208"/>
      <c r="L63" s="175" t="s">
        <v>197</v>
      </c>
      <c r="M63" s="69" t="s">
        <v>92</v>
      </c>
    </row>
    <row r="64" spans="2:13" ht="12.75" customHeight="1">
      <c r="B64" s="71">
        <f t="shared" si="1"/>
        <v>60</v>
      </c>
      <c r="C64" s="198" t="s">
        <v>24</v>
      </c>
      <c r="D64" s="186" t="s">
        <v>116</v>
      </c>
      <c r="E64" s="198" t="s">
        <v>127</v>
      </c>
      <c r="F64" s="231" t="s">
        <v>227</v>
      </c>
      <c r="G64" s="145" t="s">
        <v>223</v>
      </c>
      <c r="H64" s="155">
        <f t="shared" si="0"/>
        <v>0</v>
      </c>
      <c r="I64" s="156"/>
      <c r="J64" s="4"/>
      <c r="K64" s="208"/>
      <c r="L64" s="175" t="s">
        <v>197</v>
      </c>
      <c r="M64" s="69" t="s">
        <v>92</v>
      </c>
    </row>
    <row r="65" spans="2:13" ht="12.75" customHeight="1">
      <c r="B65" s="71">
        <f t="shared" si="1"/>
        <v>61</v>
      </c>
      <c r="C65" s="198" t="s">
        <v>24</v>
      </c>
      <c r="D65" s="186" t="s">
        <v>116</v>
      </c>
      <c r="E65" s="198" t="s">
        <v>127</v>
      </c>
      <c r="F65" s="231" t="s">
        <v>228</v>
      </c>
      <c r="G65" s="145" t="s">
        <v>226</v>
      </c>
      <c r="H65" s="155">
        <f t="shared" si="0"/>
        <v>0</v>
      </c>
      <c r="I65" s="156"/>
      <c r="J65" s="4"/>
      <c r="K65" s="208"/>
      <c r="L65" s="175" t="s">
        <v>197</v>
      </c>
      <c r="M65" s="69" t="s">
        <v>92</v>
      </c>
    </row>
    <row r="66" spans="2:13" ht="12.75" customHeight="1">
      <c r="B66" s="71">
        <f t="shared" si="1"/>
        <v>62</v>
      </c>
      <c r="C66" s="198" t="s">
        <v>24</v>
      </c>
      <c r="D66" s="186" t="s">
        <v>116</v>
      </c>
      <c r="E66" s="198" t="s">
        <v>107</v>
      </c>
      <c r="F66" s="231" t="s">
        <v>229</v>
      </c>
      <c r="G66" s="145" t="s">
        <v>226</v>
      </c>
      <c r="H66" s="155" t="e">
        <f t="shared" si="0"/>
        <v>#DIV/0!</v>
      </c>
      <c r="I66" s="156"/>
      <c r="J66" s="4"/>
      <c r="K66" s="237" t="e">
        <f>'仮定値算定シート（ルート3)'!G102</f>
        <v>#DIV/0!</v>
      </c>
      <c r="L66" s="267" t="s">
        <v>230</v>
      </c>
      <c r="M66" s="69" t="s">
        <v>92</v>
      </c>
    </row>
    <row r="67" spans="2:13" ht="12.75" customHeight="1">
      <c r="B67" s="71">
        <f t="shared" si="1"/>
        <v>63</v>
      </c>
      <c r="C67" s="198" t="s">
        <v>24</v>
      </c>
      <c r="D67" s="186" t="s">
        <v>116</v>
      </c>
      <c r="E67" s="198" t="s">
        <v>127</v>
      </c>
      <c r="F67" s="231" t="s">
        <v>231</v>
      </c>
      <c r="G67" s="145" t="s">
        <v>226</v>
      </c>
      <c r="H67" s="155" t="e">
        <f t="shared" si="0"/>
        <v>#DIV/0!</v>
      </c>
      <c r="I67" s="156"/>
      <c r="J67" s="4"/>
      <c r="K67" s="237" t="e">
        <f>'仮定値算定シート（ルート3)'!G115</f>
        <v>#DIV/0!</v>
      </c>
      <c r="L67" s="267" t="s">
        <v>230</v>
      </c>
      <c r="M67" s="69" t="s">
        <v>92</v>
      </c>
    </row>
    <row r="68" spans="2:13" ht="12.75" customHeight="1">
      <c r="B68" s="71">
        <f t="shared" si="1"/>
        <v>64</v>
      </c>
      <c r="C68" s="198" t="s">
        <v>24</v>
      </c>
      <c r="D68" s="188" t="s">
        <v>182</v>
      </c>
      <c r="E68" s="198" t="s">
        <v>107</v>
      </c>
      <c r="F68" s="231" t="s">
        <v>232</v>
      </c>
      <c r="G68" s="145" t="s">
        <v>223</v>
      </c>
      <c r="H68" s="155">
        <f t="shared" si="0"/>
        <v>63144</v>
      </c>
      <c r="I68" s="156"/>
      <c r="J68" s="4"/>
      <c r="K68" s="237">
        <v>63144</v>
      </c>
      <c r="L68" s="267" t="s">
        <v>230</v>
      </c>
      <c r="M68" s="69" t="s">
        <v>92</v>
      </c>
    </row>
    <row r="69" spans="2:13" ht="12.75" customHeight="1">
      <c r="B69" s="71">
        <f t="shared" si="1"/>
        <v>65</v>
      </c>
      <c r="C69" s="198" t="s">
        <v>24</v>
      </c>
      <c r="D69" s="188" t="s">
        <v>182</v>
      </c>
      <c r="E69" s="198" t="s">
        <v>124</v>
      </c>
      <c r="F69" s="231" t="s">
        <v>233</v>
      </c>
      <c r="G69" s="143" t="s">
        <v>112</v>
      </c>
      <c r="H69" s="155">
        <f t="shared" si="0"/>
        <v>0</v>
      </c>
      <c r="I69" s="156"/>
      <c r="J69" s="4"/>
      <c r="K69" s="208"/>
      <c r="L69" s="175" t="s">
        <v>234</v>
      </c>
      <c r="M69" s="69" t="s">
        <v>92</v>
      </c>
    </row>
    <row r="70" spans="2:13" ht="12.75" customHeight="1">
      <c r="B70" s="71">
        <f t="shared" si="1"/>
        <v>66</v>
      </c>
      <c r="C70" s="198" t="s">
        <v>24</v>
      </c>
      <c r="D70" s="188" t="s">
        <v>182</v>
      </c>
      <c r="E70" s="198" t="s">
        <v>127</v>
      </c>
      <c r="F70" s="231" t="s">
        <v>235</v>
      </c>
      <c r="G70" s="145" t="s">
        <v>223</v>
      </c>
      <c r="H70" s="155">
        <f t="shared" si="0"/>
        <v>62999</v>
      </c>
      <c r="I70" s="156"/>
      <c r="J70" s="4"/>
      <c r="K70" s="237">
        <v>62999</v>
      </c>
      <c r="L70" s="175" t="s">
        <v>230</v>
      </c>
      <c r="M70" s="69" t="s">
        <v>92</v>
      </c>
    </row>
    <row r="71" spans="2:13" ht="12.75" customHeight="1">
      <c r="B71" s="71">
        <f t="shared" si="1"/>
        <v>67</v>
      </c>
      <c r="C71" s="198" t="s">
        <v>24</v>
      </c>
      <c r="D71" s="188" t="s">
        <v>182</v>
      </c>
      <c r="E71" s="198" t="s">
        <v>127</v>
      </c>
      <c r="F71" s="231" t="s">
        <v>236</v>
      </c>
      <c r="G71" s="145" t="s">
        <v>223</v>
      </c>
      <c r="H71" s="155">
        <f t="shared" si="0"/>
        <v>62999</v>
      </c>
      <c r="I71" s="156"/>
      <c r="J71" s="4"/>
      <c r="K71" s="237">
        <v>62999</v>
      </c>
      <c r="L71" s="175" t="s">
        <v>230</v>
      </c>
      <c r="M71" s="69" t="s">
        <v>92</v>
      </c>
    </row>
    <row r="72" spans="2:13" ht="12.75" customHeight="1">
      <c r="B72" s="71">
        <f t="shared" si="1"/>
        <v>68</v>
      </c>
      <c r="C72" s="198" t="s">
        <v>24</v>
      </c>
      <c r="D72" s="188" t="s">
        <v>182</v>
      </c>
      <c r="E72" s="198" t="s">
        <v>127</v>
      </c>
      <c r="F72" s="231" t="s">
        <v>237</v>
      </c>
      <c r="G72" s="143" t="s">
        <v>112</v>
      </c>
      <c r="H72" s="155">
        <f t="shared" ref="H72:H79" si="2">IF($I72="",$K72,$I72)</f>
        <v>0</v>
      </c>
      <c r="I72" s="156"/>
      <c r="J72" s="4"/>
      <c r="K72" s="208"/>
      <c r="L72" s="175" t="s">
        <v>238</v>
      </c>
      <c r="M72" s="69" t="s">
        <v>92</v>
      </c>
    </row>
    <row r="73" spans="2:13" ht="12.75" customHeight="1">
      <c r="B73" s="71">
        <f t="shared" ref="B73:B79" si="3">B72+1</f>
        <v>69</v>
      </c>
      <c r="C73" s="198" t="s">
        <v>24</v>
      </c>
      <c r="D73" s="188" t="s">
        <v>72</v>
      </c>
      <c r="E73" s="198" t="s">
        <v>124</v>
      </c>
      <c r="F73" s="231" t="s">
        <v>239</v>
      </c>
      <c r="G73" s="145" t="s">
        <v>223</v>
      </c>
      <c r="H73" s="155">
        <f t="shared" si="2"/>
        <v>0</v>
      </c>
      <c r="I73" s="156"/>
      <c r="J73" s="4"/>
      <c r="K73" s="208"/>
      <c r="L73" s="175" t="s">
        <v>178</v>
      </c>
      <c r="M73" s="69" t="s">
        <v>92</v>
      </c>
    </row>
    <row r="74" spans="2:13" ht="12.75" customHeight="1">
      <c r="B74" s="71">
        <f t="shared" si="3"/>
        <v>70</v>
      </c>
      <c r="C74" s="198" t="s">
        <v>24</v>
      </c>
      <c r="D74" s="71" t="s">
        <v>207</v>
      </c>
      <c r="E74" s="198" t="s">
        <v>107</v>
      </c>
      <c r="F74" s="231" t="s">
        <v>240</v>
      </c>
      <c r="G74" s="145" t="s">
        <v>226</v>
      </c>
      <c r="H74" s="155" t="e">
        <f t="shared" si="2"/>
        <v>#DIV/0!</v>
      </c>
      <c r="I74" s="156"/>
      <c r="J74" s="4"/>
      <c r="K74" s="237" t="e">
        <f>'仮定値算定シート（ルート3)'!G143</f>
        <v>#DIV/0!</v>
      </c>
      <c r="L74" s="267" t="s">
        <v>230</v>
      </c>
      <c r="M74" s="69" t="s">
        <v>92</v>
      </c>
    </row>
    <row r="75" spans="2:13" ht="12.75" customHeight="1">
      <c r="B75" s="71">
        <f t="shared" si="3"/>
        <v>71</v>
      </c>
      <c r="C75" s="198" t="s">
        <v>24</v>
      </c>
      <c r="D75" s="71" t="s">
        <v>207</v>
      </c>
      <c r="E75" s="198" t="s">
        <v>107</v>
      </c>
      <c r="F75" s="231" t="s">
        <v>241</v>
      </c>
      <c r="G75" s="145" t="s">
        <v>226</v>
      </c>
      <c r="H75" s="155" t="e">
        <f t="shared" si="2"/>
        <v>#DIV/0!</v>
      </c>
      <c r="I75" s="156"/>
      <c r="J75" s="4"/>
      <c r="K75" s="237" t="e">
        <f>'仮定値算定シート（ルート3)'!G156</f>
        <v>#DIV/0!</v>
      </c>
      <c r="L75" s="267" t="s">
        <v>230</v>
      </c>
      <c r="M75" s="69" t="s">
        <v>92</v>
      </c>
    </row>
    <row r="76" spans="2:13" ht="12.75" customHeight="1">
      <c r="B76" s="71">
        <f t="shared" si="3"/>
        <v>72</v>
      </c>
      <c r="C76" s="198" t="s">
        <v>24</v>
      </c>
      <c r="D76" s="71" t="s">
        <v>207</v>
      </c>
      <c r="E76" s="198" t="s">
        <v>127</v>
      </c>
      <c r="F76" s="231" t="s">
        <v>242</v>
      </c>
      <c r="G76" s="145" t="s">
        <v>226</v>
      </c>
      <c r="H76" s="155" t="e">
        <f t="shared" si="2"/>
        <v>#DIV/0!</v>
      </c>
      <c r="I76" s="156"/>
      <c r="J76" s="4"/>
      <c r="K76" s="237" t="e">
        <f>'仮定値算定シート（ルート3)'!G169</f>
        <v>#DIV/0!</v>
      </c>
      <c r="L76" s="267" t="s">
        <v>230</v>
      </c>
      <c r="M76" s="69" t="s">
        <v>92</v>
      </c>
    </row>
    <row r="77" spans="2:13" ht="12.75" customHeight="1">
      <c r="B77" s="71">
        <f t="shared" si="3"/>
        <v>73</v>
      </c>
      <c r="C77" s="198" t="s">
        <v>24</v>
      </c>
      <c r="D77" s="71" t="s">
        <v>207</v>
      </c>
      <c r="E77" s="198" t="s">
        <v>127</v>
      </c>
      <c r="F77" s="231" t="s">
        <v>243</v>
      </c>
      <c r="G77" s="145" t="s">
        <v>226</v>
      </c>
      <c r="H77" s="155" t="e">
        <f t="shared" si="2"/>
        <v>#DIV/0!</v>
      </c>
      <c r="I77" s="156"/>
      <c r="J77" s="4"/>
      <c r="K77" s="237" t="e">
        <f>'仮定値算定シート（ルート3)'!G182</f>
        <v>#DIV/0!</v>
      </c>
      <c r="L77" s="267" t="s">
        <v>230</v>
      </c>
      <c r="M77" s="69" t="s">
        <v>92</v>
      </c>
    </row>
    <row r="78" spans="2:13" ht="12.75" customHeight="1">
      <c r="B78" s="71">
        <f t="shared" si="3"/>
        <v>74</v>
      </c>
      <c r="C78" s="198" t="s">
        <v>24</v>
      </c>
      <c r="D78" s="186" t="s">
        <v>80</v>
      </c>
      <c r="E78" s="198" t="s">
        <v>107</v>
      </c>
      <c r="F78" s="231" t="s">
        <v>244</v>
      </c>
      <c r="G78" s="145" t="s">
        <v>226</v>
      </c>
      <c r="H78" s="155">
        <f t="shared" si="2"/>
        <v>0</v>
      </c>
      <c r="I78" s="156"/>
      <c r="J78" s="4"/>
      <c r="K78" s="208"/>
      <c r="L78" s="175" t="s">
        <v>178</v>
      </c>
      <c r="M78" s="69" t="s">
        <v>92</v>
      </c>
    </row>
    <row r="79" spans="2:13" ht="12.75" customHeight="1" thickBot="1">
      <c r="B79" s="387">
        <f t="shared" si="3"/>
        <v>75</v>
      </c>
      <c r="C79" s="255" t="s">
        <v>24</v>
      </c>
      <c r="D79" s="256" t="s">
        <v>80</v>
      </c>
      <c r="E79" s="255" t="s">
        <v>127</v>
      </c>
      <c r="F79" s="257" t="s">
        <v>245</v>
      </c>
      <c r="G79" s="258" t="s">
        <v>226</v>
      </c>
      <c r="H79" s="259">
        <f t="shared" si="2"/>
        <v>0</v>
      </c>
      <c r="I79" s="260"/>
      <c r="J79" s="261"/>
      <c r="K79" s="262"/>
      <c r="L79" s="263" t="s">
        <v>178</v>
      </c>
      <c r="M79" s="69" t="s">
        <v>92</v>
      </c>
    </row>
    <row r="81" spans="1:13">
      <c r="A81" s="69" t="s">
        <v>92</v>
      </c>
      <c r="D81" s="68" t="s">
        <v>92</v>
      </c>
      <c r="F81" s="69" t="s">
        <v>92</v>
      </c>
      <c r="G81" s="68" t="s">
        <v>92</v>
      </c>
      <c r="K81" s="69" t="s">
        <v>92</v>
      </c>
      <c r="L81" s="69" t="s">
        <v>92</v>
      </c>
      <c r="M81" s="69" t="s">
        <v>92</v>
      </c>
    </row>
    <row r="82" spans="1:13">
      <c r="H82" s="140"/>
    </row>
    <row r="83" spans="1:13">
      <c r="H83" s="140"/>
    </row>
  </sheetData>
  <mergeCells count="2">
    <mergeCell ref="I3:J3"/>
    <mergeCell ref="K3:L3"/>
  </mergeCells>
  <phoneticPr fontId="2"/>
  <pageMargins left="0.74803149606299213" right="0.74803149606299213" top="0.98425196850393704" bottom="0.98425196850393704" header="0.51181102362204722" footer="0.51181102362204722"/>
  <pageSetup paperSize="8" scale="8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723E9-C5CB-4597-8DC7-D99AFE15B1AA}">
  <dimension ref="A1:P44"/>
  <sheetViews>
    <sheetView workbookViewId="0">
      <selection activeCell="N34" sqref="N34"/>
    </sheetView>
  </sheetViews>
  <sheetFormatPr defaultColWidth="9" defaultRowHeight="14.25"/>
  <cols>
    <col min="1" max="1" width="2.5703125" style="6" customWidth="1"/>
    <col min="2" max="2" width="4.5703125" style="6" customWidth="1"/>
    <col min="3" max="6" width="2.5703125" style="6" customWidth="1"/>
    <col min="7" max="7" width="43.85546875" style="6" customWidth="1"/>
    <col min="8" max="8" width="10.5703125" style="6" customWidth="1"/>
    <col min="9" max="9" width="2.7109375" style="6" customWidth="1"/>
    <col min="10" max="11" width="14.42578125" style="6" customWidth="1"/>
    <col min="12" max="12" width="2.85546875" style="6" customWidth="1"/>
    <col min="13" max="14" width="14.42578125" style="6" customWidth="1"/>
    <col min="15" max="15" width="2.7109375" style="6" customWidth="1"/>
    <col min="16" max="16" width="82.5703125" style="6" bestFit="1" customWidth="1"/>
    <col min="17" max="16384" width="9" style="6"/>
  </cols>
  <sheetData>
    <row r="1" spans="1:16" ht="18">
      <c r="A1" s="116" t="s">
        <v>18</v>
      </c>
      <c r="B1" s="5"/>
      <c r="C1" s="5"/>
      <c r="D1" s="5"/>
      <c r="E1" s="5"/>
    </row>
    <row r="2" spans="1:16" ht="15" thickBot="1"/>
    <row r="3" spans="1:16" ht="15">
      <c r="F3" s="36" t="s">
        <v>246</v>
      </c>
      <c r="G3" s="37"/>
      <c r="H3" s="38"/>
      <c r="J3" s="437" t="s">
        <v>247</v>
      </c>
      <c r="K3" s="438"/>
      <c r="L3" s="127"/>
      <c r="M3" s="437" t="s">
        <v>248</v>
      </c>
      <c r="N3" s="438"/>
      <c r="O3" s="39"/>
    </row>
    <row r="4" spans="1:16" ht="15">
      <c r="F4" s="40" t="s">
        <v>249</v>
      </c>
      <c r="G4" s="41"/>
      <c r="H4" s="42"/>
      <c r="J4" s="43" t="s">
        <v>250</v>
      </c>
      <c r="K4" s="126" t="s">
        <v>251</v>
      </c>
      <c r="L4" s="127"/>
      <c r="M4" s="43" t="s">
        <v>250</v>
      </c>
      <c r="N4" s="126" t="s">
        <v>252</v>
      </c>
      <c r="O4" s="39"/>
    </row>
    <row r="5" spans="1:16">
      <c r="F5" s="47"/>
      <c r="G5" s="48" t="s">
        <v>253</v>
      </c>
      <c r="H5" s="46" t="s">
        <v>254</v>
      </c>
      <c r="J5" s="49">
        <f>J27</f>
        <v>0</v>
      </c>
      <c r="K5" s="129">
        <f>K27</f>
        <v>0</v>
      </c>
      <c r="M5" s="49">
        <f>M21</f>
        <v>0</v>
      </c>
      <c r="N5" s="129">
        <f>N27</f>
        <v>0</v>
      </c>
    </row>
    <row r="6" spans="1:16">
      <c r="F6" s="47"/>
      <c r="G6" s="50" t="s">
        <v>255</v>
      </c>
      <c r="H6" s="51" t="s">
        <v>254</v>
      </c>
      <c r="J6" s="52"/>
      <c r="K6" s="129">
        <f>K28</f>
        <v>0</v>
      </c>
      <c r="M6" s="52"/>
      <c r="N6" s="129">
        <f>N28</f>
        <v>0</v>
      </c>
    </row>
    <row r="7" spans="1:16">
      <c r="F7" s="47"/>
      <c r="G7" s="50" t="s">
        <v>256</v>
      </c>
      <c r="H7" s="51" t="s">
        <v>254</v>
      </c>
      <c r="J7" s="52"/>
      <c r="K7" s="129">
        <f>K33</f>
        <v>0</v>
      </c>
      <c r="M7" s="52"/>
      <c r="N7" s="129" t="e">
        <f>N33</f>
        <v>#DIV/0!</v>
      </c>
    </row>
    <row r="8" spans="1:16">
      <c r="F8" s="47"/>
      <c r="G8" s="50" t="s">
        <v>257</v>
      </c>
      <c r="H8" s="51" t="s">
        <v>254</v>
      </c>
      <c r="J8" s="52"/>
      <c r="K8" s="129">
        <f>K34</f>
        <v>0</v>
      </c>
      <c r="M8" s="52"/>
      <c r="N8" s="129" t="e">
        <f>N34</f>
        <v>#DIV/0!</v>
      </c>
    </row>
    <row r="9" spans="1:16">
      <c r="F9" s="47"/>
      <c r="G9" s="168" t="s">
        <v>258</v>
      </c>
      <c r="H9" s="51" t="s">
        <v>254</v>
      </c>
      <c r="J9" s="52"/>
      <c r="K9" s="129">
        <f>K38</f>
        <v>0</v>
      </c>
      <c r="M9" s="52"/>
      <c r="N9" s="129" t="e">
        <f>N38</f>
        <v>#DIV/0!</v>
      </c>
    </row>
    <row r="10" spans="1:16">
      <c r="F10" s="47"/>
      <c r="G10" s="50" t="s">
        <v>259</v>
      </c>
      <c r="H10" s="51" t="s">
        <v>254</v>
      </c>
      <c r="J10" s="52"/>
      <c r="K10" s="129">
        <f>K39</f>
        <v>0</v>
      </c>
      <c r="M10" s="52"/>
      <c r="N10" s="129" t="e">
        <f>N39</f>
        <v>#DIV/0!</v>
      </c>
    </row>
    <row r="11" spans="1:16">
      <c r="F11" s="47"/>
      <c r="G11" s="169" t="s">
        <v>260</v>
      </c>
      <c r="H11" s="51" t="s">
        <v>254</v>
      </c>
      <c r="J11" s="49">
        <f>J40</f>
        <v>0</v>
      </c>
      <c r="K11" s="129">
        <f>K40</f>
        <v>0</v>
      </c>
      <c r="M11" s="49">
        <f>M40</f>
        <v>0</v>
      </c>
      <c r="N11" s="129" t="e">
        <f>N40</f>
        <v>#DIV/0!</v>
      </c>
    </row>
    <row r="12" spans="1:16">
      <c r="F12" s="47"/>
      <c r="G12" s="169" t="s">
        <v>261</v>
      </c>
      <c r="H12" s="51" t="s">
        <v>254</v>
      </c>
      <c r="J12" s="52"/>
      <c r="K12" s="129">
        <f>K39</f>
        <v>0</v>
      </c>
      <c r="M12" s="52"/>
      <c r="N12" s="129" t="e">
        <f>N39</f>
        <v>#DIV/0!</v>
      </c>
    </row>
    <row r="13" spans="1:16" ht="15" thickBot="1">
      <c r="F13" s="53"/>
      <c r="G13" s="170" t="s">
        <v>262</v>
      </c>
      <c r="H13" s="55" t="s">
        <v>254</v>
      </c>
      <c r="I13" s="171"/>
      <c r="J13" s="56">
        <f>J43</f>
        <v>0</v>
      </c>
      <c r="K13" s="130">
        <f>K42+K43</f>
        <v>0</v>
      </c>
      <c r="L13" s="171"/>
      <c r="M13" s="56">
        <f>M43</f>
        <v>0</v>
      </c>
      <c r="N13" s="130" t="e">
        <f>N42+N43</f>
        <v>#DIV/0!</v>
      </c>
    </row>
    <row r="15" spans="1:16">
      <c r="B15" s="6" t="s">
        <v>263</v>
      </c>
    </row>
    <row r="16" spans="1:16">
      <c r="B16" s="9" t="s">
        <v>8</v>
      </c>
      <c r="C16" s="10" t="s">
        <v>264</v>
      </c>
      <c r="D16" s="11"/>
      <c r="E16" s="10" t="s">
        <v>265</v>
      </c>
      <c r="F16" s="12"/>
      <c r="G16" s="11"/>
      <c r="H16" s="9" t="s">
        <v>266</v>
      </c>
      <c r="J16" s="128" t="s">
        <v>58</v>
      </c>
      <c r="K16" s="9" t="s">
        <v>267</v>
      </c>
      <c r="M16" s="9" t="s">
        <v>268</v>
      </c>
      <c r="N16" s="9" t="s">
        <v>269</v>
      </c>
      <c r="P16" s="9" t="s">
        <v>270</v>
      </c>
    </row>
    <row r="17" spans="2:16" ht="14.25" customHeight="1">
      <c r="B17" s="13">
        <v>1</v>
      </c>
      <c r="C17" s="14"/>
      <c r="D17" s="14"/>
      <c r="E17" s="14"/>
      <c r="F17" s="120" t="s">
        <v>271</v>
      </c>
      <c r="G17" s="28"/>
      <c r="H17" s="7" t="s">
        <v>272</v>
      </c>
      <c r="J17" s="182">
        <f>'パラメータ（ルート3）'!$H$5</f>
        <v>0</v>
      </c>
      <c r="K17" s="63"/>
      <c r="L17" s="317"/>
      <c r="M17" s="63"/>
      <c r="N17" s="63"/>
      <c r="P17" s="7"/>
    </row>
    <row r="18" spans="2:16" ht="14.25" customHeight="1">
      <c r="B18" s="13">
        <f>B17+1</f>
        <v>2</v>
      </c>
      <c r="C18" s="14"/>
      <c r="D18" s="14"/>
      <c r="E18" s="14"/>
      <c r="F18" s="119" t="s">
        <v>273</v>
      </c>
      <c r="G18" s="21"/>
      <c r="H18" s="24" t="s">
        <v>274</v>
      </c>
      <c r="J18" s="318">
        <f>'パラメータ（ルート3）'!$H$6</f>
        <v>9</v>
      </c>
      <c r="K18" s="62"/>
      <c r="L18" s="317"/>
      <c r="M18" s="62"/>
      <c r="N18" s="62"/>
      <c r="P18" s="24"/>
    </row>
    <row r="19" spans="2:16" ht="14.25" customHeight="1">
      <c r="B19" s="13">
        <f t="shared" ref="B19:B43" si="0">B18+1</f>
        <v>3</v>
      </c>
      <c r="C19" s="14"/>
      <c r="D19" s="14"/>
      <c r="E19" s="119" t="s">
        <v>275</v>
      </c>
      <c r="F19" s="119"/>
      <c r="G19" s="21"/>
      <c r="H19" s="24" t="s">
        <v>276</v>
      </c>
      <c r="J19" s="23">
        <f>J17*J18/100</f>
        <v>0</v>
      </c>
      <c r="K19" s="62"/>
      <c r="L19" s="317"/>
      <c r="M19" s="62"/>
      <c r="N19" s="62"/>
      <c r="P19" s="24"/>
    </row>
    <row r="20" spans="2:16" ht="14.25" customHeight="1">
      <c r="B20" s="13">
        <f t="shared" si="0"/>
        <v>4</v>
      </c>
      <c r="C20" s="14"/>
      <c r="D20" s="14"/>
      <c r="E20" s="121" t="s">
        <v>277</v>
      </c>
      <c r="F20" s="7"/>
      <c r="G20" s="28"/>
      <c r="H20" s="7" t="s">
        <v>278</v>
      </c>
      <c r="J20" s="63"/>
      <c r="K20" s="8">
        <f>'パラメータ（ルート3）'!$H$7</f>
        <v>0</v>
      </c>
      <c r="L20" s="317"/>
      <c r="M20" s="63"/>
      <c r="N20" s="63"/>
      <c r="P20" s="7"/>
    </row>
    <row r="21" spans="2:16" ht="14.25" customHeight="1">
      <c r="B21" s="13">
        <f>B20+1</f>
        <v>5</v>
      </c>
      <c r="C21" s="14"/>
      <c r="D21" s="14"/>
      <c r="E21" s="119" t="s">
        <v>279</v>
      </c>
      <c r="F21" s="24"/>
      <c r="G21" s="21"/>
      <c r="H21" s="24" t="s">
        <v>276</v>
      </c>
      <c r="J21" s="62"/>
      <c r="K21" s="62"/>
      <c r="L21" s="317"/>
      <c r="M21" s="318">
        <f>$J$27-($N$22-$K$20)</f>
        <v>0</v>
      </c>
      <c r="N21" s="62"/>
      <c r="P21" s="24"/>
    </row>
    <row r="22" spans="2:16" ht="14.25" customHeight="1">
      <c r="B22" s="13">
        <f t="shared" si="0"/>
        <v>6</v>
      </c>
      <c r="C22" s="14"/>
      <c r="D22" s="14"/>
      <c r="E22" s="121" t="s">
        <v>280</v>
      </c>
      <c r="F22" s="7"/>
      <c r="G22" s="28"/>
      <c r="H22" s="24" t="s">
        <v>276</v>
      </c>
      <c r="J22" s="62"/>
      <c r="K22" s="62"/>
      <c r="L22" s="317"/>
      <c r="M22" s="62"/>
      <c r="N22" s="318">
        <f>'パラメータ（ルート3）'!$H$11</f>
        <v>0</v>
      </c>
      <c r="P22" s="24"/>
    </row>
    <row r="23" spans="2:16" ht="14.25" customHeight="1">
      <c r="B23" s="13">
        <f t="shared" si="0"/>
        <v>7</v>
      </c>
      <c r="C23" s="14"/>
      <c r="D23" s="14"/>
      <c r="E23" s="14"/>
      <c r="F23" s="124" t="s">
        <v>281</v>
      </c>
      <c r="G23" s="167"/>
      <c r="H23" s="7" t="s">
        <v>282</v>
      </c>
      <c r="J23" s="319"/>
      <c r="K23" s="60"/>
      <c r="L23" s="317"/>
      <c r="M23" s="60"/>
      <c r="N23" s="182">
        <f>'パラメータ（ルート3）'!$H$12</f>
        <v>0</v>
      </c>
      <c r="P23" s="24"/>
    </row>
    <row r="24" spans="2:16" ht="14.25" customHeight="1">
      <c r="B24" s="13">
        <f t="shared" si="0"/>
        <v>8</v>
      </c>
      <c r="C24" s="14"/>
      <c r="D24" s="14"/>
      <c r="E24" s="14"/>
      <c r="F24" s="180" t="s">
        <v>283</v>
      </c>
      <c r="G24" s="180"/>
      <c r="H24" s="7" t="s">
        <v>282</v>
      </c>
      <c r="J24" s="63"/>
      <c r="K24" s="63"/>
      <c r="L24" s="317"/>
      <c r="M24" s="63"/>
      <c r="N24" s="320">
        <f>'パラメータ（ルート3）'!$H$13</f>
        <v>0</v>
      </c>
      <c r="P24" s="24"/>
    </row>
    <row r="25" spans="2:16" ht="14.25" customHeight="1">
      <c r="B25" s="13">
        <f t="shared" si="0"/>
        <v>9</v>
      </c>
      <c r="C25" s="14"/>
      <c r="D25" s="14"/>
      <c r="E25" s="14"/>
      <c r="F25" s="120" t="s">
        <v>284</v>
      </c>
      <c r="G25" s="181"/>
      <c r="H25" s="15" t="s">
        <v>276</v>
      </c>
      <c r="J25" s="63"/>
      <c r="K25" s="63"/>
      <c r="L25" s="317"/>
      <c r="M25" s="319"/>
      <c r="N25" s="182">
        <f>$N$22*$N$23/100</f>
        <v>0</v>
      </c>
      <c r="P25" s="24"/>
    </row>
    <row r="26" spans="2:16" ht="14.25" customHeight="1">
      <c r="B26" s="13">
        <f t="shared" si="0"/>
        <v>10</v>
      </c>
      <c r="C26" s="14"/>
      <c r="D26" s="14"/>
      <c r="E26" s="24"/>
      <c r="F26" s="119" t="s">
        <v>285</v>
      </c>
      <c r="G26" s="120"/>
      <c r="H26" s="7" t="s">
        <v>276</v>
      </c>
      <c r="J26" s="63"/>
      <c r="K26" s="62"/>
      <c r="L26" s="317"/>
      <c r="M26" s="63"/>
      <c r="N26" s="182">
        <f>$N$22*$N$24/100</f>
        <v>0</v>
      </c>
      <c r="P26" s="24"/>
    </row>
    <row r="27" spans="2:16" ht="14.25" customHeight="1">
      <c r="B27" s="13">
        <f t="shared" si="0"/>
        <v>11</v>
      </c>
      <c r="C27" s="14"/>
      <c r="D27" s="117" t="s">
        <v>286</v>
      </c>
      <c r="E27" s="32"/>
      <c r="F27" s="32"/>
      <c r="G27" s="32"/>
      <c r="H27" s="122" t="s">
        <v>287</v>
      </c>
      <c r="J27" s="166">
        <f>J17*J18/100</f>
        <v>0</v>
      </c>
      <c r="K27" s="166">
        <f>K20</f>
        <v>0</v>
      </c>
      <c r="L27" s="317"/>
      <c r="M27" s="166">
        <f>M21</f>
        <v>0</v>
      </c>
      <c r="N27" s="166">
        <f>N22</f>
        <v>0</v>
      </c>
      <c r="P27" s="120" t="s">
        <v>288</v>
      </c>
    </row>
    <row r="28" spans="2:16" ht="14.25" customHeight="1">
      <c r="B28" s="13">
        <f t="shared" si="0"/>
        <v>12</v>
      </c>
      <c r="C28" s="14"/>
      <c r="D28" s="117" t="s">
        <v>289</v>
      </c>
      <c r="E28" s="32"/>
      <c r="F28" s="32"/>
      <c r="G28" s="32"/>
      <c r="H28" s="122" t="s">
        <v>287</v>
      </c>
      <c r="J28" s="321"/>
      <c r="K28" s="166">
        <f>K27</f>
        <v>0</v>
      </c>
      <c r="L28" s="317"/>
      <c r="M28" s="321"/>
      <c r="N28" s="166">
        <f>N27</f>
        <v>0</v>
      </c>
      <c r="P28" s="123"/>
    </row>
    <row r="29" spans="2:16" ht="14.25" customHeight="1">
      <c r="B29" s="13">
        <f t="shared" si="0"/>
        <v>13</v>
      </c>
      <c r="C29" s="14"/>
      <c r="D29" s="14"/>
      <c r="E29" s="239"/>
      <c r="F29" s="121" t="s">
        <v>290</v>
      </c>
      <c r="G29" s="124"/>
      <c r="H29" s="24" t="s">
        <v>274</v>
      </c>
      <c r="J29" s="62"/>
      <c r="K29" s="318">
        <f>'パラメータ（ルート3）'!$H$8</f>
        <v>16.7</v>
      </c>
      <c r="L29" s="317"/>
      <c r="M29" s="62"/>
      <c r="N29" s="318" t="e">
        <f>'パラメータ（ルート3）'!$H$14</f>
        <v>#DIV/0!</v>
      </c>
      <c r="P29" s="24"/>
    </row>
    <row r="30" spans="2:16" ht="14.25" customHeight="1">
      <c r="B30" s="13">
        <f t="shared" si="0"/>
        <v>14</v>
      </c>
      <c r="C30" s="14"/>
      <c r="D30" s="14"/>
      <c r="E30" s="119" t="s">
        <v>291</v>
      </c>
      <c r="F30" s="7"/>
      <c r="G30" s="124"/>
      <c r="H30" s="7" t="s">
        <v>276</v>
      </c>
      <c r="J30" s="62"/>
      <c r="K30" s="318">
        <f>K28*(1-(K29/100))</f>
        <v>0</v>
      </c>
      <c r="L30" s="317"/>
      <c r="M30" s="62"/>
      <c r="N30" s="318" t="e">
        <f>N25*(1-(N29/100))</f>
        <v>#DIV/0!</v>
      </c>
      <c r="P30" s="24"/>
    </row>
    <row r="31" spans="2:16" ht="14.25" customHeight="1">
      <c r="B31" s="13">
        <f t="shared" si="0"/>
        <v>15</v>
      </c>
      <c r="C31" s="14"/>
      <c r="D31" s="14"/>
      <c r="E31" s="239"/>
      <c r="F31" s="121" t="s">
        <v>292</v>
      </c>
      <c r="G31" s="124"/>
      <c r="H31" s="24" t="s">
        <v>274</v>
      </c>
      <c r="J31" s="62"/>
      <c r="K31" s="62"/>
      <c r="L31" s="317"/>
      <c r="M31" s="62"/>
      <c r="N31" s="318" t="e">
        <f>'パラメータ（ルート3）'!$H$15</f>
        <v>#DIV/0!</v>
      </c>
      <c r="P31" s="24"/>
    </row>
    <row r="32" spans="2:16" ht="14.25" customHeight="1">
      <c r="B32" s="13">
        <f t="shared" si="0"/>
        <v>16</v>
      </c>
      <c r="C32" s="14"/>
      <c r="D32" s="14"/>
      <c r="E32" s="119" t="s">
        <v>293</v>
      </c>
      <c r="F32" s="7"/>
      <c r="G32" s="124"/>
      <c r="H32" s="7" t="s">
        <v>276</v>
      </c>
      <c r="J32" s="62"/>
      <c r="K32" s="62"/>
      <c r="L32" s="317"/>
      <c r="M32" s="62"/>
      <c r="N32" s="318" t="e">
        <f>N26*(1-(N31/100))</f>
        <v>#DIV/0!</v>
      </c>
      <c r="P32" s="24"/>
    </row>
    <row r="33" spans="2:16" ht="14.25" customHeight="1">
      <c r="B33" s="13">
        <f t="shared" si="0"/>
        <v>17</v>
      </c>
      <c r="C33" s="14"/>
      <c r="D33" s="117" t="s">
        <v>294</v>
      </c>
      <c r="E33" s="32"/>
      <c r="F33" s="32"/>
      <c r="G33" s="32"/>
      <c r="H33" s="122" t="s">
        <v>287</v>
      </c>
      <c r="J33" s="321"/>
      <c r="K33" s="166">
        <f>K30</f>
        <v>0</v>
      </c>
      <c r="L33" s="317"/>
      <c r="M33" s="321"/>
      <c r="N33" s="166" t="e">
        <f>N30+N32</f>
        <v>#DIV/0!</v>
      </c>
      <c r="P33" s="123"/>
    </row>
    <row r="34" spans="2:16" ht="14.25" customHeight="1">
      <c r="B34" s="13">
        <f t="shared" si="0"/>
        <v>18</v>
      </c>
      <c r="C34" s="14"/>
      <c r="D34" s="117" t="s">
        <v>295</v>
      </c>
      <c r="E34" s="32"/>
      <c r="F34" s="32"/>
      <c r="G34" s="32"/>
      <c r="H34" s="122" t="s">
        <v>287</v>
      </c>
      <c r="J34" s="321"/>
      <c r="K34" s="166">
        <f>K28*K29/100</f>
        <v>0</v>
      </c>
      <c r="L34" s="317"/>
      <c r="M34" s="321"/>
      <c r="N34" s="166" t="e">
        <f>(N25*N29/100)+(N26*N31/100)</f>
        <v>#DIV/0!</v>
      </c>
      <c r="P34" s="123"/>
    </row>
    <row r="35" spans="2:16" ht="14.25" customHeight="1">
      <c r="B35" s="13">
        <f t="shared" si="0"/>
        <v>19</v>
      </c>
      <c r="C35" s="14"/>
      <c r="D35" s="14"/>
      <c r="E35" s="183" t="s">
        <v>296</v>
      </c>
      <c r="F35" s="28"/>
      <c r="G35" s="17"/>
      <c r="H35" s="7" t="s">
        <v>276</v>
      </c>
      <c r="J35" s="63"/>
      <c r="K35" s="182">
        <f>K33</f>
        <v>0</v>
      </c>
      <c r="L35" s="317"/>
      <c r="M35" s="63"/>
      <c r="N35" s="182" t="e">
        <f>N30</f>
        <v>#DIV/0!</v>
      </c>
      <c r="P35" s="16"/>
    </row>
    <row r="36" spans="2:16" ht="14.25" customHeight="1">
      <c r="B36" s="13">
        <f t="shared" si="0"/>
        <v>20</v>
      </c>
      <c r="C36" s="14"/>
      <c r="D36" s="14"/>
      <c r="E36" s="183" t="s">
        <v>297</v>
      </c>
      <c r="F36" s="28"/>
      <c r="G36" s="18"/>
      <c r="H36" s="7" t="s">
        <v>276</v>
      </c>
      <c r="J36" s="63"/>
      <c r="K36" s="185"/>
      <c r="L36" s="317"/>
      <c r="M36" s="63"/>
      <c r="N36" s="182" t="e">
        <f>N32</f>
        <v>#DIV/0!</v>
      </c>
      <c r="P36" s="27"/>
    </row>
    <row r="37" spans="2:16" ht="14.25" customHeight="1">
      <c r="B37" s="13">
        <f t="shared" si="0"/>
        <v>21</v>
      </c>
      <c r="C37" s="14"/>
      <c r="D37" s="14"/>
      <c r="E37" s="184" t="s">
        <v>298</v>
      </c>
      <c r="F37" s="21"/>
      <c r="G37" s="22"/>
      <c r="H37" s="24" t="s">
        <v>274</v>
      </c>
      <c r="J37" s="62"/>
      <c r="K37" s="318">
        <f>'パラメータ（ルート3）'!$H$9</f>
        <v>55</v>
      </c>
      <c r="L37" s="317"/>
      <c r="M37" s="62"/>
      <c r="N37" s="318">
        <f>'パラメータ（ルート3）'!$H$16</f>
        <v>55</v>
      </c>
      <c r="P37" s="24"/>
    </row>
    <row r="38" spans="2:16" ht="14.25" customHeight="1">
      <c r="B38" s="13">
        <f t="shared" si="0"/>
        <v>22</v>
      </c>
      <c r="C38" s="14"/>
      <c r="D38" s="117" t="s">
        <v>299</v>
      </c>
      <c r="E38" s="32"/>
      <c r="F38" s="32"/>
      <c r="G38" s="32"/>
      <c r="H38" s="122" t="s">
        <v>287</v>
      </c>
      <c r="J38" s="321"/>
      <c r="K38" s="166">
        <f>K33*(1-(K37/100))</f>
        <v>0</v>
      </c>
      <c r="L38" s="317"/>
      <c r="M38" s="321"/>
      <c r="N38" s="166" t="e">
        <f>N33*(1-(N37/100))</f>
        <v>#DIV/0!</v>
      </c>
      <c r="P38" s="123"/>
    </row>
    <row r="39" spans="2:16" ht="14.25" customHeight="1">
      <c r="B39" s="13">
        <f t="shared" si="0"/>
        <v>23</v>
      </c>
      <c r="C39" s="14"/>
      <c r="D39" s="117" t="s">
        <v>300</v>
      </c>
      <c r="E39" s="32"/>
      <c r="F39" s="32"/>
      <c r="G39" s="32"/>
      <c r="H39" s="122" t="s">
        <v>287</v>
      </c>
      <c r="J39" s="321"/>
      <c r="K39" s="166">
        <f>K33*K37/100</f>
        <v>0</v>
      </c>
      <c r="L39" s="317"/>
      <c r="M39" s="321"/>
      <c r="N39" s="166" t="e">
        <f>N33*N37/100</f>
        <v>#DIV/0!</v>
      </c>
      <c r="P39" s="123"/>
    </row>
    <row r="40" spans="2:16" ht="14.25" customHeight="1">
      <c r="B40" s="13">
        <f t="shared" si="0"/>
        <v>24</v>
      </c>
      <c r="C40" s="14"/>
      <c r="D40" s="117" t="s">
        <v>301</v>
      </c>
      <c r="E40" s="32"/>
      <c r="F40" s="32"/>
      <c r="G40" s="32"/>
      <c r="H40" s="122" t="s">
        <v>287</v>
      </c>
      <c r="J40" s="166">
        <f>J27</f>
        <v>0</v>
      </c>
      <c r="K40" s="166">
        <f>K34</f>
        <v>0</v>
      </c>
      <c r="L40" s="317"/>
      <c r="M40" s="166">
        <f>M27</f>
        <v>0</v>
      </c>
      <c r="N40" s="166" t="e">
        <f>N34</f>
        <v>#DIV/0!</v>
      </c>
      <c r="P40" s="123"/>
    </row>
    <row r="41" spans="2:16" ht="14.25" customHeight="1">
      <c r="B41" s="13">
        <f t="shared" si="0"/>
        <v>25</v>
      </c>
      <c r="C41" s="14"/>
      <c r="D41" s="14"/>
      <c r="E41" s="167" t="s">
        <v>302</v>
      </c>
      <c r="F41" s="28"/>
      <c r="G41" s="18"/>
      <c r="H41" s="16" t="s">
        <v>274</v>
      </c>
      <c r="J41" s="26">
        <f>'パラメータ（ルート3）'!$H$10</f>
        <v>3</v>
      </c>
      <c r="K41" s="322">
        <f>'パラメータ（ルート3）'!$H$10</f>
        <v>3</v>
      </c>
      <c r="L41" s="317"/>
      <c r="M41" s="26">
        <f>'パラメータ（ルート3）'!$H$10</f>
        <v>3</v>
      </c>
      <c r="N41" s="322">
        <f>'パラメータ（ルート3）'!$H$10</f>
        <v>3</v>
      </c>
      <c r="P41" s="16"/>
    </row>
    <row r="42" spans="2:16" ht="14.25" customHeight="1">
      <c r="B42" s="13">
        <f t="shared" si="0"/>
        <v>26</v>
      </c>
      <c r="C42" s="14"/>
      <c r="D42" s="117" t="s">
        <v>303</v>
      </c>
      <c r="E42" s="32"/>
      <c r="F42" s="32"/>
      <c r="G42" s="32"/>
      <c r="H42" s="122" t="s">
        <v>287</v>
      </c>
      <c r="J42" s="323"/>
      <c r="K42" s="166">
        <f>K39*K41/100</f>
        <v>0</v>
      </c>
      <c r="L42" s="317"/>
      <c r="M42" s="321"/>
      <c r="N42" s="166" t="e">
        <f>N39*N41/100</f>
        <v>#DIV/0!</v>
      </c>
      <c r="P42" s="123"/>
    </row>
    <row r="43" spans="2:16" ht="14.25" customHeight="1">
      <c r="B43" s="13">
        <f t="shared" si="0"/>
        <v>27</v>
      </c>
      <c r="C43" s="14"/>
      <c r="D43" s="117" t="s">
        <v>304</v>
      </c>
      <c r="E43" s="32"/>
      <c r="F43" s="32"/>
      <c r="G43" s="32"/>
      <c r="H43" s="122" t="s">
        <v>287</v>
      </c>
      <c r="J43" s="166">
        <f>J40*J41/100</f>
        <v>0</v>
      </c>
      <c r="K43" s="166">
        <f>K40*K41/100</f>
        <v>0</v>
      </c>
      <c r="L43" s="317"/>
      <c r="M43" s="166">
        <f>M40*M41/100</f>
        <v>0</v>
      </c>
      <c r="N43" s="166" t="e">
        <f>N40*N41/100</f>
        <v>#DIV/0!</v>
      </c>
      <c r="P43" s="123"/>
    </row>
    <row r="44" spans="2:16">
      <c r="C44" s="29"/>
    </row>
  </sheetData>
  <mergeCells count="2">
    <mergeCell ref="J3:K3"/>
    <mergeCell ref="M3:N3"/>
  </mergeCells>
  <phoneticPr fontId="2"/>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9E4EB-AAE6-409F-BB3E-E2F489FB2FFD}">
  <dimension ref="A1:P71"/>
  <sheetViews>
    <sheetView workbookViewId="0">
      <selection activeCell="G26" sqref="G26"/>
    </sheetView>
  </sheetViews>
  <sheetFormatPr defaultColWidth="9" defaultRowHeight="14.25"/>
  <cols>
    <col min="1" max="1" width="2.85546875" style="6" customWidth="1"/>
    <col min="2" max="2" width="4.5703125" style="6" customWidth="1"/>
    <col min="3" max="6" width="2.5703125" style="6" customWidth="1"/>
    <col min="7" max="7" width="50.140625" style="6" customWidth="1"/>
    <col min="8" max="8" width="10.5703125" style="6" customWidth="1"/>
    <col min="9" max="9" width="2.7109375" style="6" customWidth="1"/>
    <col min="10" max="10" width="14.42578125" style="6" customWidth="1"/>
    <col min="11" max="11" width="14.5703125" style="6" customWidth="1"/>
    <col min="12" max="12" width="2.85546875" style="6" customWidth="1"/>
    <col min="13" max="13" width="14.5703125" style="6" customWidth="1"/>
    <col min="14" max="14" width="14.28515625" style="6" customWidth="1"/>
    <col min="15" max="15" width="2.85546875" style="6" customWidth="1"/>
    <col min="16" max="16" width="49" style="6" customWidth="1"/>
    <col min="17" max="16384" width="9" style="6"/>
  </cols>
  <sheetData>
    <row r="1" spans="1:14" ht="18">
      <c r="A1" s="5" t="s">
        <v>305</v>
      </c>
      <c r="B1" s="5"/>
      <c r="C1" s="5"/>
    </row>
    <row r="2" spans="1:14" ht="15" thickBot="1"/>
    <row r="3" spans="1:14" ht="15">
      <c r="F3" s="36" t="s">
        <v>246</v>
      </c>
      <c r="G3" s="37"/>
      <c r="H3" s="38"/>
      <c r="J3" s="437" t="s">
        <v>247</v>
      </c>
      <c r="K3" s="438"/>
      <c r="L3" s="127"/>
      <c r="M3" s="437" t="s">
        <v>248</v>
      </c>
      <c r="N3" s="438"/>
    </row>
    <row r="4" spans="1:14" ht="15">
      <c r="F4" s="40" t="s">
        <v>249</v>
      </c>
      <c r="G4" s="41"/>
      <c r="H4" s="42"/>
      <c r="J4" s="43" t="s">
        <v>250</v>
      </c>
      <c r="K4" s="126" t="s">
        <v>251</v>
      </c>
      <c r="L4" s="127"/>
      <c r="M4" s="43" t="s">
        <v>250</v>
      </c>
      <c r="N4" s="126" t="s">
        <v>252</v>
      </c>
    </row>
    <row r="5" spans="1:14" ht="15">
      <c r="F5" s="44" t="s">
        <v>306</v>
      </c>
      <c r="G5" s="45"/>
      <c r="H5" s="46" t="s">
        <v>307</v>
      </c>
      <c r="J5" s="224" t="e">
        <f>J$69</f>
        <v>#DIV/0!</v>
      </c>
      <c r="K5" s="225" t="e">
        <f t="shared" ref="K5:N5" si="0">K$69</f>
        <v>#DIV/0!</v>
      </c>
      <c r="M5" s="224" t="e">
        <f t="shared" si="0"/>
        <v>#DIV/0!</v>
      </c>
      <c r="N5" s="225" t="e">
        <f t="shared" si="0"/>
        <v>#DIV/0!</v>
      </c>
    </row>
    <row r="6" spans="1:14">
      <c r="F6" s="47"/>
      <c r="G6" s="48" t="s">
        <v>308</v>
      </c>
      <c r="H6" s="46" t="s">
        <v>307</v>
      </c>
      <c r="J6" s="227">
        <f>J23</f>
        <v>0</v>
      </c>
      <c r="K6" s="226">
        <f>K23</f>
        <v>0</v>
      </c>
      <c r="M6" s="227" t="e">
        <f>M23</f>
        <v>#DIV/0!</v>
      </c>
      <c r="N6" s="226">
        <f>N23</f>
        <v>0</v>
      </c>
    </row>
    <row r="7" spans="1:14">
      <c r="F7" s="47"/>
      <c r="G7" s="50" t="s">
        <v>309</v>
      </c>
      <c r="H7" s="51" t="s">
        <v>307</v>
      </c>
      <c r="J7" s="228"/>
      <c r="K7" s="226" t="e">
        <f>K26</f>
        <v>#DIV/0!</v>
      </c>
      <c r="M7" s="228"/>
      <c r="N7" s="226" t="e">
        <f>N26</f>
        <v>#DIV/0!</v>
      </c>
    </row>
    <row r="8" spans="1:14">
      <c r="F8" s="47"/>
      <c r="G8" s="50" t="s">
        <v>310</v>
      </c>
      <c r="H8" s="51" t="s">
        <v>307</v>
      </c>
      <c r="J8" s="228"/>
      <c r="K8" s="226" t="e">
        <f>K30+K34</f>
        <v>#DIV/0!</v>
      </c>
      <c r="M8" s="228"/>
      <c r="N8" s="226" t="e">
        <f>N30+N34</f>
        <v>#DIV/0!</v>
      </c>
    </row>
    <row r="9" spans="1:14">
      <c r="F9" s="47"/>
      <c r="G9" s="50" t="s">
        <v>311</v>
      </c>
      <c r="H9" s="51" t="s">
        <v>307</v>
      </c>
      <c r="J9" s="228"/>
      <c r="K9" s="226">
        <f>K37</f>
        <v>0</v>
      </c>
      <c r="M9" s="228"/>
      <c r="N9" s="226" t="e">
        <f>N37</f>
        <v>#DIV/0!</v>
      </c>
    </row>
    <row r="10" spans="1:14">
      <c r="F10" s="47"/>
      <c r="G10" s="50" t="s">
        <v>312</v>
      </c>
      <c r="H10" s="51" t="s">
        <v>307</v>
      </c>
      <c r="J10" s="228"/>
      <c r="K10" s="226">
        <f>K41</f>
        <v>0</v>
      </c>
      <c r="M10" s="228"/>
      <c r="N10" s="226" t="e">
        <f>N41</f>
        <v>#DIV/0!</v>
      </c>
    </row>
    <row r="11" spans="1:14">
      <c r="F11" s="47"/>
      <c r="G11" s="50" t="s">
        <v>313</v>
      </c>
      <c r="H11" s="51" t="s">
        <v>307</v>
      </c>
      <c r="J11" s="228"/>
      <c r="K11" s="226" t="e">
        <f>K45</f>
        <v>#DIV/0!</v>
      </c>
      <c r="M11" s="228"/>
      <c r="N11" s="226" t="e">
        <f>N45</f>
        <v>#DIV/0!</v>
      </c>
    </row>
    <row r="12" spans="1:14">
      <c r="F12" s="47"/>
      <c r="G12" s="309" t="s">
        <v>314</v>
      </c>
      <c r="H12" s="51" t="s">
        <v>307</v>
      </c>
      <c r="J12" s="227">
        <f>J55</f>
        <v>0</v>
      </c>
      <c r="K12" s="226">
        <f>K55</f>
        <v>0</v>
      </c>
      <c r="M12" s="227">
        <f>M55</f>
        <v>0</v>
      </c>
      <c r="N12" s="226" t="e">
        <f>N55</f>
        <v>#DIV/0!</v>
      </c>
    </row>
    <row r="13" spans="1:14">
      <c r="F13" s="47"/>
      <c r="G13" s="50" t="s">
        <v>315</v>
      </c>
      <c r="H13" s="51" t="s">
        <v>307</v>
      </c>
      <c r="J13" s="227" t="e">
        <f>J68</f>
        <v>#DIV/0!</v>
      </c>
      <c r="K13" s="226" t="e">
        <f>K68</f>
        <v>#DIV/0!</v>
      </c>
      <c r="M13" s="227" t="e">
        <f>M68</f>
        <v>#DIV/0!</v>
      </c>
      <c r="N13" s="226" t="e">
        <f>N68</f>
        <v>#DIV/0!</v>
      </c>
    </row>
    <row r="14" spans="1:14" ht="15" thickBot="1">
      <c r="F14" s="53"/>
      <c r="G14" s="54" t="s">
        <v>316</v>
      </c>
      <c r="H14" s="55" t="s">
        <v>307</v>
      </c>
      <c r="J14" s="221"/>
      <c r="K14" s="222"/>
      <c r="M14" s="221"/>
      <c r="N14" s="222"/>
    </row>
    <row r="15" spans="1:14">
      <c r="K15" s="223"/>
    </row>
    <row r="16" spans="1:14">
      <c r="B16" s="6" t="s">
        <v>263</v>
      </c>
    </row>
    <row r="17" spans="2:16">
      <c r="B17" s="9" t="s">
        <v>8</v>
      </c>
      <c r="C17" s="10" t="s">
        <v>264</v>
      </c>
      <c r="D17" s="11"/>
      <c r="E17" s="10" t="s">
        <v>265</v>
      </c>
      <c r="F17" s="12"/>
      <c r="G17" s="11"/>
      <c r="H17" s="9" t="s">
        <v>266</v>
      </c>
      <c r="J17" s="385" t="s">
        <v>58</v>
      </c>
      <c r="K17" s="386" t="s">
        <v>267</v>
      </c>
      <c r="L17" s="361"/>
      <c r="M17" s="386" t="s">
        <v>268</v>
      </c>
      <c r="N17" s="386" t="s">
        <v>269</v>
      </c>
      <c r="P17" s="9" t="s">
        <v>270</v>
      </c>
    </row>
    <row r="18" spans="2:16">
      <c r="B18" s="13">
        <v>1</v>
      </c>
      <c r="C18" s="14"/>
      <c r="D18" s="14"/>
      <c r="E18" s="177" t="s">
        <v>317</v>
      </c>
      <c r="F18" s="21"/>
      <c r="G18" s="18"/>
      <c r="H18" s="7" t="s">
        <v>318</v>
      </c>
      <c r="J18" s="360">
        <f>'パラメータ（ルート3）'!H17</f>
        <v>0</v>
      </c>
      <c r="K18" s="360">
        <f>'パラメータ（ルート3）'!H18</f>
        <v>0</v>
      </c>
      <c r="L18" s="361"/>
      <c r="M18" s="360">
        <f>'パラメータ（ルート3）'!H19</f>
        <v>0</v>
      </c>
      <c r="N18" s="360">
        <f>'パラメータ（ルート3）'!H20</f>
        <v>0</v>
      </c>
      <c r="P18" s="7"/>
    </row>
    <row r="19" spans="2:16">
      <c r="B19" s="13">
        <f>B18+1</f>
        <v>2</v>
      </c>
      <c r="C19" s="14"/>
      <c r="D19" s="14"/>
      <c r="E19" s="177" t="s">
        <v>319</v>
      </c>
      <c r="F19" s="25"/>
      <c r="G19" s="18"/>
      <c r="H19" s="7" t="s">
        <v>274</v>
      </c>
      <c r="J19" s="360">
        <f>'パラメータ（ルート3）'!H6</f>
        <v>9</v>
      </c>
      <c r="K19" s="362"/>
      <c r="L19" s="361"/>
      <c r="M19" s="360" t="e">
        <f>('数量（ルート3）'!M21/('数量（ルート3）'!J17-('数量（ルート3）'!J19-'数量（ルート3）'!M21)))*100</f>
        <v>#DIV/0!</v>
      </c>
      <c r="N19" s="362"/>
      <c r="P19" s="7"/>
    </row>
    <row r="20" spans="2:16">
      <c r="B20" s="13">
        <f t="shared" ref="B20:B69" si="1">B19+1</f>
        <v>3</v>
      </c>
      <c r="C20" s="14"/>
      <c r="D20" s="14"/>
      <c r="E20" s="177" t="s">
        <v>320</v>
      </c>
      <c r="F20" s="25"/>
      <c r="G20" s="18"/>
      <c r="H20" s="7" t="s">
        <v>318</v>
      </c>
      <c r="J20" s="360">
        <f>J18*J19/100</f>
        <v>0</v>
      </c>
      <c r="K20" s="362"/>
      <c r="L20" s="361"/>
      <c r="M20" s="360" t="e">
        <f>M18*M19/100</f>
        <v>#DIV/0!</v>
      </c>
      <c r="N20" s="362"/>
      <c r="P20" s="7"/>
    </row>
    <row r="21" spans="2:16">
      <c r="B21" s="13">
        <f t="shared" si="1"/>
        <v>4</v>
      </c>
      <c r="C21" s="14"/>
      <c r="D21" s="14"/>
      <c r="E21" s="28" t="s">
        <v>321</v>
      </c>
      <c r="F21" s="17"/>
      <c r="G21" s="18"/>
      <c r="H21" s="7" t="s">
        <v>322</v>
      </c>
      <c r="J21" s="363">
        <f>'パラメータ（ルート3）'!H21</f>
        <v>10.35</v>
      </c>
      <c r="K21" s="363">
        <f>'パラメータ（ルート3）'!H21</f>
        <v>10.35</v>
      </c>
      <c r="L21" s="361"/>
      <c r="M21" s="363">
        <f>'パラメータ（ルート3）'!H21</f>
        <v>10.35</v>
      </c>
      <c r="N21" s="363">
        <f>'パラメータ（ルート3）'!H21</f>
        <v>10.35</v>
      </c>
      <c r="P21" s="7"/>
    </row>
    <row r="22" spans="2:16">
      <c r="B22" s="13">
        <f t="shared" si="1"/>
        <v>5</v>
      </c>
      <c r="C22" s="14"/>
      <c r="D22" s="24"/>
      <c r="E22" s="28" t="s">
        <v>323</v>
      </c>
      <c r="F22" s="17"/>
      <c r="G22" s="18"/>
      <c r="H22" s="7" t="s">
        <v>173</v>
      </c>
      <c r="J22" s="363">
        <f>'パラメータ（ルート3）'!H22</f>
        <v>2.62</v>
      </c>
      <c r="K22" s="363">
        <f>'パラメータ（ルート3）'!H22</f>
        <v>2.62</v>
      </c>
      <c r="L22" s="361"/>
      <c r="M22" s="363">
        <f>'パラメータ（ルート3）'!H22</f>
        <v>2.62</v>
      </c>
      <c r="N22" s="363">
        <f>'パラメータ（ルート3）'!H22</f>
        <v>2.62</v>
      </c>
      <c r="P22" s="7"/>
    </row>
    <row r="23" spans="2:16" ht="15">
      <c r="B23" s="13">
        <f t="shared" si="1"/>
        <v>6</v>
      </c>
      <c r="C23" s="14"/>
      <c r="D23" s="35" t="s">
        <v>324</v>
      </c>
      <c r="E23" s="33"/>
      <c r="F23" s="33"/>
      <c r="G23" s="34"/>
      <c r="H23" s="122" t="s">
        <v>325</v>
      </c>
      <c r="J23" s="364">
        <f>(J20/J21)*J22/1000</f>
        <v>0</v>
      </c>
      <c r="K23" s="364">
        <f>(K18/K21)*K22/1000</f>
        <v>0</v>
      </c>
      <c r="L23" s="361"/>
      <c r="M23" s="364" t="e">
        <f>(M20/M21)*M22/1000</f>
        <v>#DIV/0!</v>
      </c>
      <c r="N23" s="364">
        <f t="shared" ref="N23" si="2">(N18/N21)*N22/1000</f>
        <v>0</v>
      </c>
      <c r="P23" s="7"/>
    </row>
    <row r="24" spans="2:16">
      <c r="B24" s="13">
        <f t="shared" si="1"/>
        <v>7</v>
      </c>
      <c r="C24" s="14"/>
      <c r="D24" s="14"/>
      <c r="E24" s="177" t="s">
        <v>326</v>
      </c>
      <c r="F24" s="25"/>
      <c r="G24" s="18"/>
      <c r="H24" s="31" t="s">
        <v>327</v>
      </c>
      <c r="J24" s="365"/>
      <c r="K24" s="366" t="e">
        <f>'パラメータ（ルート3）'!H23</f>
        <v>#DIV/0!</v>
      </c>
      <c r="L24" s="361"/>
      <c r="M24" s="365"/>
      <c r="N24" s="366" t="e">
        <f>'パラメータ（ルート3）'!H24</f>
        <v>#DIV/0!</v>
      </c>
      <c r="P24" s="31"/>
    </row>
    <row r="25" spans="2:16">
      <c r="B25" s="13">
        <f t="shared" si="1"/>
        <v>8</v>
      </c>
      <c r="C25" s="14"/>
      <c r="D25" s="21"/>
      <c r="E25" s="28" t="s">
        <v>328</v>
      </c>
      <c r="F25" s="17"/>
      <c r="G25" s="25"/>
      <c r="H25" s="7" t="s">
        <v>329</v>
      </c>
      <c r="J25" s="367"/>
      <c r="K25" s="368">
        <f>'パラメータ（ルート3）'!H25</f>
        <v>4.2900000000000002E-4</v>
      </c>
      <c r="L25" s="361"/>
      <c r="M25" s="367"/>
      <c r="N25" s="368">
        <f>'パラメータ（ルート3）'!H25</f>
        <v>4.2900000000000002E-4</v>
      </c>
      <c r="P25" s="31"/>
    </row>
    <row r="26" spans="2:16" ht="15">
      <c r="B26" s="13">
        <f t="shared" si="1"/>
        <v>9</v>
      </c>
      <c r="C26" s="14"/>
      <c r="D26" s="35" t="s">
        <v>330</v>
      </c>
      <c r="E26" s="32"/>
      <c r="F26" s="32"/>
      <c r="G26" s="34"/>
      <c r="H26" s="192" t="s">
        <v>325</v>
      </c>
      <c r="J26" s="369"/>
      <c r="K26" s="370" t="e">
        <f>K24*K25</f>
        <v>#DIV/0!</v>
      </c>
      <c r="L26" s="361"/>
      <c r="M26" s="369"/>
      <c r="N26" s="370" t="e">
        <f>N24*N25</f>
        <v>#DIV/0!</v>
      </c>
      <c r="P26" s="31"/>
    </row>
    <row r="27" spans="2:16">
      <c r="B27" s="13">
        <f t="shared" si="1"/>
        <v>10</v>
      </c>
      <c r="C27" s="14"/>
      <c r="D27" s="15"/>
      <c r="E27" s="443" t="s">
        <v>331</v>
      </c>
      <c r="F27" s="444"/>
      <c r="G27" s="445"/>
      <c r="H27" s="7" t="s">
        <v>318</v>
      </c>
      <c r="J27" s="371"/>
      <c r="K27" s="360">
        <f>('数量（ルート3）'!$K$33/'パラメータ（ルート3）'!$H$26)*'パラメータ（ルート3）'!$H$27</f>
        <v>0</v>
      </c>
      <c r="L27" s="361"/>
      <c r="M27" s="371"/>
      <c r="N27" s="360" t="e">
        <f>('数量（ルート3）'!$N$33/'パラメータ（ルート3）'!$H$26)*'パラメータ（ルート3）'!$H$28</f>
        <v>#DIV/0!</v>
      </c>
      <c r="P27" s="7"/>
    </row>
    <row r="28" spans="2:16">
      <c r="B28" s="13">
        <f t="shared" si="1"/>
        <v>11</v>
      </c>
      <c r="C28" s="14"/>
      <c r="D28" s="15"/>
      <c r="E28" s="443" t="s">
        <v>321</v>
      </c>
      <c r="F28" s="444"/>
      <c r="G28" s="445"/>
      <c r="H28" s="7" t="s">
        <v>322</v>
      </c>
      <c r="J28" s="372"/>
      <c r="K28" s="363">
        <f>'パラメータ（ルート3）'!$H$29</f>
        <v>4.1500000000000004</v>
      </c>
      <c r="L28" s="361"/>
      <c r="M28" s="372"/>
      <c r="N28" s="363">
        <f>'パラメータ（ルート3）'!$H$29</f>
        <v>4.1500000000000004</v>
      </c>
      <c r="P28" s="7"/>
    </row>
    <row r="29" spans="2:16">
      <c r="B29" s="13">
        <f t="shared" si="1"/>
        <v>12</v>
      </c>
      <c r="C29" s="14"/>
      <c r="D29" s="15"/>
      <c r="E29" s="443" t="s">
        <v>323</v>
      </c>
      <c r="F29" s="444"/>
      <c r="G29" s="445"/>
      <c r="H29" s="7" t="s">
        <v>173</v>
      </c>
      <c r="J29" s="372"/>
      <c r="K29" s="363">
        <f>'パラメータ（ルート3）'!$H$30</f>
        <v>2.62</v>
      </c>
      <c r="L29" s="361"/>
      <c r="M29" s="372"/>
      <c r="N29" s="363">
        <f>'パラメータ（ルート3）'!$H$30</f>
        <v>2.62</v>
      </c>
      <c r="P29" s="7"/>
    </row>
    <row r="30" spans="2:16" ht="15">
      <c r="B30" s="13">
        <f t="shared" si="1"/>
        <v>13</v>
      </c>
      <c r="C30" s="14"/>
      <c r="D30" s="215" t="s">
        <v>332</v>
      </c>
      <c r="E30" s="212"/>
      <c r="F30" s="212"/>
      <c r="G30" s="206"/>
      <c r="H30" s="207" t="s">
        <v>333</v>
      </c>
      <c r="J30" s="371"/>
      <c r="K30" s="364">
        <f>($K$27/$K$28)*$K$29/1000</f>
        <v>0</v>
      </c>
      <c r="L30" s="361"/>
      <c r="M30" s="371"/>
      <c r="N30" s="364" t="e">
        <f>($N$27/$N$28)*$N$29/1000</f>
        <v>#DIV/0!</v>
      </c>
      <c r="P30" s="7"/>
    </row>
    <row r="31" spans="2:16">
      <c r="B31" s="13">
        <f t="shared" si="1"/>
        <v>14</v>
      </c>
      <c r="C31" s="14"/>
      <c r="D31" s="15"/>
      <c r="E31" s="443" t="s">
        <v>334</v>
      </c>
      <c r="F31" s="444"/>
      <c r="G31" s="445"/>
      <c r="H31" s="7" t="s">
        <v>318</v>
      </c>
      <c r="J31" s="371"/>
      <c r="K31" s="360" t="e">
        <f>('数量（ルート3）'!$K$34/'パラメータ（ルート3）'!$H$31)*'パラメータ（ルート3）'!$H$32</f>
        <v>#DIV/0!</v>
      </c>
      <c r="L31" s="361"/>
      <c r="M31" s="371"/>
      <c r="N31" s="360" t="e">
        <f>('数量（ルート3）'!$N$34/'パラメータ（ルート3）'!$H$31)*'パラメータ（ルート3）'!$H$32</f>
        <v>#DIV/0!</v>
      </c>
      <c r="P31" s="7"/>
    </row>
    <row r="32" spans="2:16">
      <c r="B32" s="13">
        <f t="shared" si="1"/>
        <v>15</v>
      </c>
      <c r="C32" s="14"/>
      <c r="D32" s="15"/>
      <c r="E32" s="443" t="s">
        <v>321</v>
      </c>
      <c r="F32" s="444"/>
      <c r="G32" s="445"/>
      <c r="H32" s="7" t="s">
        <v>322</v>
      </c>
      <c r="J32" s="372"/>
      <c r="K32" s="363">
        <f>'パラメータ（ルート3）'!$H$33</f>
        <v>4.1500000000000004</v>
      </c>
      <c r="L32" s="361"/>
      <c r="M32" s="372"/>
      <c r="N32" s="363">
        <f>'パラメータ（ルート3）'!$H$33</f>
        <v>4.1500000000000004</v>
      </c>
      <c r="P32" s="7"/>
    </row>
    <row r="33" spans="2:16">
      <c r="B33" s="13">
        <f t="shared" si="1"/>
        <v>16</v>
      </c>
      <c r="C33" s="14"/>
      <c r="D33" s="24"/>
      <c r="E33" s="443" t="s">
        <v>323</v>
      </c>
      <c r="F33" s="444"/>
      <c r="G33" s="445"/>
      <c r="H33" s="7" t="s">
        <v>173</v>
      </c>
      <c r="J33" s="372"/>
      <c r="K33" s="363">
        <f>'パラメータ（ルート3）'!$H$34</f>
        <v>2.62</v>
      </c>
      <c r="L33" s="361"/>
      <c r="M33" s="372"/>
      <c r="N33" s="363">
        <f>'パラメータ（ルート3）'!$H$34</f>
        <v>2.62</v>
      </c>
      <c r="P33" s="7"/>
    </row>
    <row r="34" spans="2:16" ht="15">
      <c r="B34" s="13">
        <f t="shared" si="1"/>
        <v>17</v>
      </c>
      <c r="C34" s="14"/>
      <c r="D34" s="215" t="s">
        <v>335</v>
      </c>
      <c r="E34" s="211"/>
      <c r="F34" s="205"/>
      <c r="G34" s="206"/>
      <c r="H34" s="207" t="s">
        <v>333</v>
      </c>
      <c r="J34" s="371"/>
      <c r="K34" s="364" t="e">
        <f>($K$31/$K$32)*$K$33/1000</f>
        <v>#DIV/0!</v>
      </c>
      <c r="L34" s="361"/>
      <c r="M34" s="371"/>
      <c r="N34" s="364" t="e">
        <f>($N$31/$N$32)*$N$33/1000</f>
        <v>#DIV/0!</v>
      </c>
      <c r="P34" s="7"/>
    </row>
    <row r="35" spans="2:16">
      <c r="B35" s="13">
        <f t="shared" si="1"/>
        <v>18</v>
      </c>
      <c r="C35" s="14"/>
      <c r="D35" s="31"/>
      <c r="E35" s="124" t="s">
        <v>258</v>
      </c>
      <c r="F35" s="28"/>
      <c r="G35" s="7"/>
      <c r="H35" s="7" t="s">
        <v>336</v>
      </c>
      <c r="J35" s="371"/>
      <c r="K35" s="360">
        <f>'数量（ルート3）'!$K$38</f>
        <v>0</v>
      </c>
      <c r="L35" s="361"/>
      <c r="M35" s="371"/>
      <c r="N35" s="360" t="e">
        <f>'数量（ルート3）'!$N$38</f>
        <v>#DIV/0!</v>
      </c>
      <c r="P35" s="7"/>
    </row>
    <row r="36" spans="2:16" ht="14.25" customHeight="1">
      <c r="B36" s="13">
        <f t="shared" si="1"/>
        <v>19</v>
      </c>
      <c r="C36" s="14"/>
      <c r="D36" s="24"/>
      <c r="E36" s="442" t="s">
        <v>337</v>
      </c>
      <c r="F36" s="440"/>
      <c r="G36" s="441"/>
      <c r="H36" s="7" t="s">
        <v>338</v>
      </c>
      <c r="J36" s="371"/>
      <c r="K36" s="363">
        <f>'パラメータ（ルート3）'!$H$35</f>
        <v>0</v>
      </c>
      <c r="L36" s="361"/>
      <c r="M36" s="371"/>
      <c r="N36" s="363">
        <f>'パラメータ（ルート3）'!$H$38</f>
        <v>0</v>
      </c>
      <c r="P36" s="7"/>
    </row>
    <row r="37" spans="2:16" ht="15">
      <c r="B37" s="13">
        <f t="shared" si="1"/>
        <v>20</v>
      </c>
      <c r="C37" s="14"/>
      <c r="D37" s="35" t="s">
        <v>339</v>
      </c>
      <c r="E37" s="32"/>
      <c r="F37" s="32"/>
      <c r="G37" s="213"/>
      <c r="H37" s="207" t="s">
        <v>333</v>
      </c>
      <c r="J37" s="373"/>
      <c r="K37" s="364">
        <f>$K$35*$K$36</f>
        <v>0</v>
      </c>
      <c r="L37" s="361"/>
      <c r="M37" s="373"/>
      <c r="N37" s="364" t="e">
        <f>$N$35*$N$36</f>
        <v>#DIV/0!</v>
      </c>
      <c r="P37" s="7"/>
    </row>
    <row r="38" spans="2:16" ht="14.25" customHeight="1">
      <c r="B38" s="13">
        <f t="shared" si="1"/>
        <v>21</v>
      </c>
      <c r="C38" s="14"/>
      <c r="D38" s="15"/>
      <c r="E38" s="124" t="s">
        <v>258</v>
      </c>
      <c r="F38" s="28"/>
      <c r="G38" s="7"/>
      <c r="H38" s="7" t="s">
        <v>336</v>
      </c>
      <c r="J38" s="371"/>
      <c r="K38" s="360">
        <f>$K$35</f>
        <v>0</v>
      </c>
      <c r="L38" s="361"/>
      <c r="M38" s="371"/>
      <c r="N38" s="360" t="e">
        <f>$N$35</f>
        <v>#DIV/0!</v>
      </c>
      <c r="P38" s="7"/>
    </row>
    <row r="39" spans="2:16" ht="14.25" customHeight="1">
      <c r="B39" s="13">
        <f t="shared" si="1"/>
        <v>22</v>
      </c>
      <c r="C39" s="14"/>
      <c r="D39" s="24"/>
      <c r="E39" s="442" t="s">
        <v>340</v>
      </c>
      <c r="F39" s="440"/>
      <c r="G39" s="441"/>
      <c r="H39" s="7" t="s">
        <v>338</v>
      </c>
      <c r="J39" s="372"/>
      <c r="K39" s="363">
        <f>'パラメータ（ルート3）'!$H$36</f>
        <v>0</v>
      </c>
      <c r="L39" s="361"/>
      <c r="M39" s="372"/>
      <c r="N39" s="363">
        <f>'パラメータ（ルート3）'!$H$39</f>
        <v>0</v>
      </c>
      <c r="P39" s="7"/>
    </row>
    <row r="40" spans="2:16" ht="14.25" customHeight="1">
      <c r="B40" s="13">
        <f t="shared" si="1"/>
        <v>23</v>
      </c>
      <c r="C40" s="14"/>
      <c r="D40" s="24"/>
      <c r="E40" s="439" t="s">
        <v>341</v>
      </c>
      <c r="F40" s="440"/>
      <c r="G40" s="441"/>
      <c r="H40" s="230" t="s">
        <v>342</v>
      </c>
      <c r="J40" s="372"/>
      <c r="K40" s="363">
        <f>'パラメータ（ルート3）'!H37</f>
        <v>40.4</v>
      </c>
      <c r="L40" s="361"/>
      <c r="M40" s="372"/>
      <c r="N40" s="363">
        <f>'パラメータ（ルート3）'!$H$40</f>
        <v>40.4</v>
      </c>
      <c r="P40" s="7"/>
    </row>
    <row r="41" spans="2:16" ht="15">
      <c r="B41" s="13">
        <f t="shared" si="1"/>
        <v>24</v>
      </c>
      <c r="C41" s="14"/>
      <c r="D41" s="35" t="s">
        <v>343</v>
      </c>
      <c r="E41" s="32"/>
      <c r="F41" s="32"/>
      <c r="G41" s="64"/>
      <c r="H41" s="207" t="s">
        <v>333</v>
      </c>
      <c r="J41" s="373"/>
      <c r="K41" s="374">
        <f>$K$38*$K$39*($K$40/100)</f>
        <v>0</v>
      </c>
      <c r="L41" s="361"/>
      <c r="M41" s="373"/>
      <c r="N41" s="374" t="e">
        <f>$N$38*N39*($N$40/100)</f>
        <v>#DIV/0!</v>
      </c>
      <c r="P41" s="230" t="s">
        <v>344</v>
      </c>
    </row>
    <row r="42" spans="2:16">
      <c r="B42" s="13">
        <f t="shared" si="1"/>
        <v>25</v>
      </c>
      <c r="C42" s="14"/>
      <c r="D42" s="15"/>
      <c r="E42" s="21" t="s">
        <v>331</v>
      </c>
      <c r="F42" s="25"/>
      <c r="G42" s="18"/>
      <c r="H42" s="7" t="s">
        <v>318</v>
      </c>
      <c r="J42" s="371"/>
      <c r="K42" s="360" t="e">
        <f>('数量（ルート3）'!$K$39/'パラメータ（ルート3）'!$H$41)*'パラメータ（ルート3）'!$H$42</f>
        <v>#DIV/0!</v>
      </c>
      <c r="L42" s="361"/>
      <c r="M42" s="371"/>
      <c r="N42" s="360" t="e">
        <f>('数量（ルート3）'!$N$39/'パラメータ（ルート3）'!$H$43)*'パラメータ（ルート3）'!$H$44</f>
        <v>#DIV/0!</v>
      </c>
      <c r="P42" s="7"/>
    </row>
    <row r="43" spans="2:16">
      <c r="B43" s="13">
        <f t="shared" si="1"/>
        <v>26</v>
      </c>
      <c r="C43" s="14"/>
      <c r="D43" s="15"/>
      <c r="E43" s="28" t="s">
        <v>321</v>
      </c>
      <c r="F43" s="17"/>
      <c r="G43" s="18"/>
      <c r="H43" s="7" t="s">
        <v>322</v>
      </c>
      <c r="J43" s="372"/>
      <c r="K43" s="363">
        <f>'パラメータ（ルート3）'!$H$45</f>
        <v>4.1500000000000004</v>
      </c>
      <c r="L43" s="361"/>
      <c r="M43" s="372"/>
      <c r="N43" s="363">
        <f>'パラメータ（ルート3）'!$H$45</f>
        <v>4.1500000000000004</v>
      </c>
      <c r="P43" s="7"/>
    </row>
    <row r="44" spans="2:16">
      <c r="B44" s="13">
        <f t="shared" si="1"/>
        <v>27</v>
      </c>
      <c r="C44" s="14"/>
      <c r="D44" s="24"/>
      <c r="E44" s="28" t="s">
        <v>323</v>
      </c>
      <c r="F44" s="17"/>
      <c r="G44" s="18"/>
      <c r="H44" s="7" t="s">
        <v>173</v>
      </c>
      <c r="J44" s="372"/>
      <c r="K44" s="363">
        <f>'パラメータ（ルート3）'!$H$46</f>
        <v>2.62</v>
      </c>
      <c r="L44" s="361"/>
      <c r="M44" s="372"/>
      <c r="N44" s="363">
        <f>'パラメータ（ルート3）'!$H$46</f>
        <v>2.62</v>
      </c>
      <c r="P44" s="7"/>
    </row>
    <row r="45" spans="2:16" ht="16.5" customHeight="1">
      <c r="B45" s="13">
        <f t="shared" si="1"/>
        <v>28</v>
      </c>
      <c r="C45" s="14"/>
      <c r="D45" s="35" t="s">
        <v>345</v>
      </c>
      <c r="E45" s="32"/>
      <c r="F45" s="32"/>
      <c r="G45" s="64"/>
      <c r="H45" s="207" t="s">
        <v>333</v>
      </c>
      <c r="J45" s="373"/>
      <c r="K45" s="364" t="e">
        <f>($K$42/$K$43)*$K$44/1000</f>
        <v>#DIV/0!</v>
      </c>
      <c r="L45" s="361"/>
      <c r="M45" s="373"/>
      <c r="N45" s="364" t="e">
        <f>($N$42/$N$43)*$N$44/1000</f>
        <v>#DIV/0!</v>
      </c>
      <c r="P45" s="7"/>
    </row>
    <row r="46" spans="2:16">
      <c r="B46" s="13">
        <f t="shared" si="1"/>
        <v>29</v>
      </c>
      <c r="C46" s="14"/>
      <c r="D46" s="14"/>
      <c r="E46" s="214" t="s">
        <v>346</v>
      </c>
      <c r="F46" s="16"/>
      <c r="G46" s="16"/>
      <c r="H46" s="16" t="s">
        <v>336</v>
      </c>
      <c r="J46" s="375">
        <f>'数量（ルート3）'!$J$40</f>
        <v>0</v>
      </c>
      <c r="K46" s="376"/>
      <c r="L46" s="361"/>
      <c r="M46" s="375">
        <f>'数量（ルート3）'!$M$40</f>
        <v>0</v>
      </c>
      <c r="N46" s="376"/>
      <c r="P46" s="7"/>
    </row>
    <row r="47" spans="2:16">
      <c r="B47" s="13">
        <f t="shared" si="1"/>
        <v>30</v>
      </c>
      <c r="C47" s="14"/>
      <c r="D47" s="24"/>
      <c r="E47" s="449" t="s">
        <v>347</v>
      </c>
      <c r="F47" s="444"/>
      <c r="G47" s="445"/>
      <c r="H47" s="7" t="s">
        <v>338</v>
      </c>
      <c r="J47" s="363">
        <f>'パラメータ（ルート3）'!$H$47</f>
        <v>2.7</v>
      </c>
      <c r="K47" s="371"/>
      <c r="L47" s="377"/>
      <c r="M47" s="363">
        <f>'パラメータ（ルート3）'!$H$47</f>
        <v>2.7</v>
      </c>
      <c r="N47" s="371"/>
      <c r="P47" s="16"/>
    </row>
    <row r="48" spans="2:16">
      <c r="B48" s="13">
        <f t="shared" si="1"/>
        <v>31</v>
      </c>
      <c r="C48" s="14"/>
      <c r="D48" s="217" t="s">
        <v>348</v>
      </c>
      <c r="E48" s="59"/>
      <c r="F48" s="32"/>
      <c r="G48" s="213"/>
      <c r="H48" s="218" t="s">
        <v>349</v>
      </c>
      <c r="J48" s="378">
        <f>$J$46*J47</f>
        <v>0</v>
      </c>
      <c r="K48" s="379"/>
      <c r="L48" s="361"/>
      <c r="M48" s="378">
        <f>$M$46*$M$47</f>
        <v>0</v>
      </c>
      <c r="N48" s="379"/>
      <c r="P48" s="24"/>
    </row>
    <row r="49" spans="2:16">
      <c r="B49" s="13">
        <f t="shared" si="1"/>
        <v>32</v>
      </c>
      <c r="C49" s="14"/>
      <c r="D49" s="14"/>
      <c r="E49" s="214" t="s">
        <v>350</v>
      </c>
      <c r="F49" s="16"/>
      <c r="G49" s="16"/>
      <c r="H49" s="16" t="s">
        <v>336</v>
      </c>
      <c r="J49" s="371"/>
      <c r="K49" s="360">
        <f>'数量（ルート3）'!$K$40</f>
        <v>0</v>
      </c>
      <c r="L49" s="361"/>
      <c r="M49" s="371"/>
      <c r="N49" s="360" t="e">
        <f>'数量（ルート3）'!$N$40</f>
        <v>#DIV/0!</v>
      </c>
      <c r="P49" s="7"/>
    </row>
    <row r="50" spans="2:16">
      <c r="B50" s="13">
        <f t="shared" si="1"/>
        <v>33</v>
      </c>
      <c r="C50" s="14"/>
      <c r="D50" s="24"/>
      <c r="E50" s="449" t="s">
        <v>351</v>
      </c>
      <c r="F50" s="444"/>
      <c r="G50" s="445"/>
      <c r="H50" s="7" t="s">
        <v>338</v>
      </c>
      <c r="J50" s="371"/>
      <c r="K50" s="363">
        <f>'パラメータ（ルート3）'!$H$48</f>
        <v>2.7</v>
      </c>
      <c r="L50" s="361"/>
      <c r="M50" s="371"/>
      <c r="N50" s="363">
        <f>'パラメータ（ルート3）'!$H$48</f>
        <v>2.7</v>
      </c>
      <c r="P50" s="16"/>
    </row>
    <row r="51" spans="2:16" ht="14.25" customHeight="1">
      <c r="B51" s="13">
        <f t="shared" si="1"/>
        <v>34</v>
      </c>
      <c r="C51" s="14"/>
      <c r="D51" s="217" t="s">
        <v>352</v>
      </c>
      <c r="E51" s="59"/>
      <c r="F51" s="32"/>
      <c r="G51" s="213"/>
      <c r="H51" s="218" t="s">
        <v>349</v>
      </c>
      <c r="J51" s="379"/>
      <c r="K51" s="378">
        <f>$K$49*K50</f>
        <v>0</v>
      </c>
      <c r="L51" s="361"/>
      <c r="M51" s="379"/>
      <c r="N51" s="378" t="e">
        <f>$N$49*$N$50</f>
        <v>#DIV/0!</v>
      </c>
      <c r="P51" s="24"/>
    </row>
    <row r="52" spans="2:16">
      <c r="B52" s="13">
        <f t="shared" si="1"/>
        <v>35</v>
      </c>
      <c r="C52" s="14"/>
      <c r="D52" s="14"/>
      <c r="E52" s="214" t="s">
        <v>353</v>
      </c>
      <c r="F52" s="16"/>
      <c r="G52" s="16"/>
      <c r="H52" s="16" t="s">
        <v>336</v>
      </c>
      <c r="J52" s="371"/>
      <c r="K52" s="360">
        <f>'数量（ルート3）'!$K$39</f>
        <v>0</v>
      </c>
      <c r="L52" s="361"/>
      <c r="M52" s="371"/>
      <c r="N52" s="360" t="e">
        <f>'数量（ルート3）'!$N$39</f>
        <v>#DIV/0!</v>
      </c>
      <c r="P52" s="7"/>
    </row>
    <row r="53" spans="2:16">
      <c r="B53" s="13">
        <f t="shared" si="1"/>
        <v>36</v>
      </c>
      <c r="C53" s="14"/>
      <c r="D53" s="24"/>
      <c r="E53" s="449" t="s">
        <v>354</v>
      </c>
      <c r="F53" s="444"/>
      <c r="G53" s="445"/>
      <c r="H53" s="7" t="s">
        <v>338</v>
      </c>
      <c r="J53" s="376"/>
      <c r="K53" s="380">
        <f>'パラメータ（ルート3）'!$H$49</f>
        <v>2.7</v>
      </c>
      <c r="L53" s="361"/>
      <c r="M53" s="376"/>
      <c r="N53" s="380">
        <f>'パラメータ（ルート3）'!$H$49</f>
        <v>2.7</v>
      </c>
      <c r="P53" s="16"/>
    </row>
    <row r="54" spans="2:16">
      <c r="B54" s="13">
        <f t="shared" si="1"/>
        <v>37</v>
      </c>
      <c r="C54" s="14"/>
      <c r="D54" s="217" t="s">
        <v>355</v>
      </c>
      <c r="E54" s="59"/>
      <c r="F54" s="32"/>
      <c r="G54" s="213"/>
      <c r="H54" s="218" t="s">
        <v>349</v>
      </c>
      <c r="J54" s="372"/>
      <c r="K54" s="374">
        <f>$K$52*$K$53</f>
        <v>0</v>
      </c>
      <c r="L54" s="361"/>
      <c r="M54" s="372"/>
      <c r="N54" s="374" t="e">
        <f>$N$52*$N$53</f>
        <v>#DIV/0!</v>
      </c>
      <c r="P54" s="7"/>
    </row>
    <row r="55" spans="2:16" ht="15.75" customHeight="1">
      <c r="B55" s="13">
        <f t="shared" si="1"/>
        <v>38</v>
      </c>
      <c r="C55" s="14"/>
      <c r="D55" s="219" t="s">
        <v>356</v>
      </c>
      <c r="E55" s="32"/>
      <c r="F55" s="32"/>
      <c r="G55" s="64"/>
      <c r="H55" s="207" t="s">
        <v>333</v>
      </c>
      <c r="J55" s="364">
        <f>J48</f>
        <v>0</v>
      </c>
      <c r="K55" s="364">
        <f>$K$51+$K$54</f>
        <v>0</v>
      </c>
      <c r="L55" s="361"/>
      <c r="M55" s="364">
        <f>M48</f>
        <v>0</v>
      </c>
      <c r="N55" s="364" t="e">
        <f>$N$51+$N$54</f>
        <v>#DIV/0!</v>
      </c>
      <c r="P55" s="7"/>
    </row>
    <row r="56" spans="2:16" ht="16.5" customHeight="1">
      <c r="B56" s="13">
        <f t="shared" si="1"/>
        <v>39</v>
      </c>
      <c r="C56" s="14"/>
      <c r="D56" s="15"/>
      <c r="E56" s="220" t="s">
        <v>357</v>
      </c>
      <c r="F56" s="25"/>
      <c r="G56" s="18"/>
      <c r="H56" s="7" t="s">
        <v>318</v>
      </c>
      <c r="J56" s="360" t="e">
        <f>('数量（ルート3）'!$J$43/'パラメータ（ルート3）'!$H$50)*'パラメータ（ルート3）'!$H$51</f>
        <v>#DIV/0!</v>
      </c>
      <c r="K56" s="381"/>
      <c r="L56" s="361"/>
      <c r="M56" s="360" t="e">
        <f>('数量（ルート3）'!$M$43/'パラメータ（ルート3）'!$H$50)*'パラメータ（ルート3）'!$H$51</f>
        <v>#DIV/0!</v>
      </c>
      <c r="N56" s="381"/>
      <c r="P56" s="7"/>
    </row>
    <row r="57" spans="2:16">
      <c r="B57" s="13">
        <f t="shared" si="1"/>
        <v>40</v>
      </c>
      <c r="C57" s="14"/>
      <c r="D57" s="15"/>
      <c r="E57" s="28" t="s">
        <v>321</v>
      </c>
      <c r="F57" s="17"/>
      <c r="G57" s="18"/>
      <c r="H57" s="7" t="s">
        <v>322</v>
      </c>
      <c r="J57" s="363">
        <f>'パラメータ（ルート3）'!$H$56</f>
        <v>4.1500000000000004</v>
      </c>
      <c r="K57" s="382"/>
      <c r="L57" s="361"/>
      <c r="M57" s="363">
        <f>'パラメータ（ルート3）'!$H$56</f>
        <v>4.1500000000000004</v>
      </c>
      <c r="N57" s="382"/>
      <c r="P57" s="7"/>
    </row>
    <row r="58" spans="2:16">
      <c r="B58" s="13">
        <f t="shared" si="1"/>
        <v>41</v>
      </c>
      <c r="C58" s="14"/>
      <c r="D58" s="15"/>
      <c r="E58" s="28" t="s">
        <v>323</v>
      </c>
      <c r="F58" s="17"/>
      <c r="G58" s="18"/>
      <c r="H58" s="7" t="s">
        <v>173</v>
      </c>
      <c r="J58" s="363">
        <f>'パラメータ（ルート3）'!$H$58</f>
        <v>2.62</v>
      </c>
      <c r="K58" s="382"/>
      <c r="L58" s="361"/>
      <c r="M58" s="363">
        <f>'パラメータ（ルート3）'!$H$58</f>
        <v>2.62</v>
      </c>
      <c r="N58" s="382"/>
      <c r="P58" s="7"/>
    </row>
    <row r="59" spans="2:16">
      <c r="B59" s="13">
        <f t="shared" si="1"/>
        <v>42</v>
      </c>
      <c r="C59" s="14"/>
      <c r="D59" s="446" t="s">
        <v>358</v>
      </c>
      <c r="E59" s="447"/>
      <c r="F59" s="447"/>
      <c r="G59" s="448"/>
      <c r="H59" s="218" t="s">
        <v>349</v>
      </c>
      <c r="J59" s="374" t="e">
        <f>($J$56/$J$57)*$J$58/1000</f>
        <v>#DIV/0!</v>
      </c>
      <c r="K59" s="381"/>
      <c r="L59" s="361"/>
      <c r="M59" s="374" t="e">
        <f>($M$56/$M$57)*$M$58/1000</f>
        <v>#DIV/0!</v>
      </c>
      <c r="N59" s="381"/>
      <c r="P59" s="7"/>
    </row>
    <row r="60" spans="2:16" ht="15" customHeight="1">
      <c r="B60" s="13">
        <f t="shared" si="1"/>
        <v>43</v>
      </c>
      <c r="C60" s="14"/>
      <c r="D60" s="15"/>
      <c r="E60" s="220" t="s">
        <v>359</v>
      </c>
      <c r="F60" s="25"/>
      <c r="G60" s="18"/>
      <c r="H60" s="7" t="s">
        <v>318</v>
      </c>
      <c r="J60" s="381"/>
      <c r="K60" s="360" t="e">
        <f>('数量（ルート3）'!$K$43/'パラメータ（ルート3）'!$H$50)*'パラメータ（ルート3）'!$H$51</f>
        <v>#DIV/0!</v>
      </c>
      <c r="L60" s="361"/>
      <c r="M60" s="381"/>
      <c r="N60" s="360" t="e">
        <f>('数量（ルート3）'!$N$43/'パラメータ（ルート3）'!$H$50)*'パラメータ（ルート3）'!$H$51</f>
        <v>#DIV/0!</v>
      </c>
      <c r="P60" s="7"/>
    </row>
    <row r="61" spans="2:16">
      <c r="B61" s="13">
        <f t="shared" si="1"/>
        <v>44</v>
      </c>
      <c r="C61" s="14"/>
      <c r="D61" s="15"/>
      <c r="E61" s="28" t="s">
        <v>321</v>
      </c>
      <c r="F61" s="17"/>
      <c r="G61" s="18"/>
      <c r="H61" s="7" t="s">
        <v>322</v>
      </c>
      <c r="J61" s="382"/>
      <c r="K61" s="363">
        <f>'パラメータ（ルート3）'!$H$56</f>
        <v>4.1500000000000004</v>
      </c>
      <c r="L61" s="361"/>
      <c r="M61" s="382"/>
      <c r="N61" s="363">
        <f>'パラメータ（ルート3）'!$H$56</f>
        <v>4.1500000000000004</v>
      </c>
      <c r="P61" s="7"/>
    </row>
    <row r="62" spans="2:16">
      <c r="B62" s="13">
        <f t="shared" si="1"/>
        <v>45</v>
      </c>
      <c r="C62" s="14"/>
      <c r="D62" s="15"/>
      <c r="E62" s="28" t="s">
        <v>323</v>
      </c>
      <c r="F62" s="17"/>
      <c r="G62" s="18"/>
      <c r="H62" s="7" t="s">
        <v>173</v>
      </c>
      <c r="J62" s="382"/>
      <c r="K62" s="363">
        <f>'パラメータ（ルート3）'!$H$58</f>
        <v>2.62</v>
      </c>
      <c r="L62" s="361"/>
      <c r="M62" s="382"/>
      <c r="N62" s="363">
        <f>'パラメータ（ルート3）'!$H$58</f>
        <v>2.62</v>
      </c>
      <c r="P62" s="7"/>
    </row>
    <row r="63" spans="2:16">
      <c r="B63" s="13">
        <f t="shared" si="1"/>
        <v>46</v>
      </c>
      <c r="C63" s="14"/>
      <c r="D63" s="446" t="s">
        <v>360</v>
      </c>
      <c r="E63" s="447"/>
      <c r="F63" s="447"/>
      <c r="G63" s="448"/>
      <c r="H63" s="218" t="s">
        <v>349</v>
      </c>
      <c r="J63" s="381"/>
      <c r="K63" s="374" t="e">
        <f>($K$60/$K$61)*$K$62/1000</f>
        <v>#DIV/0!</v>
      </c>
      <c r="L63" s="361"/>
      <c r="M63" s="381"/>
      <c r="N63" s="374" t="e">
        <f>($N$60/$N$61)*$N$62/1000</f>
        <v>#DIV/0!</v>
      </c>
      <c r="P63" s="7"/>
    </row>
    <row r="64" spans="2:16" ht="15.75" customHeight="1">
      <c r="B64" s="13">
        <f t="shared" si="1"/>
        <v>47</v>
      </c>
      <c r="C64" s="14"/>
      <c r="D64" s="15"/>
      <c r="E64" s="220" t="s">
        <v>361</v>
      </c>
      <c r="F64" s="25"/>
      <c r="G64" s="18"/>
      <c r="H64" s="7" t="s">
        <v>318</v>
      </c>
      <c r="J64" s="381"/>
      <c r="K64" s="360" t="e">
        <f>('数量（ルート3）'!$K$42/'パラメータ（ルート3）'!$H$52)*'パラメータ（ルート3）'!$H$53</f>
        <v>#DIV/0!</v>
      </c>
      <c r="L64" s="361"/>
      <c r="M64" s="381"/>
      <c r="N64" s="360" t="e">
        <f>('数量（ルート3）'!$N$42/'パラメータ（ルート3）'!$H$54)*'パラメータ（ルート3）'!$H$55</f>
        <v>#DIV/0!</v>
      </c>
      <c r="P64" s="7"/>
    </row>
    <row r="65" spans="2:16">
      <c r="B65" s="13">
        <f t="shared" si="1"/>
        <v>48</v>
      </c>
      <c r="C65" s="14"/>
      <c r="D65" s="15"/>
      <c r="E65" s="28" t="s">
        <v>321</v>
      </c>
      <c r="F65" s="17"/>
      <c r="G65" s="18"/>
      <c r="H65" s="7" t="s">
        <v>322</v>
      </c>
      <c r="J65" s="382"/>
      <c r="K65" s="363">
        <f>'パラメータ（ルート3）'!$H$57</f>
        <v>4.1500000000000004</v>
      </c>
      <c r="L65" s="361"/>
      <c r="M65" s="382"/>
      <c r="N65" s="363">
        <f>'パラメータ（ルート3）'!$H$56</f>
        <v>4.1500000000000004</v>
      </c>
      <c r="P65" s="7"/>
    </row>
    <row r="66" spans="2:16">
      <c r="B66" s="13">
        <f t="shared" si="1"/>
        <v>49</v>
      </c>
      <c r="C66" s="14"/>
      <c r="D66" s="15"/>
      <c r="E66" s="28" t="s">
        <v>323</v>
      </c>
      <c r="F66" s="17"/>
      <c r="G66" s="18"/>
      <c r="H66" s="7" t="s">
        <v>173</v>
      </c>
      <c r="J66" s="382"/>
      <c r="K66" s="363">
        <f>'パラメータ（ルート3）'!$H$58</f>
        <v>2.62</v>
      </c>
      <c r="L66" s="361"/>
      <c r="M66" s="382"/>
      <c r="N66" s="363">
        <f>'パラメータ（ルート3）'!$H$58</f>
        <v>2.62</v>
      </c>
      <c r="P66" s="7"/>
    </row>
    <row r="67" spans="2:16">
      <c r="B67" s="13">
        <f t="shared" si="1"/>
        <v>50</v>
      </c>
      <c r="C67" s="14"/>
      <c r="D67" s="446" t="s">
        <v>362</v>
      </c>
      <c r="E67" s="447"/>
      <c r="F67" s="447"/>
      <c r="G67" s="448"/>
      <c r="H67" s="218" t="s">
        <v>349</v>
      </c>
      <c r="J67" s="381"/>
      <c r="K67" s="374" t="e">
        <f>($K$64/$K$65)*$K$66/1000</f>
        <v>#DIV/0!</v>
      </c>
      <c r="L67" s="361"/>
      <c r="M67" s="381"/>
      <c r="N67" s="374" t="e">
        <f>($N$64/$N$65)*$N$66/1000</f>
        <v>#DIV/0!</v>
      </c>
      <c r="P67" s="7"/>
    </row>
    <row r="68" spans="2:16" ht="15">
      <c r="B68" s="13">
        <f t="shared" si="1"/>
        <v>51</v>
      </c>
      <c r="C68" s="14"/>
      <c r="D68" s="35" t="s">
        <v>363</v>
      </c>
      <c r="E68" s="32"/>
      <c r="F68" s="32"/>
      <c r="G68" s="64"/>
      <c r="H68" s="192" t="s">
        <v>364</v>
      </c>
      <c r="J68" s="383" t="e">
        <f>J59</f>
        <v>#DIV/0!</v>
      </c>
      <c r="K68" s="383" t="e">
        <f>$K$63+K67</f>
        <v>#DIV/0!</v>
      </c>
      <c r="L68" s="361"/>
      <c r="M68" s="384" t="e">
        <f>M59</f>
        <v>#DIV/0!</v>
      </c>
      <c r="N68" s="384" t="e">
        <f>$N$63+$N$67</f>
        <v>#DIV/0!</v>
      </c>
      <c r="P68" s="7"/>
    </row>
    <row r="69" spans="2:16" ht="15">
      <c r="B69" s="13">
        <f t="shared" si="1"/>
        <v>52</v>
      </c>
      <c r="C69" s="35" t="s">
        <v>365</v>
      </c>
      <c r="D69" s="212"/>
      <c r="E69" s="212"/>
      <c r="F69" s="212"/>
      <c r="G69" s="206"/>
      <c r="H69" s="192" t="s">
        <v>364</v>
      </c>
      <c r="J69" s="364" t="e">
        <f>J$23+J$26+J$30+J$34+J$37+J$41+J$45+J$55+J$68</f>
        <v>#DIV/0!</v>
      </c>
      <c r="K69" s="364" t="e">
        <f>K$23+K$26+K$30+K$34+K$37+K$41+K$45+K$55+K$68</f>
        <v>#DIV/0!</v>
      </c>
      <c r="L69" s="361"/>
      <c r="M69" s="364" t="e">
        <f>M$23+M$26+M$30+M$34+M$37+M$41+M$45+M$55+M$68</f>
        <v>#DIV/0!</v>
      </c>
      <c r="N69" s="364" t="e">
        <f>N$23+N$26+N$30+N$34+N$37+N$41+N$45+N$55+N$68</f>
        <v>#DIV/0!</v>
      </c>
      <c r="P69" s="7"/>
    </row>
    <row r="71" spans="2:16">
      <c r="J71" s="66"/>
      <c r="K71" s="66"/>
      <c r="M71" s="66"/>
      <c r="N71" s="66"/>
    </row>
  </sheetData>
  <mergeCells count="17">
    <mergeCell ref="E47:G47"/>
    <mergeCell ref="J3:K3"/>
    <mergeCell ref="M3:N3"/>
    <mergeCell ref="E27:G27"/>
    <mergeCell ref="E28:G28"/>
    <mergeCell ref="E29:G29"/>
    <mergeCell ref="E31:G31"/>
    <mergeCell ref="E32:G32"/>
    <mergeCell ref="E33:G33"/>
    <mergeCell ref="E36:G36"/>
    <mergeCell ref="E39:G39"/>
    <mergeCell ref="E40:G40"/>
    <mergeCell ref="E50:G50"/>
    <mergeCell ref="E53:G53"/>
    <mergeCell ref="D59:G59"/>
    <mergeCell ref="D63:G63"/>
    <mergeCell ref="D67:G67"/>
  </mergeCells>
  <phoneticPr fontId="2"/>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32853-840F-4F58-8078-0B24B51D3826}">
  <sheetPr>
    <tabColor theme="4" tint="0.79998168889431442"/>
  </sheetPr>
  <dimension ref="B2:AC61"/>
  <sheetViews>
    <sheetView showGridLines="0" zoomScale="110" zoomScaleNormal="110" workbookViewId="0">
      <selection activeCell="A15" sqref="A15"/>
    </sheetView>
  </sheetViews>
  <sheetFormatPr defaultRowHeight="14.25"/>
  <cols>
    <col min="3" max="3" width="4.85546875" customWidth="1"/>
    <col min="4" max="4" width="4.42578125" bestFit="1" customWidth="1"/>
    <col min="5" max="5" width="11" bestFit="1" customWidth="1"/>
    <col min="20" max="20" width="7" customWidth="1"/>
    <col min="21" max="21" width="9" customWidth="1"/>
    <col min="22" max="22" width="8.140625" customWidth="1"/>
    <col min="26" max="26" width="11.42578125" customWidth="1"/>
  </cols>
  <sheetData>
    <row r="2" spans="2:20" ht="14.25" customHeight="1">
      <c r="B2" s="416" t="s">
        <v>5</v>
      </c>
      <c r="C2" s="242" t="s">
        <v>6</v>
      </c>
      <c r="D2" s="328"/>
      <c r="E2" s="328"/>
      <c r="F2" s="328"/>
      <c r="G2" s="328"/>
      <c r="H2" s="328"/>
      <c r="I2" s="328"/>
      <c r="J2" s="328"/>
      <c r="K2" s="328"/>
      <c r="L2" s="328"/>
      <c r="M2" s="328"/>
      <c r="N2" s="328"/>
      <c r="O2" s="328"/>
      <c r="P2" s="328"/>
      <c r="Q2" s="328"/>
      <c r="R2" s="328"/>
      <c r="S2" s="328"/>
      <c r="T2" s="329"/>
    </row>
    <row r="3" spans="2:20" ht="14.25" customHeight="1">
      <c r="B3" s="417"/>
      <c r="C3" s="330" t="s">
        <v>7</v>
      </c>
      <c r="T3" s="331"/>
    </row>
    <row r="4" spans="2:20" ht="15">
      <c r="B4" s="417"/>
      <c r="C4" s="97"/>
      <c r="D4" s="325" t="s">
        <v>8</v>
      </c>
      <c r="E4" s="326" t="s">
        <v>9</v>
      </c>
      <c r="F4" s="426" t="s">
        <v>10</v>
      </c>
      <c r="G4" s="426"/>
      <c r="H4" s="426"/>
      <c r="I4" s="426"/>
      <c r="J4" s="426"/>
      <c r="K4" s="426"/>
      <c r="L4" s="426"/>
      <c r="M4" s="426"/>
      <c r="N4" s="426"/>
      <c r="O4" s="426"/>
      <c r="T4" s="331"/>
    </row>
    <row r="5" spans="2:20" ht="15" customHeight="1">
      <c r="B5" s="417"/>
      <c r="C5" s="97"/>
      <c r="D5" s="327" t="s">
        <v>11</v>
      </c>
      <c r="E5" s="120" t="s">
        <v>12</v>
      </c>
      <c r="F5" s="463" t="s">
        <v>13</v>
      </c>
      <c r="G5" s="463"/>
      <c r="H5" s="463"/>
      <c r="I5" s="463"/>
      <c r="J5" s="463"/>
      <c r="K5" s="463"/>
      <c r="L5" s="463"/>
      <c r="M5" s="463"/>
      <c r="N5" s="463"/>
      <c r="O5" s="463"/>
      <c r="T5" s="331"/>
    </row>
    <row r="6" spans="2:20">
      <c r="B6" s="417"/>
      <c r="C6" s="97"/>
      <c r="D6" s="327" t="s">
        <v>14</v>
      </c>
      <c r="E6" s="120" t="s">
        <v>15</v>
      </c>
      <c r="F6" s="463" t="s">
        <v>16</v>
      </c>
      <c r="G6" s="463"/>
      <c r="H6" s="463"/>
      <c r="I6" s="463"/>
      <c r="J6" s="463"/>
      <c r="K6" s="463"/>
      <c r="L6" s="463"/>
      <c r="M6" s="463"/>
      <c r="N6" s="463"/>
      <c r="O6" s="463"/>
      <c r="T6" s="331"/>
    </row>
    <row r="7" spans="2:20">
      <c r="B7" s="417"/>
      <c r="C7" s="97"/>
      <c r="D7" s="327" t="s">
        <v>17</v>
      </c>
      <c r="E7" s="120" t="s">
        <v>18</v>
      </c>
      <c r="F7" s="463" t="s">
        <v>19</v>
      </c>
      <c r="G7" s="463"/>
      <c r="H7" s="463"/>
      <c r="I7" s="463"/>
      <c r="J7" s="463"/>
      <c r="K7" s="463"/>
      <c r="L7" s="463"/>
      <c r="M7" s="463"/>
      <c r="N7" s="463"/>
      <c r="O7" s="463"/>
      <c r="T7" s="331"/>
    </row>
    <row r="8" spans="2:20">
      <c r="B8" s="417"/>
      <c r="C8" s="97"/>
      <c r="D8" s="327" t="s">
        <v>20</v>
      </c>
      <c r="E8" s="120" t="s">
        <v>21</v>
      </c>
      <c r="F8" s="463" t="s">
        <v>22</v>
      </c>
      <c r="G8" s="463"/>
      <c r="H8" s="463"/>
      <c r="I8" s="463"/>
      <c r="J8" s="463"/>
      <c r="K8" s="463"/>
      <c r="L8" s="463"/>
      <c r="M8" s="463"/>
      <c r="N8" s="463"/>
      <c r="O8" s="463"/>
      <c r="T8" s="331"/>
    </row>
    <row r="9" spans="2:20">
      <c r="B9" s="417"/>
      <c r="C9" s="97"/>
      <c r="D9" s="327" t="s">
        <v>23</v>
      </c>
      <c r="E9" s="120" t="s">
        <v>24</v>
      </c>
      <c r="F9" s="463" t="s">
        <v>25</v>
      </c>
      <c r="G9" s="463"/>
      <c r="H9" s="463"/>
      <c r="I9" s="463"/>
      <c r="J9" s="463"/>
      <c r="K9" s="463"/>
      <c r="L9" s="463"/>
      <c r="M9" s="463"/>
      <c r="N9" s="463"/>
      <c r="O9" s="463"/>
      <c r="T9" s="331"/>
    </row>
    <row r="10" spans="2:20">
      <c r="B10" s="417"/>
      <c r="C10" s="97"/>
      <c r="D10" s="327" t="s">
        <v>26</v>
      </c>
      <c r="E10" s="120" t="s">
        <v>27</v>
      </c>
      <c r="F10" s="463" t="s">
        <v>28</v>
      </c>
      <c r="G10" s="463"/>
      <c r="H10" s="463"/>
      <c r="I10" s="463"/>
      <c r="J10" s="463"/>
      <c r="K10" s="463"/>
      <c r="L10" s="463"/>
      <c r="M10" s="463"/>
      <c r="N10" s="463"/>
      <c r="O10" s="463"/>
      <c r="T10" s="331"/>
    </row>
    <row r="11" spans="2:20">
      <c r="B11" s="418"/>
      <c r="C11" s="172"/>
      <c r="D11" s="333"/>
      <c r="E11" s="333"/>
      <c r="F11" s="333"/>
      <c r="G11" s="333"/>
      <c r="H11" s="333"/>
      <c r="I11" s="333"/>
      <c r="J11" s="333"/>
      <c r="K11" s="333"/>
      <c r="L11" s="333"/>
      <c r="M11" s="333"/>
      <c r="N11" s="333"/>
      <c r="O11" s="333"/>
      <c r="P11" s="333"/>
      <c r="Q11" s="333"/>
      <c r="R11" s="333"/>
      <c r="S11" s="333"/>
      <c r="T11" s="332"/>
    </row>
    <row r="14" spans="2:20" ht="18">
      <c r="B14" s="419" t="s">
        <v>29</v>
      </c>
      <c r="C14" s="351" t="s">
        <v>30</v>
      </c>
      <c r="D14" s="352" t="s">
        <v>31</v>
      </c>
      <c r="E14" s="353"/>
      <c r="F14" s="353"/>
      <c r="G14" s="353"/>
      <c r="H14" s="353"/>
      <c r="I14" s="353"/>
      <c r="J14" s="353"/>
      <c r="K14" s="353"/>
      <c r="L14" s="353"/>
      <c r="M14" s="353"/>
      <c r="N14" s="353"/>
      <c r="O14" s="353"/>
      <c r="P14" s="353"/>
      <c r="Q14" s="353"/>
      <c r="R14" s="353"/>
      <c r="S14" s="354"/>
      <c r="T14" s="355"/>
    </row>
    <row r="15" spans="2:20" ht="15">
      <c r="B15" s="420"/>
      <c r="C15" s="97"/>
      <c r="D15" s="339" t="s">
        <v>32</v>
      </c>
      <c r="E15" s="340"/>
      <c r="F15" s="340"/>
      <c r="G15" s="340"/>
      <c r="H15" s="340"/>
      <c r="I15" s="340"/>
      <c r="J15" s="340"/>
      <c r="K15" s="340"/>
      <c r="L15" s="340"/>
      <c r="M15" s="340"/>
      <c r="N15" s="340"/>
      <c r="O15" s="340"/>
      <c r="P15" s="340"/>
      <c r="Q15" s="340"/>
      <c r="R15" s="340"/>
      <c r="T15" s="331"/>
    </row>
    <row r="16" spans="2:20" ht="15">
      <c r="B16" s="420"/>
      <c r="C16" s="97"/>
      <c r="D16" s="340"/>
      <c r="E16" s="340"/>
      <c r="F16" s="340"/>
      <c r="G16" s="340"/>
      <c r="H16" s="340"/>
      <c r="I16" s="340"/>
      <c r="J16" s="340"/>
      <c r="K16" s="340"/>
      <c r="L16" s="340"/>
      <c r="M16" s="340"/>
      <c r="N16" s="340"/>
      <c r="O16" s="340"/>
      <c r="P16" s="340"/>
      <c r="Q16" s="340"/>
      <c r="R16" s="340"/>
      <c r="T16" s="331"/>
    </row>
    <row r="17" spans="2:29" ht="15">
      <c r="B17" s="420"/>
      <c r="C17" s="97"/>
      <c r="D17" s="339" t="s">
        <v>33</v>
      </c>
      <c r="E17" s="340"/>
      <c r="F17" s="340"/>
      <c r="G17" s="340"/>
      <c r="H17" s="340"/>
      <c r="I17" s="340"/>
      <c r="J17" s="340"/>
      <c r="K17" s="340"/>
      <c r="L17" s="340"/>
      <c r="M17" s="340"/>
      <c r="N17" s="340"/>
      <c r="O17" s="340"/>
      <c r="P17" s="340"/>
      <c r="Q17" s="340"/>
      <c r="R17" s="340"/>
      <c r="T17" s="331"/>
    </row>
    <row r="18" spans="2:29" ht="15">
      <c r="B18" s="420"/>
      <c r="C18" s="97"/>
      <c r="D18" s="339" t="s">
        <v>34</v>
      </c>
      <c r="E18" s="340"/>
      <c r="F18" s="340"/>
      <c r="G18" s="340"/>
      <c r="H18" s="340"/>
      <c r="I18" s="340"/>
      <c r="J18" s="340"/>
      <c r="K18" s="340"/>
      <c r="L18" s="340"/>
      <c r="M18" s="340"/>
      <c r="N18" s="340"/>
      <c r="O18" s="340"/>
      <c r="P18" s="340"/>
      <c r="Q18" s="340"/>
      <c r="R18" s="340"/>
      <c r="T18" s="331"/>
    </row>
    <row r="19" spans="2:29" ht="15">
      <c r="B19" s="420"/>
      <c r="C19" s="97"/>
      <c r="D19" s="340"/>
      <c r="E19" s="340"/>
      <c r="F19" s="340"/>
      <c r="G19" s="340"/>
      <c r="H19" s="340"/>
      <c r="I19" s="340"/>
      <c r="J19" s="340"/>
      <c r="K19" s="340"/>
      <c r="L19" s="340"/>
      <c r="M19" s="340"/>
      <c r="N19" s="340"/>
      <c r="O19" s="340"/>
      <c r="P19" s="340"/>
      <c r="Q19" s="340"/>
      <c r="R19" s="340"/>
      <c r="T19" s="331"/>
    </row>
    <row r="20" spans="2:29" ht="15">
      <c r="B20" s="420"/>
      <c r="C20" s="97"/>
      <c r="D20" s="339" t="s">
        <v>35</v>
      </c>
      <c r="E20" s="340"/>
      <c r="F20" s="340"/>
      <c r="G20" s="340"/>
      <c r="H20" s="340"/>
      <c r="I20" s="340"/>
      <c r="J20" s="340"/>
      <c r="K20" s="340"/>
      <c r="L20" s="340"/>
      <c r="M20" s="340"/>
      <c r="N20" s="340"/>
      <c r="O20" s="340"/>
      <c r="P20" s="340"/>
      <c r="Q20" s="340"/>
      <c r="R20" s="340"/>
      <c r="T20" s="331"/>
    </row>
    <row r="21" spans="2:29" ht="15">
      <c r="B21" s="420"/>
      <c r="C21" s="97"/>
      <c r="D21" s="340"/>
      <c r="E21" s="340"/>
      <c r="F21" s="340"/>
      <c r="G21" s="340"/>
      <c r="H21" s="340"/>
      <c r="I21" s="340"/>
      <c r="J21" s="340"/>
      <c r="K21" s="340"/>
      <c r="L21" s="340"/>
      <c r="M21" s="340"/>
      <c r="N21" s="340"/>
      <c r="O21" s="340"/>
      <c r="P21" s="340"/>
      <c r="Q21" s="340"/>
      <c r="R21" s="340"/>
      <c r="T21" s="331"/>
    </row>
    <row r="22" spans="2:29" ht="18">
      <c r="B22" s="420"/>
      <c r="C22" s="349" t="s">
        <v>36</v>
      </c>
      <c r="D22" s="356" t="s">
        <v>37</v>
      </c>
      <c r="E22" s="357"/>
      <c r="F22" s="357"/>
      <c r="G22" s="357"/>
      <c r="H22" s="357"/>
      <c r="I22" s="357"/>
      <c r="J22" s="357"/>
      <c r="K22" s="357"/>
      <c r="L22" s="357"/>
      <c r="M22" s="357"/>
      <c r="N22" s="357"/>
      <c r="O22" s="357"/>
      <c r="P22" s="357"/>
      <c r="Q22" s="357"/>
      <c r="R22" s="357"/>
      <c r="S22" s="358"/>
      <c r="T22" s="359"/>
    </row>
    <row r="23" spans="2:29" ht="15">
      <c r="B23" s="420"/>
      <c r="C23" s="342"/>
      <c r="D23" s="339" t="s">
        <v>38</v>
      </c>
      <c r="E23" s="340"/>
      <c r="F23" s="340"/>
      <c r="G23" s="340"/>
      <c r="H23" s="340"/>
      <c r="I23" s="340"/>
      <c r="J23" s="340"/>
      <c r="K23" s="340"/>
      <c r="L23" s="340"/>
      <c r="M23" s="340"/>
      <c r="N23" s="340"/>
      <c r="O23" s="340"/>
      <c r="P23" s="340"/>
      <c r="Q23" s="340"/>
      <c r="R23" s="340"/>
      <c r="T23" s="331"/>
    </row>
    <row r="24" spans="2:29" ht="15">
      <c r="B24" s="420"/>
      <c r="C24" s="342"/>
      <c r="D24" s="339" t="s">
        <v>39</v>
      </c>
      <c r="E24" s="340"/>
      <c r="F24" s="340"/>
      <c r="G24" s="340"/>
      <c r="H24" s="340"/>
      <c r="I24" s="340"/>
      <c r="J24" s="340"/>
      <c r="K24" s="340"/>
      <c r="L24" s="340"/>
      <c r="M24" s="340"/>
      <c r="N24" s="340"/>
      <c r="O24" s="340"/>
      <c r="P24" s="340"/>
      <c r="Q24" s="340"/>
      <c r="R24" s="340"/>
      <c r="T24" s="331"/>
      <c r="U24" s="337"/>
      <c r="V24" s="336"/>
      <c r="W24" s="422"/>
      <c r="X24" s="423"/>
      <c r="Y24" s="423"/>
      <c r="Z24" s="423"/>
      <c r="AA24" s="334"/>
      <c r="AB24" s="424"/>
      <c r="AC24" s="425"/>
    </row>
    <row r="25" spans="2:29" ht="15">
      <c r="B25" s="420"/>
      <c r="C25" s="342"/>
      <c r="D25" s="339"/>
      <c r="E25" s="340"/>
      <c r="F25" s="340"/>
      <c r="G25" s="340"/>
      <c r="H25" s="340"/>
      <c r="I25" s="340"/>
      <c r="J25" s="340"/>
      <c r="K25" s="340"/>
      <c r="L25" s="340"/>
      <c r="M25" s="340"/>
      <c r="N25" s="340"/>
      <c r="O25" s="340"/>
      <c r="P25" s="340"/>
      <c r="Q25" s="340"/>
      <c r="R25" s="340"/>
      <c r="T25" s="331"/>
      <c r="U25" s="337"/>
      <c r="V25" s="336"/>
      <c r="W25" s="336"/>
      <c r="X25" s="338"/>
      <c r="Y25" s="338"/>
      <c r="Z25" s="338"/>
      <c r="AA25" s="334"/>
      <c r="AB25" s="334"/>
      <c r="AC25" s="335"/>
    </row>
    <row r="26" spans="2:29" ht="15">
      <c r="B26" s="420"/>
      <c r="C26" s="342"/>
      <c r="D26" s="344" t="s">
        <v>40</v>
      </c>
      <c r="E26" s="340"/>
      <c r="F26" s="340"/>
      <c r="G26" s="340"/>
      <c r="H26" s="340"/>
      <c r="I26" s="340"/>
      <c r="J26" s="340"/>
      <c r="K26" s="340"/>
      <c r="L26" s="340"/>
      <c r="M26" s="340"/>
      <c r="N26" s="340"/>
      <c r="O26" s="340"/>
      <c r="P26" s="340"/>
      <c r="Q26" s="340"/>
      <c r="R26" s="340"/>
      <c r="T26" s="331"/>
      <c r="U26" s="337"/>
      <c r="V26" s="336"/>
      <c r="W26" s="336"/>
      <c r="X26" s="338"/>
      <c r="Y26" s="338"/>
      <c r="Z26" s="338"/>
      <c r="AA26" s="334"/>
      <c r="AB26" s="334"/>
      <c r="AC26" s="335"/>
    </row>
    <row r="27" spans="2:29" ht="15">
      <c r="B27" s="420"/>
      <c r="C27" s="342"/>
      <c r="D27" s="344" t="s">
        <v>41</v>
      </c>
      <c r="E27" s="340"/>
      <c r="F27" s="340"/>
      <c r="G27" s="340"/>
      <c r="H27" s="340"/>
      <c r="I27" s="340"/>
      <c r="J27" s="340"/>
      <c r="K27" s="340"/>
      <c r="L27" s="340"/>
      <c r="M27" s="340"/>
      <c r="N27" s="340"/>
      <c r="O27" s="340"/>
      <c r="P27" s="340"/>
      <c r="Q27" s="340"/>
      <c r="R27" s="340"/>
      <c r="T27" s="331"/>
    </row>
    <row r="28" spans="2:29" ht="18">
      <c r="B28" s="420"/>
      <c r="C28" s="350"/>
      <c r="D28" s="345"/>
      <c r="E28" s="346"/>
      <c r="F28" s="346"/>
      <c r="G28" s="346"/>
      <c r="H28" s="346"/>
      <c r="I28" s="346"/>
      <c r="J28" s="346"/>
      <c r="K28" s="346"/>
      <c r="L28" s="346"/>
      <c r="M28" s="346"/>
      <c r="N28" s="346"/>
      <c r="O28" s="346"/>
      <c r="P28" s="346"/>
      <c r="Q28" s="346"/>
      <c r="R28" s="346"/>
      <c r="T28" s="331"/>
    </row>
    <row r="29" spans="2:29" ht="18">
      <c r="B29" s="420"/>
      <c r="C29" s="349" t="s">
        <v>42</v>
      </c>
      <c r="D29" s="356" t="s">
        <v>43</v>
      </c>
      <c r="E29" s="357"/>
      <c r="F29" s="357"/>
      <c r="G29" s="357"/>
      <c r="H29" s="357"/>
      <c r="I29" s="357"/>
      <c r="J29" s="357"/>
      <c r="K29" s="357"/>
      <c r="L29" s="357"/>
      <c r="M29" s="357"/>
      <c r="N29" s="357"/>
      <c r="O29" s="357"/>
      <c r="P29" s="357"/>
      <c r="Q29" s="357"/>
      <c r="R29" s="357"/>
      <c r="S29" s="358"/>
      <c r="T29" s="359"/>
    </row>
    <row r="30" spans="2:29" ht="15">
      <c r="B30" s="420"/>
      <c r="C30" s="342"/>
      <c r="D30" s="339" t="s">
        <v>44</v>
      </c>
      <c r="E30" s="340"/>
      <c r="F30" s="340"/>
      <c r="G30" s="340"/>
      <c r="H30" s="340"/>
      <c r="I30" s="340"/>
      <c r="J30" s="340"/>
      <c r="K30" s="340"/>
      <c r="L30" s="340"/>
      <c r="M30" s="340"/>
      <c r="N30" s="340"/>
      <c r="O30" s="340"/>
      <c r="P30" s="340"/>
      <c r="Q30" s="340"/>
      <c r="R30" s="340"/>
      <c r="T30" s="331"/>
    </row>
    <row r="31" spans="2:29" ht="15">
      <c r="B31" s="420"/>
      <c r="C31" s="342"/>
      <c r="D31" s="339" t="s">
        <v>45</v>
      </c>
      <c r="E31" s="340"/>
      <c r="F31" s="340"/>
      <c r="G31" s="340"/>
      <c r="H31" s="340"/>
      <c r="I31" s="340"/>
      <c r="J31" s="340"/>
      <c r="K31" s="340"/>
      <c r="L31" s="340"/>
      <c r="M31" s="340"/>
      <c r="N31" s="340"/>
      <c r="O31" s="340"/>
      <c r="P31" s="340"/>
      <c r="Q31" s="340"/>
      <c r="R31" s="340"/>
      <c r="T31" s="331"/>
    </row>
    <row r="32" spans="2:29" ht="15">
      <c r="B32" s="420"/>
      <c r="C32" s="342"/>
      <c r="D32" s="339" t="s">
        <v>46</v>
      </c>
      <c r="E32" s="340"/>
      <c r="F32" s="340"/>
      <c r="G32" s="340"/>
      <c r="H32" s="340"/>
      <c r="I32" s="340"/>
      <c r="J32" s="340"/>
      <c r="K32" s="340"/>
      <c r="L32" s="340"/>
      <c r="M32" s="340"/>
      <c r="N32" s="340"/>
      <c r="O32" s="340"/>
      <c r="P32" s="340"/>
      <c r="Q32" s="340"/>
      <c r="R32" s="340"/>
      <c r="T32" s="331"/>
    </row>
    <row r="33" spans="2:20" ht="15">
      <c r="B33" s="420"/>
      <c r="C33" s="342"/>
      <c r="E33" s="340"/>
      <c r="F33" s="340"/>
      <c r="G33" s="340"/>
      <c r="H33" s="340"/>
      <c r="I33" s="340"/>
      <c r="J33" s="340"/>
      <c r="K33" s="340"/>
      <c r="L33" s="340"/>
      <c r="M33" s="340"/>
      <c r="N33" s="340"/>
      <c r="O33" s="340"/>
      <c r="P33" s="340"/>
      <c r="Q33" s="340"/>
      <c r="R33" s="340"/>
      <c r="T33" s="331"/>
    </row>
    <row r="34" spans="2:20" ht="15">
      <c r="B34" s="420"/>
      <c r="C34" s="342"/>
      <c r="D34" s="339" t="s">
        <v>47</v>
      </c>
      <c r="E34" s="340"/>
      <c r="F34" s="340"/>
      <c r="G34" s="340"/>
      <c r="H34" s="340"/>
      <c r="I34" s="340"/>
      <c r="J34" s="340"/>
      <c r="K34" s="340"/>
      <c r="L34" s="340"/>
      <c r="M34" s="340"/>
      <c r="N34" s="340"/>
      <c r="O34" s="340"/>
      <c r="P34" s="340"/>
      <c r="Q34" s="340"/>
      <c r="R34" s="340"/>
      <c r="T34" s="331"/>
    </row>
    <row r="35" spans="2:20" ht="15">
      <c r="B35" s="420"/>
      <c r="C35" s="342"/>
      <c r="D35" s="340"/>
      <c r="E35" s="340"/>
      <c r="F35" s="340"/>
      <c r="G35" s="340"/>
      <c r="H35" s="340"/>
      <c r="I35" s="340"/>
      <c r="J35" s="340"/>
      <c r="K35" s="340"/>
      <c r="L35" s="340"/>
      <c r="M35" s="340"/>
      <c r="N35" s="340"/>
      <c r="O35" s="340"/>
      <c r="P35" s="340"/>
      <c r="Q35" s="340"/>
      <c r="R35" s="340"/>
      <c r="T35" s="331"/>
    </row>
    <row r="36" spans="2:20" ht="15">
      <c r="B36" s="421"/>
      <c r="C36" s="343"/>
      <c r="D36" s="348" t="s">
        <v>48</v>
      </c>
      <c r="E36" s="341"/>
      <c r="F36" s="341"/>
      <c r="G36" s="341"/>
      <c r="H36" s="341"/>
      <c r="I36" s="341"/>
      <c r="J36" s="341"/>
      <c r="K36" s="341"/>
      <c r="L36" s="341"/>
      <c r="M36" s="341"/>
      <c r="N36" s="341"/>
      <c r="O36" s="341"/>
      <c r="P36" s="341"/>
      <c r="Q36" s="341"/>
      <c r="R36" s="341"/>
      <c r="S36" s="333"/>
      <c r="T36" s="332"/>
    </row>
    <row r="37" spans="2:20" ht="15">
      <c r="B37" s="347"/>
      <c r="C37" s="340"/>
      <c r="D37" s="340"/>
      <c r="E37" s="340"/>
      <c r="F37" s="340"/>
      <c r="G37" s="340"/>
      <c r="H37" s="340"/>
      <c r="I37" s="340"/>
      <c r="J37" s="340"/>
      <c r="K37" s="340"/>
      <c r="L37" s="340"/>
      <c r="M37" s="340"/>
      <c r="N37" s="340"/>
      <c r="O37" s="340"/>
      <c r="P37" s="340"/>
      <c r="Q37" s="340"/>
      <c r="R37" s="340"/>
    </row>
    <row r="38" spans="2:20">
      <c r="B38" s="347"/>
    </row>
    <row r="39" spans="2:20">
      <c r="B39" s="347"/>
    </row>
    <row r="40" spans="2:20">
      <c r="B40" s="347"/>
    </row>
    <row r="41" spans="2:20">
      <c r="B41" s="347"/>
    </row>
    <row r="42" spans="2:20">
      <c r="B42" s="347"/>
    </row>
    <row r="43" spans="2:20">
      <c r="B43" s="347"/>
    </row>
    <row r="44" spans="2:20">
      <c r="B44" s="347"/>
    </row>
    <row r="45" spans="2:20">
      <c r="B45" s="347"/>
    </row>
    <row r="46" spans="2:20">
      <c r="B46" s="347"/>
    </row>
    <row r="47" spans="2:20">
      <c r="B47" s="347"/>
    </row>
    <row r="48" spans="2:20">
      <c r="B48" s="347"/>
    </row>
    <row r="49" spans="2:18" ht="18">
      <c r="B49" s="347"/>
      <c r="C49" s="345"/>
      <c r="D49" s="345"/>
      <c r="E49" s="346"/>
      <c r="F49" s="346"/>
      <c r="G49" s="346"/>
      <c r="H49" s="346"/>
      <c r="I49" s="346"/>
      <c r="J49" s="346"/>
      <c r="K49" s="346"/>
      <c r="L49" s="346"/>
      <c r="M49" s="346"/>
      <c r="N49" s="346"/>
      <c r="O49" s="346"/>
      <c r="P49" s="346"/>
      <c r="Q49" s="346"/>
      <c r="R49" s="346"/>
    </row>
    <row r="50" spans="2:18" ht="15">
      <c r="B50" s="347"/>
      <c r="C50" s="340"/>
      <c r="D50" s="339"/>
      <c r="E50" s="340"/>
      <c r="F50" s="340"/>
      <c r="G50" s="340"/>
      <c r="H50" s="340"/>
      <c r="I50" s="340"/>
      <c r="J50" s="340"/>
      <c r="K50" s="340"/>
      <c r="L50" s="340"/>
      <c r="M50" s="340"/>
      <c r="N50" s="340"/>
      <c r="O50" s="340"/>
      <c r="P50" s="340"/>
      <c r="Q50" s="340"/>
      <c r="R50" s="340"/>
    </row>
    <row r="51" spans="2:18" ht="15">
      <c r="B51" s="347"/>
      <c r="C51" s="340"/>
      <c r="D51" s="339"/>
      <c r="E51" s="340"/>
      <c r="F51" s="340"/>
      <c r="G51" s="340"/>
      <c r="H51" s="340"/>
      <c r="I51" s="340"/>
      <c r="J51" s="340"/>
      <c r="K51" s="340"/>
      <c r="L51" s="340"/>
      <c r="M51" s="340"/>
      <c r="N51" s="340"/>
      <c r="O51" s="340"/>
      <c r="P51" s="340"/>
      <c r="Q51" s="340"/>
      <c r="R51" s="340"/>
    </row>
    <row r="52" spans="2:18" ht="15">
      <c r="B52" s="347"/>
      <c r="C52" s="340"/>
      <c r="D52" s="339"/>
      <c r="E52" s="340"/>
      <c r="F52" s="340"/>
      <c r="G52" s="340"/>
      <c r="H52" s="340"/>
      <c r="I52" s="340"/>
      <c r="J52" s="340"/>
      <c r="K52" s="340"/>
      <c r="L52" s="340"/>
      <c r="M52" s="340"/>
      <c r="N52" s="340"/>
      <c r="O52" s="340"/>
      <c r="P52" s="340"/>
      <c r="Q52" s="340"/>
      <c r="R52" s="340"/>
    </row>
    <row r="53" spans="2:18" ht="15">
      <c r="B53" s="347"/>
      <c r="C53" s="340"/>
      <c r="E53" s="340"/>
      <c r="F53" s="340"/>
      <c r="G53" s="340"/>
      <c r="H53" s="340"/>
      <c r="I53" s="340"/>
      <c r="J53" s="340"/>
      <c r="K53" s="340"/>
      <c r="L53" s="340"/>
      <c r="M53" s="340"/>
      <c r="N53" s="340"/>
      <c r="O53" s="340"/>
      <c r="P53" s="340"/>
      <c r="Q53" s="340"/>
      <c r="R53" s="340"/>
    </row>
    <row r="54" spans="2:18" ht="15">
      <c r="B54" s="347"/>
      <c r="C54" s="340"/>
      <c r="D54" s="339"/>
      <c r="E54" s="340"/>
      <c r="F54" s="340"/>
      <c r="G54" s="340"/>
      <c r="H54" s="340"/>
      <c r="I54" s="340"/>
      <c r="J54" s="340"/>
      <c r="K54" s="340"/>
      <c r="L54" s="340"/>
      <c r="M54" s="340"/>
      <c r="N54" s="340"/>
      <c r="O54" s="340"/>
      <c r="P54" s="340"/>
      <c r="Q54" s="340"/>
      <c r="R54" s="340"/>
    </row>
    <row r="55" spans="2:18" ht="15">
      <c r="B55" s="347"/>
      <c r="C55" s="340"/>
      <c r="D55" s="340"/>
      <c r="E55" s="340"/>
      <c r="F55" s="340"/>
      <c r="G55" s="340"/>
      <c r="H55" s="340"/>
      <c r="I55" s="340"/>
      <c r="J55" s="340"/>
      <c r="K55" s="340"/>
      <c r="L55" s="340"/>
      <c r="M55" s="340"/>
      <c r="N55" s="340"/>
      <c r="O55" s="340"/>
      <c r="P55" s="340"/>
      <c r="Q55" s="340"/>
      <c r="R55" s="340"/>
    </row>
    <row r="56" spans="2:18" ht="15">
      <c r="B56" s="347"/>
      <c r="C56" s="340"/>
      <c r="D56" s="339"/>
      <c r="E56" s="340"/>
      <c r="F56" s="340"/>
      <c r="G56" s="340"/>
      <c r="H56" s="340"/>
      <c r="I56" s="340"/>
      <c r="J56" s="340"/>
      <c r="K56" s="340"/>
      <c r="L56" s="340"/>
      <c r="M56" s="340"/>
      <c r="N56" s="340"/>
      <c r="O56" s="340"/>
      <c r="P56" s="340"/>
      <c r="Q56" s="340"/>
      <c r="R56" s="340"/>
    </row>
    <row r="57" spans="2:18" ht="15">
      <c r="B57" s="347"/>
      <c r="C57" s="340"/>
      <c r="D57" s="340"/>
      <c r="E57" s="340"/>
      <c r="F57" s="340"/>
      <c r="G57" s="340"/>
      <c r="H57" s="340"/>
      <c r="I57" s="340"/>
      <c r="J57" s="340"/>
      <c r="K57" s="340"/>
      <c r="L57" s="340"/>
      <c r="M57" s="340"/>
      <c r="N57" s="340"/>
      <c r="O57" s="340"/>
      <c r="P57" s="340"/>
      <c r="Q57" s="340"/>
      <c r="R57" s="340"/>
    </row>
    <row r="58" spans="2:18" ht="15">
      <c r="B58" s="347"/>
      <c r="C58" s="340"/>
      <c r="D58" s="340"/>
      <c r="E58" s="340"/>
      <c r="F58" s="340"/>
      <c r="G58" s="340"/>
      <c r="H58" s="340"/>
      <c r="I58" s="340"/>
      <c r="J58" s="340"/>
      <c r="K58" s="340"/>
      <c r="L58" s="340"/>
      <c r="M58" s="340"/>
      <c r="N58" s="340"/>
      <c r="O58" s="340"/>
      <c r="P58" s="340"/>
      <c r="Q58" s="340"/>
      <c r="R58" s="340"/>
    </row>
    <row r="59" spans="2:18" ht="15">
      <c r="B59" s="347"/>
      <c r="C59" s="340"/>
      <c r="D59" s="340"/>
      <c r="E59" s="340"/>
      <c r="F59" s="340"/>
      <c r="G59" s="340"/>
      <c r="H59" s="340"/>
      <c r="I59" s="340"/>
      <c r="J59" s="340"/>
      <c r="K59" s="340"/>
      <c r="L59" s="340"/>
      <c r="M59" s="340"/>
      <c r="N59" s="340"/>
      <c r="O59" s="340"/>
      <c r="P59" s="340"/>
      <c r="Q59" s="340"/>
      <c r="R59" s="340"/>
    </row>
    <row r="60" spans="2:18" ht="15">
      <c r="B60" s="347"/>
      <c r="C60" s="340"/>
      <c r="D60" s="340"/>
      <c r="E60" s="340"/>
      <c r="F60" s="340"/>
      <c r="G60" s="340"/>
      <c r="H60" s="340"/>
      <c r="I60" s="340"/>
      <c r="J60" s="340"/>
      <c r="K60" s="340"/>
      <c r="L60" s="340"/>
      <c r="M60" s="340"/>
      <c r="N60" s="340"/>
      <c r="O60" s="340"/>
      <c r="P60" s="340"/>
      <c r="Q60" s="340"/>
      <c r="R60" s="340"/>
    </row>
    <row r="61" spans="2:18" ht="15">
      <c r="B61" s="347"/>
      <c r="C61" s="340"/>
      <c r="D61" s="340"/>
      <c r="E61" s="340"/>
      <c r="F61" s="340"/>
      <c r="G61" s="340"/>
      <c r="H61" s="340"/>
      <c r="I61" s="340"/>
      <c r="J61" s="340"/>
      <c r="K61" s="340"/>
      <c r="L61" s="340"/>
      <c r="M61" s="340"/>
      <c r="N61" s="340"/>
      <c r="O61" s="340"/>
      <c r="P61" s="340"/>
      <c r="Q61" s="340"/>
      <c r="R61" s="340"/>
    </row>
  </sheetData>
  <mergeCells count="11">
    <mergeCell ref="B2:B11"/>
    <mergeCell ref="B14:B36"/>
    <mergeCell ref="F10:O10"/>
    <mergeCell ref="W24:Z24"/>
    <mergeCell ref="AB24:AC24"/>
    <mergeCell ref="F4:O4"/>
    <mergeCell ref="F5:O5"/>
    <mergeCell ref="F6:O6"/>
    <mergeCell ref="F7:O7"/>
    <mergeCell ref="F8:O8"/>
    <mergeCell ref="F9:O9"/>
  </mergeCells>
  <phoneticPr fontId="2"/>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B9E5F-5CA8-4435-8B40-3F0140B41580}">
  <dimension ref="A1:P45"/>
  <sheetViews>
    <sheetView workbookViewId="0">
      <selection activeCell="M19" sqref="M19"/>
    </sheetView>
  </sheetViews>
  <sheetFormatPr defaultColWidth="9" defaultRowHeight="14.25"/>
  <cols>
    <col min="1" max="1" width="2.5703125" style="6" customWidth="1"/>
    <col min="2" max="2" width="4.5703125" style="6" customWidth="1"/>
    <col min="3" max="6" width="2.5703125" style="6" customWidth="1"/>
    <col min="7" max="7" width="44.140625" style="6" customWidth="1"/>
    <col min="8" max="8" width="10.5703125" style="6" customWidth="1"/>
    <col min="9" max="9" width="2.7109375" style="6" customWidth="1"/>
    <col min="10" max="11" width="14.42578125" style="6" customWidth="1"/>
    <col min="12" max="12" width="2.85546875" style="6" customWidth="1"/>
    <col min="13" max="14" width="14.42578125" style="6" customWidth="1"/>
    <col min="15" max="15" width="2.85546875" style="6" customWidth="1"/>
    <col min="16" max="16" width="64.5703125" style="6" bestFit="1" customWidth="1"/>
    <col min="17" max="16384" width="9" style="6"/>
  </cols>
  <sheetData>
    <row r="1" spans="1:16" ht="18">
      <c r="A1" s="116" t="s">
        <v>366</v>
      </c>
      <c r="B1" s="5"/>
      <c r="C1" s="5"/>
    </row>
    <row r="2" spans="1:16" ht="15" thickBot="1"/>
    <row r="3" spans="1:16" ht="15">
      <c r="F3" s="36" t="s">
        <v>246</v>
      </c>
      <c r="G3" s="37"/>
      <c r="H3" s="38"/>
      <c r="J3" s="437" t="s">
        <v>247</v>
      </c>
      <c r="K3" s="438"/>
      <c r="L3" s="127"/>
      <c r="M3" s="437" t="s">
        <v>248</v>
      </c>
      <c r="N3" s="438"/>
      <c r="O3" s="39"/>
    </row>
    <row r="4" spans="1:16" ht="15">
      <c r="F4" s="40" t="s">
        <v>249</v>
      </c>
      <c r="G4" s="41"/>
      <c r="H4" s="42"/>
      <c r="J4" s="43" t="s">
        <v>250</v>
      </c>
      <c r="K4" s="126" t="s">
        <v>251</v>
      </c>
      <c r="L4" s="127"/>
      <c r="M4" s="43" t="s">
        <v>250</v>
      </c>
      <c r="N4" s="126" t="s">
        <v>252</v>
      </c>
      <c r="O4" s="39"/>
    </row>
    <row r="5" spans="1:16" ht="15">
      <c r="F5" s="44" t="s">
        <v>306</v>
      </c>
      <c r="G5" s="45"/>
      <c r="H5" s="46" t="s">
        <v>367</v>
      </c>
      <c r="J5" s="313" t="e">
        <f>J45</f>
        <v>#DIV/0!</v>
      </c>
      <c r="K5" s="314" t="e">
        <f>K45</f>
        <v>#DIV/0!</v>
      </c>
      <c r="M5" s="313" t="e">
        <f>M45</f>
        <v>#DIV/0!</v>
      </c>
      <c r="N5" s="314" t="e">
        <f>N45</f>
        <v>#DIV/0!</v>
      </c>
    </row>
    <row r="6" spans="1:16">
      <c r="F6" s="47"/>
      <c r="G6" s="48" t="s">
        <v>308</v>
      </c>
      <c r="H6" s="46" t="s">
        <v>367</v>
      </c>
      <c r="J6" s="245">
        <f>J20</f>
        <v>0</v>
      </c>
      <c r="K6" s="250">
        <f>K20</f>
        <v>0</v>
      </c>
      <c r="M6" s="245" t="e">
        <f>M20</f>
        <v>#DIV/0!</v>
      </c>
      <c r="N6" s="250">
        <f>N20</f>
        <v>0</v>
      </c>
    </row>
    <row r="7" spans="1:16">
      <c r="F7" s="47"/>
      <c r="G7" s="50" t="s">
        <v>309</v>
      </c>
      <c r="H7" s="51" t="s">
        <v>367</v>
      </c>
      <c r="J7" s="246"/>
      <c r="K7" s="250">
        <f>K24</f>
        <v>0</v>
      </c>
      <c r="M7" s="246"/>
      <c r="N7" s="250">
        <f>N24</f>
        <v>0</v>
      </c>
    </row>
    <row r="8" spans="1:16">
      <c r="F8" s="47"/>
      <c r="G8" s="50" t="s">
        <v>310</v>
      </c>
      <c r="H8" s="51" t="s">
        <v>367</v>
      </c>
      <c r="J8" s="246"/>
      <c r="K8" s="250" t="e">
        <f>K26</f>
        <v>#DIV/0!</v>
      </c>
      <c r="M8" s="246"/>
      <c r="N8" s="250" t="e">
        <f>N26</f>
        <v>#DIV/0!</v>
      </c>
    </row>
    <row r="9" spans="1:16">
      <c r="F9" s="47"/>
      <c r="G9" s="50" t="s">
        <v>311</v>
      </c>
      <c r="H9" s="51" t="s">
        <v>367</v>
      </c>
      <c r="J9" s="246"/>
      <c r="K9" s="250">
        <f>K35</f>
        <v>0</v>
      </c>
      <c r="M9" s="246"/>
      <c r="N9" s="250" t="e">
        <f>N35</f>
        <v>#DIV/0!</v>
      </c>
    </row>
    <row r="10" spans="1:16">
      <c r="F10" s="47"/>
      <c r="G10" s="50" t="s">
        <v>313</v>
      </c>
      <c r="H10" s="51" t="s">
        <v>367</v>
      </c>
      <c r="J10" s="248"/>
      <c r="K10" s="249"/>
      <c r="M10" s="248"/>
      <c r="N10" s="253"/>
    </row>
    <row r="11" spans="1:16">
      <c r="F11" s="47"/>
      <c r="G11" s="50" t="s">
        <v>368</v>
      </c>
      <c r="H11" s="51" t="s">
        <v>367</v>
      </c>
      <c r="J11" s="245">
        <f>J39</f>
        <v>0</v>
      </c>
      <c r="K11" s="250">
        <f>K39</f>
        <v>0</v>
      </c>
      <c r="M11" s="245">
        <f>M39</f>
        <v>0</v>
      </c>
      <c r="N11" s="254" t="e">
        <f>N39</f>
        <v>#DIV/0!</v>
      </c>
      <c r="O11" s="252"/>
    </row>
    <row r="12" spans="1:16">
      <c r="F12" s="47"/>
      <c r="G12" s="50" t="s">
        <v>315</v>
      </c>
      <c r="H12" s="51" t="s">
        <v>367</v>
      </c>
      <c r="J12" s="245" t="e">
        <f>J41</f>
        <v>#DIV/0!</v>
      </c>
      <c r="K12" s="250" t="e">
        <f>K41</f>
        <v>#DIV/0!</v>
      </c>
      <c r="M12" s="245" t="e">
        <f>M41</f>
        <v>#DIV/0!</v>
      </c>
      <c r="N12" s="250" t="e">
        <f>N41</f>
        <v>#DIV/0!</v>
      </c>
    </row>
    <row r="13" spans="1:16" ht="15" thickBot="1">
      <c r="F13" s="53"/>
      <c r="G13" s="54" t="s">
        <v>369</v>
      </c>
      <c r="H13" s="55" t="s">
        <v>367</v>
      </c>
      <c r="J13" s="247">
        <f>J44</f>
        <v>0</v>
      </c>
      <c r="K13" s="251">
        <f>K44</f>
        <v>0</v>
      </c>
      <c r="M13" s="247">
        <f>M44</f>
        <v>0</v>
      </c>
      <c r="N13" s="251" t="e">
        <f>N44</f>
        <v>#DIV/0!</v>
      </c>
    </row>
    <row r="14" spans="1:16">
      <c r="J14" s="66"/>
      <c r="K14" s="66"/>
      <c r="M14" s="66"/>
    </row>
    <row r="15" spans="1:16">
      <c r="B15" s="6" t="s">
        <v>263</v>
      </c>
    </row>
    <row r="16" spans="1:16">
      <c r="B16" s="9" t="s">
        <v>8</v>
      </c>
      <c r="C16" s="10" t="s">
        <v>264</v>
      </c>
      <c r="D16" s="11"/>
      <c r="E16" s="10" t="s">
        <v>265</v>
      </c>
      <c r="F16" s="12"/>
      <c r="G16" s="11"/>
      <c r="H16" s="9" t="s">
        <v>266</v>
      </c>
      <c r="J16" s="128" t="s">
        <v>58</v>
      </c>
      <c r="K16" s="9" t="s">
        <v>267</v>
      </c>
      <c r="M16" s="9" t="s">
        <v>268</v>
      </c>
      <c r="N16" s="9" t="s">
        <v>269</v>
      </c>
      <c r="P16" s="9" t="s">
        <v>270</v>
      </c>
    </row>
    <row r="17" spans="2:16" ht="14.25" customHeight="1">
      <c r="B17" s="13">
        <v>1</v>
      </c>
      <c r="C17" s="14"/>
      <c r="D17" s="14"/>
      <c r="E17" s="214"/>
      <c r="F17" s="124" t="s">
        <v>370</v>
      </c>
      <c r="G17" s="18"/>
      <c r="H17" s="230" t="s">
        <v>371</v>
      </c>
      <c r="J17" s="8">
        <f>'パラメータ（ルート3）'!$H$59</f>
        <v>0</v>
      </c>
      <c r="K17" s="185"/>
      <c r="M17" s="8">
        <f>'パラメータ（ルート3）'!$H$59</f>
        <v>0</v>
      </c>
      <c r="N17" s="185"/>
      <c r="P17" s="16"/>
    </row>
    <row r="18" spans="2:16" ht="14.25" customHeight="1">
      <c r="B18" s="13">
        <f>B17+1</f>
        <v>2</v>
      </c>
      <c r="C18" s="14"/>
      <c r="D18" s="14"/>
      <c r="E18" s="240"/>
      <c r="F18" s="124" t="s">
        <v>372</v>
      </c>
      <c r="G18" s="18"/>
      <c r="H18" s="7" t="s">
        <v>274</v>
      </c>
      <c r="J18" s="57">
        <f>'パラメータ（ルート3）'!$H$6</f>
        <v>9</v>
      </c>
      <c r="K18" s="234"/>
      <c r="M18" s="57" t="e">
        <f>('数量（ルート3）'!M21/('パラメータ（ルート3）'!$H$5-('数量（ルート3）'!N22-'数量（ルート3）'!K20)))*100</f>
        <v>#DIV/0!</v>
      </c>
      <c r="N18" s="234"/>
      <c r="P18" s="27"/>
    </row>
    <row r="19" spans="2:16" ht="14.25" customHeight="1">
      <c r="B19" s="13">
        <f t="shared" ref="B19:B45" si="0">B18+1</f>
        <v>3</v>
      </c>
      <c r="C19" s="14"/>
      <c r="D19" s="14"/>
      <c r="E19" s="451" t="s">
        <v>373</v>
      </c>
      <c r="F19" s="444"/>
      <c r="G19" s="445"/>
      <c r="H19" s="230" t="s">
        <v>371</v>
      </c>
      <c r="J19" s="233"/>
      <c r="K19" s="23">
        <f>'パラメータ（ルート3）'!$H$60</f>
        <v>0</v>
      </c>
      <c r="M19" s="233"/>
      <c r="N19" s="65">
        <f>'パラメータ（ルート3）'!$H$61</f>
        <v>0</v>
      </c>
      <c r="P19" s="20"/>
    </row>
    <row r="20" spans="2:16" ht="14.25" customHeight="1">
      <c r="B20" s="13">
        <f t="shared" si="0"/>
        <v>4</v>
      </c>
      <c r="C20" s="14"/>
      <c r="D20" s="35" t="s">
        <v>324</v>
      </c>
      <c r="E20" s="58"/>
      <c r="F20" s="34"/>
      <c r="G20" s="34"/>
      <c r="H20" s="122" t="s">
        <v>374</v>
      </c>
      <c r="J20" s="166">
        <f>((J17*J18/100))/1000</f>
        <v>0</v>
      </c>
      <c r="K20" s="166">
        <f>K19/1000</f>
        <v>0</v>
      </c>
      <c r="M20" s="166" t="e">
        <f>((M17*M18/100))/1000</f>
        <v>#DIV/0!</v>
      </c>
      <c r="N20" s="166">
        <f>N19/1000</f>
        <v>0</v>
      </c>
      <c r="P20" s="7"/>
    </row>
    <row r="21" spans="2:16" ht="14.25" customHeight="1">
      <c r="B21" s="13">
        <f t="shared" si="0"/>
        <v>5</v>
      </c>
      <c r="C21" s="14"/>
      <c r="D21" s="14"/>
      <c r="E21" s="450" t="s">
        <v>375</v>
      </c>
      <c r="F21" s="444"/>
      <c r="G21" s="445"/>
      <c r="H21" s="235" t="s">
        <v>376</v>
      </c>
      <c r="J21" s="63"/>
      <c r="K21" s="8">
        <f>'数量（ルート3）'!K28</f>
        <v>0</v>
      </c>
      <c r="M21" s="63"/>
      <c r="N21" s="8">
        <f>'数量（ルート3）'!N28</f>
        <v>0</v>
      </c>
      <c r="P21" s="31"/>
    </row>
    <row r="22" spans="2:16" ht="14.25" customHeight="1">
      <c r="B22" s="13">
        <f t="shared" si="0"/>
        <v>6</v>
      </c>
      <c r="C22" s="14"/>
      <c r="D22" s="14"/>
      <c r="E22" s="450" t="s">
        <v>377</v>
      </c>
      <c r="F22" s="444"/>
      <c r="G22" s="445"/>
      <c r="H22" s="183" t="s">
        <v>378</v>
      </c>
      <c r="J22" s="63"/>
      <c r="K22" s="8">
        <f>'パラメータ（ルート3）'!$H$62</f>
        <v>21786</v>
      </c>
      <c r="M22" s="63"/>
      <c r="N22" s="8">
        <f>'パラメータ（ルート3）'!$H$64</f>
        <v>0</v>
      </c>
      <c r="P22" s="15"/>
    </row>
    <row r="23" spans="2:16" ht="14.25" customHeight="1">
      <c r="B23" s="13">
        <f t="shared" si="0"/>
        <v>7</v>
      </c>
      <c r="C23" s="14"/>
      <c r="D23" s="24"/>
      <c r="E23" s="450" t="s">
        <v>379</v>
      </c>
      <c r="F23" s="444"/>
      <c r="G23" s="445"/>
      <c r="H23" s="236" t="s">
        <v>371</v>
      </c>
      <c r="J23" s="62"/>
      <c r="K23" s="23">
        <f>'パラメータ（ルート3）'!$H$63</f>
        <v>0</v>
      </c>
      <c r="M23" s="62"/>
      <c r="N23" s="23">
        <f>'パラメータ（ルート3）'!$H$65</f>
        <v>0</v>
      </c>
      <c r="P23" s="24"/>
    </row>
    <row r="24" spans="2:16" ht="14.25" customHeight="1">
      <c r="B24" s="13">
        <f t="shared" si="0"/>
        <v>8</v>
      </c>
      <c r="C24" s="14"/>
      <c r="D24" s="35" t="s">
        <v>330</v>
      </c>
      <c r="E24" s="32"/>
      <c r="F24" s="32"/>
      <c r="G24" s="64"/>
      <c r="H24" s="122" t="s">
        <v>380</v>
      </c>
      <c r="J24" s="67"/>
      <c r="K24" s="166">
        <f>((K21*K22)+K23)/1000</f>
        <v>0</v>
      </c>
      <c r="M24" s="67"/>
      <c r="N24" s="166">
        <f>((N21*N22)+N23)/1000</f>
        <v>0</v>
      </c>
      <c r="P24" s="7"/>
    </row>
    <row r="25" spans="2:16" ht="14.25" customHeight="1">
      <c r="B25" s="13">
        <f t="shared" si="0"/>
        <v>9</v>
      </c>
      <c r="C25" s="14"/>
      <c r="D25" s="7"/>
      <c r="E25" s="177" t="s">
        <v>381</v>
      </c>
      <c r="F25" s="25"/>
      <c r="G25" s="18"/>
      <c r="H25" s="7" t="s">
        <v>382</v>
      </c>
      <c r="J25" s="63"/>
      <c r="K25" s="8" t="e">
        <f>'パラメータ（ルート3）'!$H$66</f>
        <v>#DIV/0!</v>
      </c>
      <c r="M25" s="63"/>
      <c r="N25" s="8" t="e">
        <f>'パラメータ（ルート3）'!$H$67</f>
        <v>#DIV/0!</v>
      </c>
      <c r="P25" s="7"/>
    </row>
    <row r="26" spans="2:16" ht="14.25" customHeight="1">
      <c r="B26" s="13">
        <f t="shared" si="0"/>
        <v>10</v>
      </c>
      <c r="C26" s="14"/>
      <c r="D26" s="219" t="s">
        <v>383</v>
      </c>
      <c r="E26" s="58"/>
      <c r="F26" s="33"/>
      <c r="G26" s="34"/>
      <c r="H26" s="122" t="s">
        <v>380</v>
      </c>
      <c r="J26" s="67"/>
      <c r="K26" s="166" t="e">
        <f>K25/1000</f>
        <v>#DIV/0!</v>
      </c>
      <c r="M26" s="67"/>
      <c r="N26" s="166" t="e">
        <f>N25/1000</f>
        <v>#DIV/0!</v>
      </c>
      <c r="P26" s="230" t="s">
        <v>384</v>
      </c>
    </row>
    <row r="27" spans="2:16" ht="14.25" customHeight="1">
      <c r="B27" s="13">
        <f t="shared" si="0"/>
        <v>11</v>
      </c>
      <c r="C27" s="14"/>
      <c r="D27" s="14"/>
      <c r="E27" s="214"/>
      <c r="F27" s="124" t="s">
        <v>385</v>
      </c>
      <c r="G27" s="18"/>
      <c r="H27" s="7" t="s">
        <v>254</v>
      </c>
      <c r="J27" s="63"/>
      <c r="K27" s="8">
        <f>'数量（ルート3）'!K35</f>
        <v>0</v>
      </c>
      <c r="M27" s="63"/>
      <c r="N27" s="8" t="e">
        <f>'数量（ルート3）'!N35</f>
        <v>#DIV/0!</v>
      </c>
      <c r="P27" s="7"/>
    </row>
    <row r="28" spans="2:16" ht="14.25" customHeight="1">
      <c r="B28" s="13">
        <f t="shared" si="0"/>
        <v>12</v>
      </c>
      <c r="C28" s="14"/>
      <c r="D28" s="14"/>
      <c r="E28" s="240"/>
      <c r="F28" s="124" t="s">
        <v>386</v>
      </c>
      <c r="G28" s="18"/>
      <c r="H28" s="7" t="s">
        <v>387</v>
      </c>
      <c r="J28" s="63"/>
      <c r="K28" s="8">
        <f>'パラメータ（ルート3）'!$H$68</f>
        <v>63144</v>
      </c>
      <c r="M28" s="63"/>
      <c r="N28" s="8">
        <f>'パラメータ（ルート3）'!$H$70</f>
        <v>62999</v>
      </c>
      <c r="P28" s="7"/>
    </row>
    <row r="29" spans="2:16" ht="14.25" customHeight="1">
      <c r="B29" s="13">
        <f t="shared" si="0"/>
        <v>13</v>
      </c>
      <c r="C29" s="14"/>
      <c r="D29" s="14"/>
      <c r="E29" s="177"/>
      <c r="F29" s="124" t="s">
        <v>388</v>
      </c>
      <c r="G29" s="18"/>
      <c r="H29" s="7" t="s">
        <v>274</v>
      </c>
      <c r="J29" s="62"/>
      <c r="K29" s="23">
        <f>'パラメータ（ルート3）'!$H$69</f>
        <v>0</v>
      </c>
      <c r="M29" s="62"/>
      <c r="N29" s="23">
        <f>'パラメータ（ルート3）'!$H$69</f>
        <v>0</v>
      </c>
      <c r="P29" s="24"/>
    </row>
    <row r="30" spans="2:16" ht="14.25" customHeight="1">
      <c r="B30" s="13">
        <f t="shared" si="0"/>
        <v>14</v>
      </c>
      <c r="C30" s="14"/>
      <c r="D30" s="14"/>
      <c r="E30" s="241" t="s">
        <v>389</v>
      </c>
      <c r="F30" s="25"/>
      <c r="G30" s="22"/>
      <c r="H30" s="24" t="s">
        <v>390</v>
      </c>
      <c r="J30" s="62"/>
      <c r="K30" s="23">
        <f>K27*K28*K29/100</f>
        <v>0</v>
      </c>
      <c r="M30" s="62"/>
      <c r="N30" s="23" t="e">
        <f>N27*N28*N29/100</f>
        <v>#DIV/0!</v>
      </c>
      <c r="P30" s="7"/>
    </row>
    <row r="31" spans="2:16" ht="14.25" customHeight="1">
      <c r="B31" s="13">
        <f t="shared" si="0"/>
        <v>15</v>
      </c>
      <c r="C31" s="14"/>
      <c r="D31" s="14"/>
      <c r="E31" s="214"/>
      <c r="F31" s="124" t="s">
        <v>391</v>
      </c>
      <c r="G31" s="18"/>
      <c r="H31" s="7" t="s">
        <v>254</v>
      </c>
      <c r="J31" s="63"/>
      <c r="K31" s="63"/>
      <c r="M31" s="63"/>
      <c r="N31" s="8" t="e">
        <f>'数量（ルート3）'!N36</f>
        <v>#DIV/0!</v>
      </c>
      <c r="P31" s="7"/>
    </row>
    <row r="32" spans="2:16" ht="14.25" customHeight="1">
      <c r="B32" s="13">
        <f t="shared" si="0"/>
        <v>16</v>
      </c>
      <c r="C32" s="14"/>
      <c r="D32" s="14"/>
      <c r="E32" s="240"/>
      <c r="F32" s="124" t="s">
        <v>392</v>
      </c>
      <c r="G32" s="18"/>
      <c r="H32" s="7" t="s">
        <v>387</v>
      </c>
      <c r="J32" s="63"/>
      <c r="K32" s="63"/>
      <c r="M32" s="63"/>
      <c r="N32" s="8">
        <f>'パラメータ（ルート3）'!$H$71</f>
        <v>62999</v>
      </c>
      <c r="P32" s="7"/>
    </row>
    <row r="33" spans="2:16" ht="14.25" customHeight="1">
      <c r="B33" s="13">
        <f t="shared" si="0"/>
        <v>17</v>
      </c>
      <c r="C33" s="14"/>
      <c r="D33" s="14"/>
      <c r="E33" s="177"/>
      <c r="F33" s="124" t="s">
        <v>388</v>
      </c>
      <c r="G33" s="18"/>
      <c r="H33" s="7" t="s">
        <v>274</v>
      </c>
      <c r="J33" s="62"/>
      <c r="K33" s="62"/>
      <c r="M33" s="62"/>
      <c r="N33" s="23">
        <f>'パラメータ（ルート3）'!$H$72</f>
        <v>0</v>
      </c>
      <c r="P33" s="24"/>
    </row>
    <row r="34" spans="2:16" ht="14.25" customHeight="1">
      <c r="B34" s="13">
        <f t="shared" si="0"/>
        <v>18</v>
      </c>
      <c r="C34" s="14"/>
      <c r="D34" s="14"/>
      <c r="E34" s="241" t="s">
        <v>393</v>
      </c>
      <c r="F34" s="25"/>
      <c r="G34" s="22"/>
      <c r="H34" s="24" t="s">
        <v>390</v>
      </c>
      <c r="J34" s="62"/>
      <c r="K34" s="62"/>
      <c r="M34" s="62"/>
      <c r="N34" s="23" t="e">
        <f>N31*N32*N33/100</f>
        <v>#DIV/0!</v>
      </c>
      <c r="P34" s="7"/>
    </row>
    <row r="35" spans="2:16" ht="14.25" customHeight="1">
      <c r="B35" s="13">
        <f t="shared" si="0"/>
        <v>19</v>
      </c>
      <c r="C35" s="14"/>
      <c r="D35" s="35" t="s">
        <v>339</v>
      </c>
      <c r="E35" s="32"/>
      <c r="F35" s="32"/>
      <c r="G35" s="64"/>
      <c r="H35" s="122" t="s">
        <v>380</v>
      </c>
      <c r="J35" s="67"/>
      <c r="K35" s="166">
        <f>K30/1000</f>
        <v>0</v>
      </c>
      <c r="M35" s="67"/>
      <c r="N35" s="166" t="e">
        <f>(N30+N34)/1000</f>
        <v>#DIV/0!</v>
      </c>
      <c r="P35" s="230" t="s">
        <v>394</v>
      </c>
    </row>
    <row r="36" spans="2:16" ht="14.25" customHeight="1">
      <c r="B36" s="13">
        <f t="shared" si="0"/>
        <v>20</v>
      </c>
      <c r="C36" s="14"/>
      <c r="D36" s="19"/>
      <c r="E36" s="28" t="s">
        <v>395</v>
      </c>
      <c r="F36" s="28"/>
      <c r="G36" s="18"/>
      <c r="H36" s="7" t="s">
        <v>254</v>
      </c>
      <c r="J36" s="8">
        <f>'数量（ルート3）'!$J$40</f>
        <v>0</v>
      </c>
      <c r="K36" s="185"/>
      <c r="L36" s="25"/>
      <c r="M36" s="8">
        <f>'数量（ルート3）'!$M$40</f>
        <v>0</v>
      </c>
      <c r="N36" s="185"/>
      <c r="P36" s="7"/>
    </row>
    <row r="37" spans="2:16" ht="14.25" customHeight="1">
      <c r="B37" s="13">
        <f t="shared" si="0"/>
        <v>21</v>
      </c>
      <c r="C37" s="14"/>
      <c r="D37" s="14"/>
      <c r="E37" s="177" t="s">
        <v>396</v>
      </c>
      <c r="F37" s="177"/>
      <c r="G37" s="22"/>
      <c r="H37" s="24" t="s">
        <v>254</v>
      </c>
      <c r="J37" s="243"/>
      <c r="K37" s="23">
        <f>'数量（ルート3）'!$K$40</f>
        <v>0</v>
      </c>
      <c r="M37" s="243"/>
      <c r="N37" s="23" t="e">
        <f>'数量（ルート3）'!$N$40</f>
        <v>#DIV/0!</v>
      </c>
      <c r="P37" s="24"/>
    </row>
    <row r="38" spans="2:16" ht="14.25" customHeight="1">
      <c r="B38" s="13">
        <f t="shared" si="0"/>
        <v>22</v>
      </c>
      <c r="C38" s="14"/>
      <c r="D38" s="24"/>
      <c r="E38" s="242" t="s">
        <v>397</v>
      </c>
      <c r="F38" s="19"/>
      <c r="G38" s="30"/>
      <c r="H38" s="7" t="s">
        <v>387</v>
      </c>
      <c r="J38" s="61">
        <f>'パラメータ（ルート3）'!$H$73</f>
        <v>0</v>
      </c>
      <c r="K38" s="61">
        <f>'パラメータ（ルート3）'!$H$73</f>
        <v>0</v>
      </c>
      <c r="M38" s="61">
        <f>'パラメータ（ルート3）'!$H$73</f>
        <v>0</v>
      </c>
      <c r="N38" s="61">
        <f>'パラメータ（ルート3）'!$H$73</f>
        <v>0</v>
      </c>
      <c r="P38" s="16"/>
    </row>
    <row r="39" spans="2:16" ht="14.25" customHeight="1">
      <c r="B39" s="13">
        <f t="shared" si="0"/>
        <v>23</v>
      </c>
      <c r="C39" s="14"/>
      <c r="D39" s="35" t="s">
        <v>398</v>
      </c>
      <c r="E39" s="33"/>
      <c r="F39" s="33"/>
      <c r="G39" s="64"/>
      <c r="H39" s="122" t="s">
        <v>380</v>
      </c>
      <c r="J39" s="166">
        <f>(J36*J38)/1000</f>
        <v>0</v>
      </c>
      <c r="K39" s="166">
        <f>(K37*K38)/1000</f>
        <v>0</v>
      </c>
      <c r="M39" s="166">
        <f t="shared" ref="M39" si="1">(M36*M38)/1000</f>
        <v>0</v>
      </c>
      <c r="N39" s="244" t="e">
        <f>(N37*N38)/1000</f>
        <v>#DIV/0!</v>
      </c>
      <c r="P39" s="7"/>
    </row>
    <row r="40" spans="2:16" ht="14.25" customHeight="1">
      <c r="B40" s="13">
        <f t="shared" si="0"/>
        <v>24</v>
      </c>
      <c r="C40" s="14"/>
      <c r="D40" s="14"/>
      <c r="E40" s="177" t="s">
        <v>399</v>
      </c>
      <c r="F40" s="25"/>
      <c r="G40" s="18"/>
      <c r="H40" s="7" t="s">
        <v>382</v>
      </c>
      <c r="J40" s="8" t="e">
        <f>'パラメータ（ルート3）'!$H$74</f>
        <v>#DIV/0!</v>
      </c>
      <c r="K40" s="8" t="e">
        <f>'パラメータ（ルート3）'!$H$75</f>
        <v>#DIV/0!</v>
      </c>
      <c r="M40" s="8" t="e">
        <f>'パラメータ（ルート3）'!H76</f>
        <v>#DIV/0!</v>
      </c>
      <c r="N40" s="8" t="e">
        <f>'パラメータ（ルート3）'!$H$77</f>
        <v>#DIV/0!</v>
      </c>
      <c r="P40" s="7"/>
    </row>
    <row r="41" spans="2:16" ht="14.25" customHeight="1">
      <c r="B41" s="13">
        <f t="shared" si="0"/>
        <v>25</v>
      </c>
      <c r="C41" s="14"/>
      <c r="D41" s="35" t="s">
        <v>363</v>
      </c>
      <c r="E41" s="58"/>
      <c r="F41" s="34"/>
      <c r="G41" s="34"/>
      <c r="H41" s="122" t="s">
        <v>380</v>
      </c>
      <c r="J41" s="166" t="e">
        <f>J40/1000</f>
        <v>#DIV/0!</v>
      </c>
      <c r="K41" s="166" t="e">
        <f>K40/1000</f>
        <v>#DIV/0!</v>
      </c>
      <c r="M41" s="166" t="e">
        <f t="shared" ref="M41:N41" si="2">M40/1000</f>
        <v>#DIV/0!</v>
      </c>
      <c r="N41" s="166" t="e">
        <f t="shared" si="2"/>
        <v>#DIV/0!</v>
      </c>
      <c r="P41" s="7"/>
    </row>
    <row r="42" spans="2:16" ht="14.25" customHeight="1">
      <c r="B42" s="13">
        <f t="shared" si="0"/>
        <v>26</v>
      </c>
      <c r="C42" s="14"/>
      <c r="D42" s="14"/>
      <c r="E42" s="28" t="s">
        <v>400</v>
      </c>
      <c r="F42" s="17"/>
      <c r="G42" s="18"/>
      <c r="H42" s="7" t="s">
        <v>254</v>
      </c>
      <c r="J42" s="8">
        <f>'数量（ルート3）'!$J$43</f>
        <v>0</v>
      </c>
      <c r="K42" s="8">
        <f>'数量（ルート3）'!$K$43</f>
        <v>0</v>
      </c>
      <c r="M42" s="8">
        <f>'数量（ルート3）'!$M$43</f>
        <v>0</v>
      </c>
      <c r="N42" s="8" t="e">
        <f>'数量（ルート3）'!$N$43</f>
        <v>#DIV/0!</v>
      </c>
      <c r="P42" s="7"/>
    </row>
    <row r="43" spans="2:16" ht="14.25" customHeight="1">
      <c r="B43" s="13">
        <f t="shared" si="0"/>
        <v>27</v>
      </c>
      <c r="C43" s="14"/>
      <c r="D43" s="14"/>
      <c r="E43" s="28" t="s">
        <v>401</v>
      </c>
      <c r="F43" s="17"/>
      <c r="G43" s="18"/>
      <c r="H43" s="7" t="s">
        <v>387</v>
      </c>
      <c r="J43" s="8">
        <f>'パラメータ（ルート3）'!$H$78</f>
        <v>0</v>
      </c>
      <c r="K43" s="8">
        <f>'パラメータ（ルート3）'!$H$78</f>
        <v>0</v>
      </c>
      <c r="M43" s="8">
        <f>'パラメータ（ルート3）'!$H$79</f>
        <v>0</v>
      </c>
      <c r="N43" s="8">
        <f>'パラメータ（ルート3）'!$H$79</f>
        <v>0</v>
      </c>
      <c r="P43" s="7"/>
    </row>
    <row r="44" spans="2:16" ht="14.25" customHeight="1">
      <c r="B44" s="13">
        <f t="shared" si="0"/>
        <v>28</v>
      </c>
      <c r="C44" s="14"/>
      <c r="D44" s="35" t="s">
        <v>402</v>
      </c>
      <c r="E44" s="32"/>
      <c r="F44" s="32"/>
      <c r="G44" s="64"/>
      <c r="H44" s="122" t="s">
        <v>380</v>
      </c>
      <c r="J44" s="166">
        <f>(J42*J43)/1000</f>
        <v>0</v>
      </c>
      <c r="K44" s="166">
        <f>(K42*K43)/1000</f>
        <v>0</v>
      </c>
      <c r="M44" s="166">
        <f>(M42*M43)/1000</f>
        <v>0</v>
      </c>
      <c r="N44" s="166" t="e">
        <f>(N42*N43)/1000</f>
        <v>#DIV/0!</v>
      </c>
      <c r="P44" s="7"/>
    </row>
    <row r="45" spans="2:16" ht="14.25" customHeight="1">
      <c r="B45" s="13">
        <f t="shared" si="0"/>
        <v>29</v>
      </c>
      <c r="C45" s="35" t="s">
        <v>403</v>
      </c>
      <c r="D45" s="33"/>
      <c r="E45" s="33"/>
      <c r="F45" s="33"/>
      <c r="G45" s="64"/>
      <c r="H45" s="122" t="s">
        <v>380</v>
      </c>
      <c r="J45" s="166" t="e">
        <f>J20+J24+J26+J35+J39+J41+J44</f>
        <v>#DIV/0!</v>
      </c>
      <c r="K45" s="166" t="e">
        <f>K20+K24+K26+K35+K39+K41+K44</f>
        <v>#DIV/0!</v>
      </c>
      <c r="M45" s="166" t="e">
        <f t="shared" ref="M45:N45" si="3">M20+M24+M26+M35+M39+M41+M44</f>
        <v>#DIV/0!</v>
      </c>
      <c r="N45" s="166" t="e">
        <f t="shared" si="3"/>
        <v>#DIV/0!</v>
      </c>
      <c r="P45" s="7"/>
    </row>
  </sheetData>
  <mergeCells count="6">
    <mergeCell ref="E23:G23"/>
    <mergeCell ref="J3:K3"/>
    <mergeCell ref="M3:N3"/>
    <mergeCell ref="E19:G19"/>
    <mergeCell ref="E21:G21"/>
    <mergeCell ref="E22:G22"/>
  </mergeCells>
  <phoneticPr fontId="2"/>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2D15F-D35A-4665-8987-9B76D019AA86}">
  <dimension ref="B1:W182"/>
  <sheetViews>
    <sheetView showGridLines="0" topLeftCell="B1" workbookViewId="0">
      <selection activeCell="G167" sqref="G167"/>
    </sheetView>
  </sheetViews>
  <sheetFormatPr defaultRowHeight="14.25"/>
  <cols>
    <col min="4" max="4" width="9" customWidth="1"/>
    <col min="6" max="6" width="12.7109375" customWidth="1"/>
    <col min="7" max="7" width="9.42578125" bestFit="1" customWidth="1"/>
    <col min="23" max="23" width="33.7109375" customWidth="1"/>
  </cols>
  <sheetData>
    <row r="1" spans="2:23" ht="15" thickBot="1"/>
    <row r="2" spans="2:23">
      <c r="B2" s="452" t="s">
        <v>404</v>
      </c>
      <c r="C2" s="453"/>
      <c r="D2" s="453"/>
      <c r="E2" s="453"/>
      <c r="F2" s="453"/>
      <c r="G2" s="453"/>
      <c r="H2" s="453"/>
      <c r="I2" s="453"/>
      <c r="J2" s="453"/>
      <c r="K2" s="453"/>
      <c r="L2" s="453"/>
      <c r="M2" s="453"/>
      <c r="N2" s="453"/>
      <c r="O2" s="453"/>
      <c r="P2" s="453"/>
      <c r="Q2" s="453"/>
      <c r="R2" s="453"/>
      <c r="S2" s="453"/>
      <c r="T2" s="453"/>
      <c r="U2" s="453"/>
      <c r="V2" s="453"/>
      <c r="W2" s="454"/>
    </row>
    <row r="3" spans="2:23">
      <c r="B3" s="461" t="s">
        <v>405</v>
      </c>
      <c r="C3" s="462"/>
      <c r="D3" s="462"/>
      <c r="E3" s="462"/>
      <c r="F3" s="462"/>
      <c r="G3" s="462"/>
      <c r="H3" s="462"/>
      <c r="I3" s="138" t="s">
        <v>406</v>
      </c>
      <c r="J3" s="138"/>
      <c r="K3" s="138"/>
      <c r="L3" s="138"/>
      <c r="M3" s="460" t="s">
        <v>407</v>
      </c>
      <c r="N3" s="460"/>
      <c r="O3" s="460"/>
      <c r="P3" s="460"/>
      <c r="Q3" s="460"/>
      <c r="R3" s="460"/>
      <c r="S3" s="460"/>
      <c r="T3" s="138" t="s">
        <v>406</v>
      </c>
      <c r="W3" s="280"/>
    </row>
    <row r="4" spans="2:23" ht="16.5" customHeight="1">
      <c r="B4" s="281" t="s">
        <v>408</v>
      </c>
      <c r="C4" s="464" t="s">
        <v>409</v>
      </c>
      <c r="D4" s="464"/>
      <c r="E4" s="464"/>
      <c r="F4" s="464"/>
      <c r="G4" s="282">
        <f>'パラメータ（ルート3）'!H5</f>
        <v>0</v>
      </c>
      <c r="H4" t="s">
        <v>272</v>
      </c>
      <c r="I4" s="282" t="s">
        <v>410</v>
      </c>
      <c r="M4" s="283" t="s">
        <v>411</v>
      </c>
      <c r="N4" s="138" t="s">
        <v>412</v>
      </c>
      <c r="R4" s="390">
        <v>10000</v>
      </c>
      <c r="S4" t="s">
        <v>272</v>
      </c>
      <c r="T4" s="282" t="s">
        <v>413</v>
      </c>
      <c r="W4" s="280"/>
    </row>
    <row r="5" spans="2:23" ht="16.5" customHeight="1">
      <c r="B5" s="281" t="s">
        <v>414</v>
      </c>
      <c r="C5" s="465" t="s">
        <v>415</v>
      </c>
      <c r="D5" s="465"/>
      <c r="E5" s="465"/>
      <c r="F5" s="465"/>
      <c r="G5" s="282">
        <f>'パラメータ（ルート3）'!$H$6</f>
        <v>9</v>
      </c>
      <c r="H5" t="s">
        <v>274</v>
      </c>
      <c r="I5" s="282" t="s">
        <v>416</v>
      </c>
      <c r="M5" s="283" t="s">
        <v>417</v>
      </c>
      <c r="N5" s="138" t="s">
        <v>418</v>
      </c>
      <c r="R5">
        <v>70</v>
      </c>
      <c r="S5" t="s">
        <v>274</v>
      </c>
      <c r="T5" s="282" t="s">
        <v>419</v>
      </c>
      <c r="W5" s="280"/>
    </row>
    <row r="6" spans="2:23" ht="16.5" customHeight="1" thickBot="1">
      <c r="B6" s="281" t="s">
        <v>420</v>
      </c>
      <c r="C6" s="464" t="s">
        <v>421</v>
      </c>
      <c r="D6" s="464"/>
      <c r="E6" s="464"/>
      <c r="F6" s="464"/>
      <c r="G6" s="6">
        <v>50</v>
      </c>
      <c r="H6" t="s">
        <v>274</v>
      </c>
      <c r="I6" s="138" t="s">
        <v>422</v>
      </c>
      <c r="M6" s="283" t="s">
        <v>423</v>
      </c>
      <c r="N6" s="138" t="s">
        <v>424</v>
      </c>
      <c r="R6">
        <v>30</v>
      </c>
      <c r="S6" t="s">
        <v>274</v>
      </c>
      <c r="T6" s="282" t="s">
        <v>425</v>
      </c>
      <c r="W6" s="280"/>
    </row>
    <row r="7" spans="2:23" ht="16.5" customHeight="1" thickBot="1">
      <c r="B7" s="281" t="s">
        <v>426</v>
      </c>
      <c r="C7" s="464" t="s">
        <v>404</v>
      </c>
      <c r="D7" s="464"/>
      <c r="E7" s="464"/>
      <c r="F7" s="464"/>
      <c r="G7" s="392">
        <f>G4*(G5/100)*(G6/100)</f>
        <v>0</v>
      </c>
      <c r="H7" t="s">
        <v>272</v>
      </c>
      <c r="I7" s="285" t="s">
        <v>427</v>
      </c>
      <c r="M7" s="283" t="s">
        <v>428</v>
      </c>
      <c r="N7" s="138" t="s">
        <v>429</v>
      </c>
      <c r="R7" s="390">
        <f>(R4/(R5/100))*(R6/100)</f>
        <v>4285.7142857142853</v>
      </c>
      <c r="S7" t="s">
        <v>272</v>
      </c>
      <c r="T7" s="66" t="s">
        <v>430</v>
      </c>
      <c r="W7" s="280"/>
    </row>
    <row r="8" spans="2:23" ht="16.5" customHeight="1" thickBot="1">
      <c r="B8" s="286"/>
      <c r="C8" s="287"/>
      <c r="D8" s="287"/>
      <c r="E8" s="287"/>
      <c r="F8" s="287"/>
      <c r="G8" s="287"/>
      <c r="H8" s="287"/>
      <c r="I8" s="287"/>
      <c r="J8" s="287"/>
      <c r="K8" s="287"/>
      <c r="L8" s="287"/>
      <c r="M8" s="288" t="s">
        <v>431</v>
      </c>
      <c r="N8" s="466" t="s">
        <v>404</v>
      </c>
      <c r="O8" s="466"/>
      <c r="P8" s="466"/>
      <c r="Q8" s="466"/>
      <c r="R8" s="275">
        <f>R4+R7</f>
        <v>14285.714285714286</v>
      </c>
      <c r="S8" s="287" t="s">
        <v>272</v>
      </c>
      <c r="T8" s="289" t="s">
        <v>427</v>
      </c>
      <c r="U8" s="287"/>
      <c r="V8" s="287"/>
      <c r="W8" s="290"/>
    </row>
    <row r="9" spans="2:23">
      <c r="B9" s="452" t="s">
        <v>432</v>
      </c>
      <c r="C9" s="453"/>
      <c r="D9" s="453"/>
      <c r="E9" s="453"/>
      <c r="F9" s="453"/>
      <c r="G9" s="453"/>
      <c r="H9" s="453"/>
      <c r="I9" s="453"/>
      <c r="J9" s="453"/>
      <c r="K9" s="453"/>
      <c r="L9" s="453"/>
      <c r="M9" s="453"/>
      <c r="N9" s="453"/>
      <c r="O9" s="453"/>
      <c r="P9" s="453"/>
      <c r="Q9" s="453"/>
      <c r="R9" s="453"/>
      <c r="S9" s="453"/>
      <c r="T9" s="453"/>
      <c r="U9" s="453"/>
      <c r="V9" s="453"/>
      <c r="W9" s="454"/>
    </row>
    <row r="10" spans="2:23">
      <c r="B10" s="281" t="s">
        <v>408</v>
      </c>
      <c r="C10" s="138" t="s">
        <v>284</v>
      </c>
      <c r="G10" s="282">
        <f>'数量（ルート3）'!N25</f>
        <v>0</v>
      </c>
      <c r="H10" t="s">
        <v>272</v>
      </c>
      <c r="I10" s="138" t="s">
        <v>618</v>
      </c>
      <c r="W10" s="280"/>
    </row>
    <row r="11" spans="2:23" ht="15" thickBot="1">
      <c r="B11" s="281" t="s">
        <v>434</v>
      </c>
      <c r="C11" t="s">
        <v>435</v>
      </c>
      <c r="G11">
        <v>364</v>
      </c>
      <c r="H11" t="s">
        <v>272</v>
      </c>
      <c r="I11" s="138" t="s">
        <v>436</v>
      </c>
      <c r="W11" s="280"/>
    </row>
    <row r="12" spans="2:23" ht="15" thickBot="1">
      <c r="B12" s="291" t="s">
        <v>437</v>
      </c>
      <c r="C12" s="292" t="s">
        <v>438</v>
      </c>
      <c r="D12" s="287"/>
      <c r="E12" s="287"/>
      <c r="F12" s="287"/>
      <c r="G12" s="392" t="e">
        <f>(G11/G10)*100</f>
        <v>#DIV/0!</v>
      </c>
      <c r="H12" s="287" t="s">
        <v>274</v>
      </c>
      <c r="I12" s="289" t="s">
        <v>439</v>
      </c>
      <c r="J12" s="287"/>
      <c r="K12" s="287"/>
      <c r="L12" s="287"/>
      <c r="M12" s="287"/>
      <c r="N12" s="287"/>
      <c r="O12" s="287"/>
      <c r="P12" s="287"/>
      <c r="Q12" s="287"/>
      <c r="R12" s="287"/>
      <c r="S12" s="287"/>
      <c r="T12" s="287"/>
      <c r="U12" s="287"/>
      <c r="V12" s="287"/>
      <c r="W12" s="290"/>
    </row>
    <row r="13" spans="2:23">
      <c r="B13" s="452" t="s">
        <v>440</v>
      </c>
      <c r="C13" s="453"/>
      <c r="D13" s="453"/>
      <c r="E13" s="453"/>
      <c r="F13" s="453"/>
      <c r="G13" s="453"/>
      <c r="H13" s="453"/>
      <c r="I13" s="453"/>
      <c r="J13" s="453"/>
      <c r="K13" s="453"/>
      <c r="L13" s="453"/>
      <c r="M13" s="453"/>
      <c r="N13" s="453"/>
      <c r="O13" s="453"/>
      <c r="P13" s="453"/>
      <c r="Q13" s="453"/>
      <c r="R13" s="453"/>
      <c r="S13" s="453"/>
      <c r="T13" s="453"/>
      <c r="U13" s="453"/>
      <c r="V13" s="453"/>
      <c r="W13" s="454"/>
    </row>
    <row r="14" spans="2:23">
      <c r="B14" s="281" t="s">
        <v>408</v>
      </c>
      <c r="C14" s="138" t="s">
        <v>284</v>
      </c>
      <c r="G14" s="282">
        <f>'数量（ルート3）'!N26</f>
        <v>0</v>
      </c>
      <c r="H14" t="s">
        <v>272</v>
      </c>
      <c r="I14" s="138" t="s">
        <v>619</v>
      </c>
      <c r="W14" s="280"/>
    </row>
    <row r="15" spans="2:23" ht="15" thickBot="1">
      <c r="B15" s="281" t="s">
        <v>434</v>
      </c>
      <c r="C15" t="s">
        <v>435</v>
      </c>
      <c r="G15" s="388"/>
      <c r="H15" t="s">
        <v>272</v>
      </c>
      <c r="I15" s="138" t="s">
        <v>442</v>
      </c>
      <c r="W15" s="280"/>
    </row>
    <row r="16" spans="2:23" ht="15" thickBot="1">
      <c r="B16" s="291" t="s">
        <v>437</v>
      </c>
      <c r="C16" s="292" t="s">
        <v>438</v>
      </c>
      <c r="D16" s="287"/>
      <c r="E16" s="287"/>
      <c r="F16" s="287"/>
      <c r="G16" s="274" t="e">
        <f>(G15/G14)*100</f>
        <v>#DIV/0!</v>
      </c>
      <c r="H16" s="287" t="s">
        <v>274</v>
      </c>
      <c r="I16" s="289" t="s">
        <v>443</v>
      </c>
      <c r="J16" s="287"/>
      <c r="K16" s="287"/>
      <c r="L16" s="287"/>
      <c r="M16" s="287"/>
      <c r="N16" s="287"/>
      <c r="O16" s="287"/>
      <c r="P16" s="287"/>
      <c r="Q16" s="287"/>
      <c r="R16" s="287"/>
      <c r="S16" s="287"/>
      <c r="T16" s="287"/>
      <c r="U16" s="287"/>
      <c r="V16" s="287"/>
      <c r="W16" s="290"/>
    </row>
    <row r="17" spans="2:23">
      <c r="B17" s="452" t="s">
        <v>444</v>
      </c>
      <c r="C17" s="453"/>
      <c r="D17" s="453"/>
      <c r="E17" s="453"/>
      <c r="F17" s="453"/>
      <c r="G17" s="453"/>
      <c r="H17" s="453"/>
      <c r="I17" s="453"/>
      <c r="J17" s="453"/>
      <c r="K17" s="453"/>
      <c r="L17" s="453"/>
      <c r="M17" s="453"/>
      <c r="N17" s="453"/>
      <c r="O17" s="453"/>
      <c r="P17" s="453"/>
      <c r="Q17" s="453"/>
      <c r="R17" s="453"/>
      <c r="S17" s="453"/>
      <c r="T17" s="453"/>
      <c r="U17" s="453"/>
      <c r="V17" s="453"/>
      <c r="W17" s="454"/>
    </row>
    <row r="18" spans="2:23">
      <c r="B18" s="281" t="s">
        <v>408</v>
      </c>
      <c r="C18" s="138" t="s">
        <v>375</v>
      </c>
      <c r="G18" s="282">
        <f>'数量（ルート3）'!K28</f>
        <v>0</v>
      </c>
      <c r="H18" t="s">
        <v>272</v>
      </c>
      <c r="I18" s="138" t="s">
        <v>620</v>
      </c>
      <c r="W18" s="280"/>
    </row>
    <row r="19" spans="2:23">
      <c r="B19" s="281" t="s">
        <v>434</v>
      </c>
      <c r="C19" s="138" t="s">
        <v>446</v>
      </c>
      <c r="G19" s="293">
        <f>ROUNDUP(G18*0.001,1)</f>
        <v>0</v>
      </c>
      <c r="H19" t="s">
        <v>447</v>
      </c>
      <c r="I19" t="s">
        <v>448</v>
      </c>
      <c r="W19" s="280"/>
    </row>
    <row r="20" spans="2:23">
      <c r="B20" s="281" t="s">
        <v>437</v>
      </c>
      <c r="C20" s="138" t="s">
        <v>449</v>
      </c>
      <c r="G20" s="293">
        <f>ROUNDUP(G19*4.51739387354416,1)</f>
        <v>0</v>
      </c>
      <c r="H20" t="s">
        <v>450</v>
      </c>
      <c r="I20" t="s">
        <v>451</v>
      </c>
      <c r="W20" s="280"/>
    </row>
    <row r="21" spans="2:23" ht="13.5" customHeight="1">
      <c r="B21" s="281" t="s">
        <v>452</v>
      </c>
      <c r="C21" s="138" t="s">
        <v>453</v>
      </c>
      <c r="G21" s="390" t="e">
        <f>G18/G19</f>
        <v>#DIV/0!</v>
      </c>
      <c r="H21" t="s">
        <v>454</v>
      </c>
      <c r="I21" s="6" t="s">
        <v>455</v>
      </c>
      <c r="W21" s="280"/>
    </row>
    <row r="22" spans="2:23">
      <c r="B22" s="294" t="s">
        <v>456</v>
      </c>
      <c r="C22" s="295" t="s">
        <v>457</v>
      </c>
      <c r="D22" s="296"/>
      <c r="E22" s="296"/>
      <c r="F22" s="296"/>
      <c r="G22" s="395" t="e">
        <f>G20*G21</f>
        <v>#DIV/0!</v>
      </c>
      <c r="H22" s="296" t="s">
        <v>458</v>
      </c>
      <c r="I22" s="6" t="s">
        <v>459</v>
      </c>
      <c r="W22" s="280"/>
    </row>
    <row r="23" spans="2:23">
      <c r="B23" s="281" t="s">
        <v>460</v>
      </c>
      <c r="C23" s="138" t="s">
        <v>461</v>
      </c>
      <c r="G23" s="396">
        <f>ROUNDUP(G18*0.0007+1.9962,1)</f>
        <v>2</v>
      </c>
      <c r="H23" t="s">
        <v>447</v>
      </c>
      <c r="I23" t="s">
        <v>448</v>
      </c>
      <c r="W23" s="280"/>
    </row>
    <row r="24" spans="2:23">
      <c r="B24" s="281" t="s">
        <v>462</v>
      </c>
      <c r="C24" s="138" t="s">
        <v>463</v>
      </c>
      <c r="G24" s="396">
        <f>ROUNDUP(G23*13.4188554371463,1)</f>
        <v>26.900000000000002</v>
      </c>
      <c r="H24" t="s">
        <v>450</v>
      </c>
      <c r="I24" t="s">
        <v>464</v>
      </c>
      <c r="W24" s="280"/>
    </row>
    <row r="25" spans="2:23">
      <c r="B25" s="281" t="s">
        <v>465</v>
      </c>
      <c r="C25" s="138" t="s">
        <v>466</v>
      </c>
      <c r="G25" s="390">
        <f>G18/G23</f>
        <v>0</v>
      </c>
      <c r="H25" t="s">
        <v>454</v>
      </c>
      <c r="I25" t="s">
        <v>467</v>
      </c>
      <c r="W25" s="280"/>
    </row>
    <row r="26" spans="2:23">
      <c r="B26" s="294" t="s">
        <v>468</v>
      </c>
      <c r="C26" s="295" t="s">
        <v>469</v>
      </c>
      <c r="D26" s="296"/>
      <c r="E26" s="296"/>
      <c r="F26" s="296"/>
      <c r="G26" s="395">
        <f>G24*G25</f>
        <v>0</v>
      </c>
      <c r="H26" s="296" t="s">
        <v>458</v>
      </c>
      <c r="I26" s="6" t="s">
        <v>470</v>
      </c>
      <c r="W26" s="280"/>
    </row>
    <row r="27" spans="2:23">
      <c r="B27" s="281" t="s">
        <v>471</v>
      </c>
      <c r="C27" s="138" t="s">
        <v>472</v>
      </c>
      <c r="G27" s="396">
        <f>ROUNDUP(G18*0.0017,1)</f>
        <v>0</v>
      </c>
      <c r="H27" t="s">
        <v>447</v>
      </c>
      <c r="I27" t="s">
        <v>448</v>
      </c>
      <c r="W27" s="280"/>
    </row>
    <row r="28" spans="2:23">
      <c r="B28" s="281" t="s">
        <v>473</v>
      </c>
      <c r="C28" s="138" t="s">
        <v>474</v>
      </c>
      <c r="G28" s="396">
        <f>ROUNDUP(G27*0.589028125870231,1)</f>
        <v>0</v>
      </c>
      <c r="H28" t="s">
        <v>450</v>
      </c>
      <c r="I28" t="s">
        <v>475</v>
      </c>
      <c r="W28" s="280"/>
    </row>
    <row r="29" spans="2:23">
      <c r="B29" s="281" t="s">
        <v>476</v>
      </c>
      <c r="C29" s="138" t="s">
        <v>477</v>
      </c>
      <c r="G29" s="390" t="e">
        <f>G18/G27</f>
        <v>#DIV/0!</v>
      </c>
      <c r="H29" t="s">
        <v>454</v>
      </c>
      <c r="I29" t="s">
        <v>478</v>
      </c>
      <c r="W29" s="280"/>
    </row>
    <row r="30" spans="2:23">
      <c r="B30" s="294" t="s">
        <v>479</v>
      </c>
      <c r="C30" s="295" t="s">
        <v>480</v>
      </c>
      <c r="D30" s="296"/>
      <c r="E30" s="296"/>
      <c r="F30" s="296"/>
      <c r="G30" s="395" t="e">
        <f>G28*G29</f>
        <v>#DIV/0!</v>
      </c>
      <c r="H30" s="296" t="s">
        <v>458</v>
      </c>
      <c r="I30" s="6" t="s">
        <v>481</v>
      </c>
      <c r="W30" s="280"/>
    </row>
    <row r="31" spans="2:23">
      <c r="B31" s="281" t="s">
        <v>482</v>
      </c>
      <c r="C31" s="138" t="s">
        <v>483</v>
      </c>
      <c r="G31" s="293">
        <f>ROUNDUP(G18*0.001,1)</f>
        <v>0</v>
      </c>
      <c r="H31" t="s">
        <v>447</v>
      </c>
      <c r="I31" t="s">
        <v>448</v>
      </c>
      <c r="W31" s="280"/>
    </row>
    <row r="32" spans="2:23">
      <c r="B32" s="281" t="s">
        <v>484</v>
      </c>
      <c r="C32" s="138" t="s">
        <v>485</v>
      </c>
      <c r="G32" s="396">
        <f>ROUNDUP(G31*1.81191726552423,1)</f>
        <v>0</v>
      </c>
      <c r="H32" t="s">
        <v>450</v>
      </c>
      <c r="I32" t="s">
        <v>486</v>
      </c>
      <c r="W32" s="280"/>
    </row>
    <row r="33" spans="2:23">
      <c r="B33" s="281" t="s">
        <v>487</v>
      </c>
      <c r="C33" s="138" t="s">
        <v>488</v>
      </c>
      <c r="G33" s="390" t="e">
        <f>G18/G31</f>
        <v>#DIV/0!</v>
      </c>
      <c r="H33" t="s">
        <v>454</v>
      </c>
      <c r="I33" t="s">
        <v>489</v>
      </c>
      <c r="W33" s="280"/>
    </row>
    <row r="34" spans="2:23">
      <c r="B34" s="294" t="s">
        <v>490</v>
      </c>
      <c r="C34" s="295" t="s">
        <v>491</v>
      </c>
      <c r="D34" s="296"/>
      <c r="E34" s="296"/>
      <c r="F34" s="296"/>
      <c r="G34" s="395" t="e">
        <f>G32*G33</f>
        <v>#DIV/0!</v>
      </c>
      <c r="H34" s="296" t="s">
        <v>458</v>
      </c>
      <c r="I34" s="6" t="s">
        <v>492</v>
      </c>
      <c r="W34" s="280"/>
    </row>
    <row r="35" spans="2:23">
      <c r="B35" s="281" t="s">
        <v>493</v>
      </c>
      <c r="C35" s="138" t="s">
        <v>494</v>
      </c>
      <c r="G35" s="396">
        <f>ROUNDUP(G18*0.0009,1)</f>
        <v>0</v>
      </c>
      <c r="H35" t="s">
        <v>447</v>
      </c>
      <c r="I35" t="s">
        <v>448</v>
      </c>
      <c r="W35" s="280"/>
    </row>
    <row r="36" spans="2:23">
      <c r="B36" s="281" t="s">
        <v>495</v>
      </c>
      <c r="C36" s="138" t="s">
        <v>496</v>
      </c>
      <c r="G36" s="396">
        <f>ROUNDUP(G35*2.49170178799489,1)</f>
        <v>0</v>
      </c>
      <c r="H36" t="s">
        <v>450</v>
      </c>
      <c r="I36" t="s">
        <v>497</v>
      </c>
      <c r="W36" s="280"/>
    </row>
    <row r="37" spans="2:23">
      <c r="B37" s="281" t="s">
        <v>498</v>
      </c>
      <c r="C37" s="138" t="s">
        <v>499</v>
      </c>
      <c r="G37" s="390" t="e">
        <f>G18/G35</f>
        <v>#DIV/0!</v>
      </c>
      <c r="H37" t="s">
        <v>454</v>
      </c>
      <c r="I37" t="s">
        <v>500</v>
      </c>
      <c r="W37" s="280"/>
    </row>
    <row r="38" spans="2:23">
      <c r="B38" s="294" t="s">
        <v>501</v>
      </c>
      <c r="C38" s="295" t="s">
        <v>502</v>
      </c>
      <c r="D38" s="296"/>
      <c r="E38" s="296"/>
      <c r="F38" s="296"/>
      <c r="G38" s="395" t="e">
        <f>G36*G37</f>
        <v>#DIV/0!</v>
      </c>
      <c r="H38" s="296" t="s">
        <v>458</v>
      </c>
      <c r="I38" s="6" t="s">
        <v>503</v>
      </c>
      <c r="W38" s="280"/>
    </row>
    <row r="39" spans="2:23" ht="15" thickBot="1">
      <c r="B39" s="294" t="s">
        <v>504</v>
      </c>
      <c r="C39" s="295" t="s">
        <v>505</v>
      </c>
      <c r="D39" s="296"/>
      <c r="E39" s="296"/>
      <c r="F39" s="296"/>
      <c r="G39" s="296"/>
      <c r="H39" s="296" t="s">
        <v>458</v>
      </c>
      <c r="I39" s="138" t="s">
        <v>506</v>
      </c>
      <c r="W39" s="280"/>
    </row>
    <row r="40" spans="2:23" ht="15" thickBot="1">
      <c r="B40" s="291" t="s">
        <v>507</v>
      </c>
      <c r="C40" s="292" t="s">
        <v>508</v>
      </c>
      <c r="D40" s="287"/>
      <c r="E40" s="287"/>
      <c r="F40" s="287"/>
      <c r="G40" s="275" t="e">
        <f>G22+G26+G30+G34+G38+G39</f>
        <v>#DIV/0!</v>
      </c>
      <c r="H40" s="287" t="s">
        <v>458</v>
      </c>
      <c r="I40" s="289" t="s">
        <v>509</v>
      </c>
      <c r="J40" s="287"/>
      <c r="K40" s="287"/>
      <c r="L40" s="287"/>
      <c r="M40" s="287"/>
      <c r="N40" s="287"/>
      <c r="O40" s="287"/>
      <c r="P40" s="287"/>
      <c r="Q40" s="287"/>
      <c r="R40" s="287"/>
      <c r="S40" s="287"/>
      <c r="T40" s="287"/>
      <c r="U40" s="287"/>
      <c r="V40" s="287"/>
      <c r="W40" s="290"/>
    </row>
    <row r="41" spans="2:23">
      <c r="B41" s="452" t="s">
        <v>510</v>
      </c>
      <c r="C41" s="453"/>
      <c r="D41" s="453"/>
      <c r="E41" s="453"/>
      <c r="F41" s="453"/>
      <c r="G41" s="453"/>
      <c r="H41" s="453"/>
      <c r="I41" s="453"/>
      <c r="J41" s="453"/>
      <c r="K41" s="453"/>
      <c r="L41" s="453"/>
      <c r="M41" s="453"/>
      <c r="N41" s="453"/>
      <c r="O41" s="453"/>
      <c r="P41" s="453"/>
      <c r="Q41" s="453"/>
      <c r="R41" s="453"/>
      <c r="S41" s="453"/>
      <c r="T41" s="453"/>
      <c r="U41" s="453"/>
      <c r="V41" s="453"/>
      <c r="W41" s="454"/>
    </row>
    <row r="42" spans="2:23">
      <c r="B42" s="281" t="s">
        <v>408</v>
      </c>
      <c r="C42" s="138" t="s">
        <v>375</v>
      </c>
      <c r="G42" s="282">
        <f>'数量（ルート3）'!N28</f>
        <v>0</v>
      </c>
      <c r="H42" t="s">
        <v>272</v>
      </c>
      <c r="I42" s="138" t="s">
        <v>621</v>
      </c>
      <c r="W42" s="280"/>
    </row>
    <row r="43" spans="2:23">
      <c r="B43" s="281" t="s">
        <v>434</v>
      </c>
      <c r="C43" s="138" t="s">
        <v>446</v>
      </c>
      <c r="G43" s="293">
        <f>ROUNDUP(G42*0.001,1)</f>
        <v>0</v>
      </c>
      <c r="H43" t="s">
        <v>447</v>
      </c>
      <c r="I43" t="s">
        <v>448</v>
      </c>
      <c r="W43" s="280"/>
    </row>
    <row r="44" spans="2:23">
      <c r="B44" s="281" t="s">
        <v>437</v>
      </c>
      <c r="C44" s="138" t="s">
        <v>449</v>
      </c>
      <c r="G44" s="293">
        <f>ROUNDUP(G43*4.51739387354416,1)</f>
        <v>0</v>
      </c>
      <c r="H44" t="s">
        <v>450</v>
      </c>
      <c r="I44" t="s">
        <v>451</v>
      </c>
      <c r="W44" s="280"/>
    </row>
    <row r="45" spans="2:23" ht="14.25" customHeight="1">
      <c r="B45" s="281" t="s">
        <v>452</v>
      </c>
      <c r="C45" s="138" t="s">
        <v>453</v>
      </c>
      <c r="G45" s="390" t="e">
        <f>G42/G43</f>
        <v>#DIV/0!</v>
      </c>
      <c r="H45" t="s">
        <v>454</v>
      </c>
      <c r="I45" s="6" t="s">
        <v>455</v>
      </c>
      <c r="W45" s="280"/>
    </row>
    <row r="46" spans="2:23">
      <c r="B46" s="294" t="s">
        <v>456</v>
      </c>
      <c r="C46" s="295" t="s">
        <v>457</v>
      </c>
      <c r="D46" s="296"/>
      <c r="E46" s="296"/>
      <c r="F46" s="296"/>
      <c r="G46" s="395" t="e">
        <f>G44*G45</f>
        <v>#DIV/0!</v>
      </c>
      <c r="H46" s="296" t="s">
        <v>458</v>
      </c>
      <c r="I46" s="6" t="s">
        <v>459</v>
      </c>
      <c r="W46" s="280"/>
    </row>
    <row r="47" spans="2:23">
      <c r="B47" s="281" t="s">
        <v>460</v>
      </c>
      <c r="C47" s="138" t="s">
        <v>461</v>
      </c>
      <c r="G47" s="396">
        <f>ROUNDUP(G42*0.0007+1.9962,1)</f>
        <v>2</v>
      </c>
      <c r="H47" t="s">
        <v>447</v>
      </c>
      <c r="I47" t="s">
        <v>448</v>
      </c>
      <c r="W47" s="280"/>
    </row>
    <row r="48" spans="2:23">
      <c r="B48" s="281" t="s">
        <v>462</v>
      </c>
      <c r="C48" s="138" t="s">
        <v>463</v>
      </c>
      <c r="G48" s="396">
        <f>ROUNDUP(G47*13.4188554371463,1)</f>
        <v>26.900000000000002</v>
      </c>
      <c r="H48" t="s">
        <v>450</v>
      </c>
      <c r="I48" t="s">
        <v>464</v>
      </c>
      <c r="W48" s="280"/>
    </row>
    <row r="49" spans="2:23">
      <c r="B49" s="281" t="s">
        <v>465</v>
      </c>
      <c r="C49" s="138" t="s">
        <v>466</v>
      </c>
      <c r="G49" s="390">
        <f>G42/G47</f>
        <v>0</v>
      </c>
      <c r="H49" t="s">
        <v>454</v>
      </c>
      <c r="I49" t="s">
        <v>467</v>
      </c>
      <c r="W49" s="280"/>
    </row>
    <row r="50" spans="2:23">
      <c r="B50" s="294" t="s">
        <v>468</v>
      </c>
      <c r="C50" s="295" t="s">
        <v>469</v>
      </c>
      <c r="D50" s="296"/>
      <c r="E50" s="296"/>
      <c r="F50" s="296"/>
      <c r="G50" s="395">
        <f>G48*G49</f>
        <v>0</v>
      </c>
      <c r="H50" s="296" t="s">
        <v>458</v>
      </c>
      <c r="I50" s="6" t="s">
        <v>470</v>
      </c>
      <c r="W50" s="280"/>
    </row>
    <row r="51" spans="2:23">
      <c r="B51" s="281" t="s">
        <v>471</v>
      </c>
      <c r="C51" s="138" t="s">
        <v>472</v>
      </c>
      <c r="G51" s="396">
        <f>ROUNDUP(G42*0.0017,1)</f>
        <v>0</v>
      </c>
      <c r="H51" t="s">
        <v>447</v>
      </c>
      <c r="I51" t="s">
        <v>448</v>
      </c>
      <c r="W51" s="280"/>
    </row>
    <row r="52" spans="2:23">
      <c r="B52" s="281" t="s">
        <v>473</v>
      </c>
      <c r="C52" s="138" t="s">
        <v>474</v>
      </c>
      <c r="G52" s="396">
        <f>ROUNDUP(G51*0.589028125870231,1)</f>
        <v>0</v>
      </c>
      <c r="H52" t="s">
        <v>450</v>
      </c>
      <c r="I52" t="s">
        <v>475</v>
      </c>
      <c r="W52" s="280"/>
    </row>
    <row r="53" spans="2:23">
      <c r="B53" s="281" t="s">
        <v>476</v>
      </c>
      <c r="C53" s="138" t="s">
        <v>477</v>
      </c>
      <c r="G53" s="390" t="e">
        <f>G42/G51</f>
        <v>#DIV/0!</v>
      </c>
      <c r="H53" t="s">
        <v>454</v>
      </c>
      <c r="I53" t="s">
        <v>478</v>
      </c>
      <c r="W53" s="280"/>
    </row>
    <row r="54" spans="2:23">
      <c r="B54" s="294" t="s">
        <v>479</v>
      </c>
      <c r="C54" s="295" t="s">
        <v>480</v>
      </c>
      <c r="D54" s="296"/>
      <c r="E54" s="296"/>
      <c r="F54" s="296"/>
      <c r="G54" s="395" t="e">
        <f>G52*G53</f>
        <v>#DIV/0!</v>
      </c>
      <c r="H54" s="296" t="s">
        <v>458</v>
      </c>
      <c r="I54" s="6" t="s">
        <v>481</v>
      </c>
      <c r="W54" s="280"/>
    </row>
    <row r="55" spans="2:23">
      <c r="B55" s="281" t="s">
        <v>482</v>
      </c>
      <c r="C55" s="138" t="s">
        <v>483</v>
      </c>
      <c r="G55" s="293">
        <f>ROUNDUP(G42*0.001,1)</f>
        <v>0</v>
      </c>
      <c r="H55" t="s">
        <v>447</v>
      </c>
      <c r="I55" t="s">
        <v>448</v>
      </c>
      <c r="W55" s="280"/>
    </row>
    <row r="56" spans="2:23">
      <c r="B56" s="281" t="s">
        <v>484</v>
      </c>
      <c r="C56" s="138" t="s">
        <v>485</v>
      </c>
      <c r="G56" s="396">
        <f>ROUND(G55*1.81191726552423,1)</f>
        <v>0</v>
      </c>
      <c r="H56" t="s">
        <v>450</v>
      </c>
      <c r="I56" t="s">
        <v>486</v>
      </c>
      <c r="W56" s="280"/>
    </row>
    <row r="57" spans="2:23">
      <c r="B57" s="281" t="s">
        <v>487</v>
      </c>
      <c r="C57" s="138" t="s">
        <v>488</v>
      </c>
      <c r="G57" s="390" t="e">
        <f>G42/G55</f>
        <v>#DIV/0!</v>
      </c>
      <c r="H57" t="s">
        <v>454</v>
      </c>
      <c r="I57" t="s">
        <v>489</v>
      </c>
      <c r="W57" s="280"/>
    </row>
    <row r="58" spans="2:23">
      <c r="B58" s="294" t="s">
        <v>490</v>
      </c>
      <c r="C58" s="295" t="s">
        <v>491</v>
      </c>
      <c r="D58" s="296"/>
      <c r="E58" s="296"/>
      <c r="F58" s="296"/>
      <c r="G58" s="395" t="e">
        <f>G56*G57</f>
        <v>#DIV/0!</v>
      </c>
      <c r="H58" s="296" t="s">
        <v>458</v>
      </c>
      <c r="I58" s="6" t="s">
        <v>492</v>
      </c>
      <c r="W58" s="280"/>
    </row>
    <row r="59" spans="2:23">
      <c r="B59" s="281" t="s">
        <v>493</v>
      </c>
      <c r="C59" s="138" t="s">
        <v>494</v>
      </c>
      <c r="G59" s="396">
        <f>ROUNDUP(G42*0.0009,1)</f>
        <v>0</v>
      </c>
      <c r="H59" t="s">
        <v>447</v>
      </c>
      <c r="I59" t="s">
        <v>448</v>
      </c>
      <c r="W59" s="280"/>
    </row>
    <row r="60" spans="2:23">
      <c r="B60" s="281" t="s">
        <v>495</v>
      </c>
      <c r="C60" s="138" t="s">
        <v>496</v>
      </c>
      <c r="G60" s="396">
        <f>ROUNDUP(G59*2.49170178799489,1)</f>
        <v>0</v>
      </c>
      <c r="H60" t="s">
        <v>450</v>
      </c>
      <c r="I60" t="s">
        <v>497</v>
      </c>
      <c r="W60" s="280"/>
    </row>
    <row r="61" spans="2:23">
      <c r="B61" s="281" t="s">
        <v>498</v>
      </c>
      <c r="C61" s="138" t="s">
        <v>499</v>
      </c>
      <c r="G61" s="390" t="e">
        <f>G42/G59</f>
        <v>#DIV/0!</v>
      </c>
      <c r="H61" t="s">
        <v>454</v>
      </c>
      <c r="I61" t="s">
        <v>500</v>
      </c>
      <c r="W61" s="280"/>
    </row>
    <row r="62" spans="2:23">
      <c r="B62" s="294" t="s">
        <v>501</v>
      </c>
      <c r="C62" s="295" t="s">
        <v>502</v>
      </c>
      <c r="D62" s="296"/>
      <c r="E62" s="296"/>
      <c r="F62" s="296"/>
      <c r="G62" s="395" t="e">
        <f>G60*G61</f>
        <v>#DIV/0!</v>
      </c>
      <c r="H62" s="296" t="s">
        <v>458</v>
      </c>
      <c r="I62" s="6" t="s">
        <v>503</v>
      </c>
      <c r="W62" s="280"/>
    </row>
    <row r="63" spans="2:23" ht="15" thickBot="1">
      <c r="B63" s="294" t="s">
        <v>504</v>
      </c>
      <c r="C63" s="295" t="s">
        <v>505</v>
      </c>
      <c r="D63" s="296"/>
      <c r="E63" s="296"/>
      <c r="F63" s="296"/>
      <c r="G63" s="296"/>
      <c r="H63" s="296" t="s">
        <v>458</v>
      </c>
      <c r="I63" s="138" t="s">
        <v>506</v>
      </c>
      <c r="W63" s="280"/>
    </row>
    <row r="64" spans="2:23" ht="15" thickBot="1">
      <c r="B64" s="291" t="s">
        <v>507</v>
      </c>
      <c r="C64" s="292" t="s">
        <v>508</v>
      </c>
      <c r="D64" s="287"/>
      <c r="E64" s="287"/>
      <c r="F64" s="287"/>
      <c r="G64" s="275" t="e">
        <f>G46+G50+G54+G58+G62+G63</f>
        <v>#DIV/0!</v>
      </c>
      <c r="H64" s="287" t="s">
        <v>458</v>
      </c>
      <c r="I64" s="289" t="s">
        <v>512</v>
      </c>
      <c r="J64" s="287"/>
      <c r="K64" s="287"/>
      <c r="L64" s="287"/>
      <c r="M64" s="287"/>
      <c r="N64" s="287"/>
      <c r="O64" s="287"/>
      <c r="P64" s="287"/>
      <c r="Q64" s="287"/>
      <c r="R64" s="287"/>
      <c r="S64" s="287"/>
      <c r="T64" s="287"/>
      <c r="U64" s="287"/>
      <c r="V64" s="287"/>
      <c r="W64" s="290"/>
    </row>
    <row r="65" spans="2:23" ht="15" thickBot="1">
      <c r="B65" s="452" t="s">
        <v>513</v>
      </c>
      <c r="C65" s="453"/>
      <c r="D65" s="453"/>
      <c r="E65" s="453"/>
      <c r="F65" s="453"/>
      <c r="G65" s="453"/>
      <c r="H65" s="453"/>
      <c r="I65" s="453"/>
      <c r="J65" s="453"/>
      <c r="K65" s="453"/>
      <c r="L65" s="453"/>
      <c r="M65" s="453"/>
      <c r="N65" s="453"/>
      <c r="O65" s="453"/>
      <c r="P65" s="453"/>
      <c r="Q65" s="453"/>
      <c r="R65" s="453"/>
      <c r="S65" s="453"/>
      <c r="T65" s="453"/>
      <c r="U65" s="453"/>
      <c r="V65" s="453"/>
      <c r="W65" s="454"/>
    </row>
    <row r="66" spans="2:23" ht="15" thickBot="1">
      <c r="B66" s="457" t="s">
        <v>514</v>
      </c>
      <c r="C66" s="456"/>
      <c r="D66" s="138" t="s">
        <v>515</v>
      </c>
      <c r="G66" s="401" t="e">
        <f>((0.29*'数量（ルート3）'!K33)+(0.365*'数量（ルート3）'!K38)+(3.19*'数量（ルート3）'!K38))/'数量（ルート3）'!K38</f>
        <v>#DIV/0!</v>
      </c>
      <c r="H66" t="s">
        <v>516</v>
      </c>
      <c r="I66" s="285" t="s">
        <v>517</v>
      </c>
      <c r="W66" s="280"/>
    </row>
    <row r="67" spans="2:23" ht="15" thickBot="1">
      <c r="B67" s="457"/>
      <c r="C67" s="456"/>
      <c r="D67" s="138" t="s">
        <v>518</v>
      </c>
      <c r="G67" s="274">
        <v>-5.53</v>
      </c>
      <c r="H67" t="s">
        <v>516</v>
      </c>
      <c r="I67" s="285" t="s">
        <v>519</v>
      </c>
      <c r="W67" s="280"/>
    </row>
    <row r="68" spans="2:23" ht="15" thickBot="1">
      <c r="B68" s="398"/>
      <c r="C68" s="399"/>
      <c r="D68" s="138" t="s">
        <v>520</v>
      </c>
      <c r="G68" s="401" t="e">
        <f>((0.29*'数量（ルート3）'!N33)+(0.365*'数量（ルート3）'!N38)+(3.19*'数量（ルート3）'!N38))/'数量（ルート3）'!N38</f>
        <v>#DIV/0!</v>
      </c>
      <c r="H68" t="s">
        <v>516</v>
      </c>
      <c r="I68" s="285" t="s">
        <v>521</v>
      </c>
      <c r="W68" s="280"/>
    </row>
    <row r="69" spans="2:23" ht="15" thickBot="1">
      <c r="B69" s="398"/>
      <c r="C69" s="399"/>
      <c r="D69" s="138" t="s">
        <v>522</v>
      </c>
      <c r="G69" s="274">
        <v>-5.53</v>
      </c>
      <c r="H69" t="s">
        <v>516</v>
      </c>
      <c r="I69" s="285" t="s">
        <v>523</v>
      </c>
      <c r="W69" s="280"/>
    </row>
    <row r="70" spans="2:23" ht="15" thickBot="1">
      <c r="B70" s="299"/>
      <c r="D70" s="138"/>
      <c r="I70" s="285"/>
      <c r="W70" s="280"/>
    </row>
    <row r="71" spans="2:23" ht="15" thickBot="1">
      <c r="B71" s="455" t="s">
        <v>524</v>
      </c>
      <c r="C71" s="456"/>
      <c r="D71" s="138" t="s">
        <v>515</v>
      </c>
      <c r="G71" s="274" t="e">
        <f>(2.71*'数量（ルート3）'!K33)/'数量（ルート3）'!K38</f>
        <v>#DIV/0!</v>
      </c>
      <c r="H71" t="s">
        <v>516</v>
      </c>
      <c r="I71" s="285" t="s">
        <v>517</v>
      </c>
      <c r="W71" s="280"/>
    </row>
    <row r="72" spans="2:23" ht="15" thickBot="1">
      <c r="B72" s="457"/>
      <c r="C72" s="456"/>
      <c r="D72" s="138" t="s">
        <v>518</v>
      </c>
      <c r="G72" s="274">
        <v>-1.37</v>
      </c>
      <c r="H72" t="s">
        <v>516</v>
      </c>
      <c r="I72" s="285" t="s">
        <v>519</v>
      </c>
      <c r="W72" s="280"/>
    </row>
    <row r="73" spans="2:23" ht="15" thickBot="1">
      <c r="B73" s="398"/>
      <c r="C73" s="399"/>
      <c r="D73" s="138" t="s">
        <v>520</v>
      </c>
      <c r="G73" s="274" t="e">
        <f>(2.71*'数量（ルート3）'!N33)/'数量（ルート3）'!N38</f>
        <v>#DIV/0!</v>
      </c>
      <c r="H73" t="s">
        <v>516</v>
      </c>
      <c r="I73" s="285" t="s">
        <v>521</v>
      </c>
      <c r="W73" s="280"/>
    </row>
    <row r="74" spans="2:23" ht="15" thickBot="1">
      <c r="B74" s="299"/>
      <c r="D74" s="138" t="s">
        <v>522</v>
      </c>
      <c r="G74" s="274">
        <v>-1.37</v>
      </c>
      <c r="H74" t="s">
        <v>516</v>
      </c>
      <c r="I74" s="285" t="s">
        <v>523</v>
      </c>
      <c r="W74" s="280"/>
    </row>
    <row r="75" spans="2:23" ht="15" thickBot="1">
      <c r="B75" s="299"/>
      <c r="D75" s="138"/>
      <c r="I75" s="285"/>
      <c r="W75" s="280"/>
    </row>
    <row r="76" spans="2:23" ht="15" thickBot="1">
      <c r="B76" s="455" t="s">
        <v>525</v>
      </c>
      <c r="C76" s="456"/>
      <c r="D76" s="138" t="s">
        <v>515</v>
      </c>
      <c r="G76" s="274" t="e">
        <f>(4.91*'数量（ルート3）'!K33)/'数量（ルート3）'!K38</f>
        <v>#DIV/0!</v>
      </c>
      <c r="H76" t="s">
        <v>516</v>
      </c>
      <c r="I76" s="285" t="s">
        <v>517</v>
      </c>
      <c r="W76" s="280"/>
    </row>
    <row r="77" spans="2:23" ht="15" thickBot="1">
      <c r="B77" s="457"/>
      <c r="C77" s="456"/>
      <c r="D77" s="138" t="s">
        <v>518</v>
      </c>
      <c r="G77" s="274">
        <v>-4.3</v>
      </c>
      <c r="H77" t="s">
        <v>516</v>
      </c>
      <c r="I77" s="285" t="s">
        <v>519</v>
      </c>
      <c r="W77" s="280"/>
    </row>
    <row r="78" spans="2:23" ht="15" thickBot="1">
      <c r="B78" s="398"/>
      <c r="C78" s="399"/>
      <c r="D78" s="138" t="s">
        <v>520</v>
      </c>
      <c r="G78" s="274" t="e">
        <f>(4.91*'数量（ルート3）'!N33)/'数量（ルート3）'!N38</f>
        <v>#DIV/0!</v>
      </c>
      <c r="H78" t="s">
        <v>516</v>
      </c>
      <c r="I78" s="285" t="s">
        <v>521</v>
      </c>
      <c r="W78" s="280"/>
    </row>
    <row r="79" spans="2:23" ht="15" thickBot="1">
      <c r="B79" s="299"/>
      <c r="D79" s="138" t="s">
        <v>522</v>
      </c>
      <c r="G79" s="274">
        <v>-4.3</v>
      </c>
      <c r="H79" t="s">
        <v>516</v>
      </c>
      <c r="I79" s="285" t="s">
        <v>523</v>
      </c>
      <c r="W79" s="280"/>
    </row>
    <row r="80" spans="2:23" ht="15" thickBot="1">
      <c r="B80" s="299"/>
      <c r="D80" s="138"/>
      <c r="W80" s="280"/>
    </row>
    <row r="81" spans="2:23" ht="15" thickBot="1">
      <c r="B81" s="455" t="s">
        <v>526</v>
      </c>
      <c r="C81" s="456"/>
      <c r="D81" s="138" t="s">
        <v>515</v>
      </c>
      <c r="G81" s="274" t="e">
        <f>(119.91*'数量（ルート3）'!K33)/'数量（ルート3）'!K38</f>
        <v>#DIV/0!</v>
      </c>
      <c r="H81" t="s">
        <v>516</v>
      </c>
      <c r="I81" s="285" t="s">
        <v>517</v>
      </c>
      <c r="W81" s="280"/>
    </row>
    <row r="82" spans="2:23" ht="15" thickBot="1">
      <c r="B82" s="457"/>
      <c r="C82" s="456"/>
      <c r="D82" s="138" t="s">
        <v>518</v>
      </c>
      <c r="G82" s="274">
        <v>-120.22</v>
      </c>
      <c r="H82" t="s">
        <v>516</v>
      </c>
      <c r="I82" s="285" t="s">
        <v>519</v>
      </c>
      <c r="W82" s="280"/>
    </row>
    <row r="83" spans="2:23" ht="15" thickBot="1">
      <c r="B83" s="398"/>
      <c r="C83" s="399"/>
      <c r="D83" s="138" t="s">
        <v>520</v>
      </c>
      <c r="G83" s="274" t="e">
        <f>(119.91*'数量（ルート3）'!N33)/'数量（ルート3）'!N38</f>
        <v>#DIV/0!</v>
      </c>
      <c r="H83" t="s">
        <v>516</v>
      </c>
      <c r="I83" s="285" t="s">
        <v>521</v>
      </c>
      <c r="W83" s="280"/>
    </row>
    <row r="84" spans="2:23" ht="15" thickBot="1">
      <c r="B84" s="299"/>
      <c r="D84" s="138" t="s">
        <v>522</v>
      </c>
      <c r="G84" s="274">
        <v>-120.22</v>
      </c>
      <c r="H84" t="s">
        <v>516</v>
      </c>
      <c r="I84" s="285" t="s">
        <v>523</v>
      </c>
      <c r="W84" s="280"/>
    </row>
    <row r="85" spans="2:23" ht="15" thickBot="1">
      <c r="B85" s="299"/>
      <c r="D85" s="138"/>
      <c r="I85" s="285"/>
      <c r="W85" s="280"/>
    </row>
    <row r="86" spans="2:23" ht="15" thickBot="1">
      <c r="B86" s="455" t="s">
        <v>527</v>
      </c>
      <c r="C86" s="456"/>
      <c r="D86" s="138" t="s">
        <v>515</v>
      </c>
      <c r="G86" s="274" t="e">
        <f>(3.53*'数量（ルート3）'!K33)/'数量（ルート3）'!K38</f>
        <v>#DIV/0!</v>
      </c>
      <c r="H86" t="s">
        <v>516</v>
      </c>
      <c r="I86" s="285" t="s">
        <v>517</v>
      </c>
      <c r="W86" s="280"/>
    </row>
    <row r="87" spans="2:23" ht="15" thickBot="1">
      <c r="B87" s="457"/>
      <c r="C87" s="456"/>
      <c r="D87" s="138" t="s">
        <v>518</v>
      </c>
      <c r="G87" s="274">
        <v>-3.55</v>
      </c>
      <c r="H87" t="s">
        <v>516</v>
      </c>
      <c r="I87" s="285" t="s">
        <v>519</v>
      </c>
      <c r="W87" s="280"/>
    </row>
    <row r="88" spans="2:23" ht="15" thickBot="1">
      <c r="B88" s="398"/>
      <c r="C88" s="399"/>
      <c r="D88" s="138" t="s">
        <v>520</v>
      </c>
      <c r="G88" s="274" t="e">
        <f>(3.53*'数量（ルート3）'!N33)/'数量（ルート3）'!N38</f>
        <v>#DIV/0!</v>
      </c>
      <c r="H88" t="s">
        <v>516</v>
      </c>
      <c r="I88" s="285" t="s">
        <v>521</v>
      </c>
      <c r="W88" s="280"/>
    </row>
    <row r="89" spans="2:23" ht="15" thickBot="1">
      <c r="B89" s="398"/>
      <c r="C89" s="399"/>
      <c r="D89" s="138" t="s">
        <v>522</v>
      </c>
      <c r="G89" s="274">
        <v>-3.55</v>
      </c>
      <c r="H89" t="s">
        <v>516</v>
      </c>
      <c r="I89" s="285" t="s">
        <v>523</v>
      </c>
      <c r="W89" s="280"/>
    </row>
    <row r="90" spans="2:23">
      <c r="B90" s="452" t="s">
        <v>528</v>
      </c>
      <c r="C90" s="453"/>
      <c r="D90" s="453"/>
      <c r="E90" s="453"/>
      <c r="F90" s="453"/>
      <c r="G90" s="453"/>
      <c r="H90" s="453"/>
      <c r="I90" s="453"/>
      <c r="J90" s="453"/>
      <c r="K90" s="453"/>
      <c r="L90" s="453"/>
      <c r="M90" s="453"/>
      <c r="N90" s="453"/>
      <c r="O90" s="453"/>
      <c r="P90" s="453"/>
      <c r="Q90" s="453"/>
      <c r="R90" s="453"/>
      <c r="S90" s="453"/>
      <c r="T90" s="453"/>
      <c r="U90" s="453"/>
      <c r="V90" s="453"/>
      <c r="W90" s="454"/>
    </row>
    <row r="91" spans="2:23">
      <c r="B91" s="281" t="s">
        <v>408</v>
      </c>
      <c r="C91" t="s">
        <v>529</v>
      </c>
      <c r="G91" s="282">
        <f>'数量（ルート3）'!K34</f>
        <v>0</v>
      </c>
      <c r="H91" t="s">
        <v>530</v>
      </c>
      <c r="I91" s="138" t="s">
        <v>622</v>
      </c>
      <c r="W91" s="280"/>
    </row>
    <row r="92" spans="2:23">
      <c r="B92" s="281" t="s">
        <v>434</v>
      </c>
      <c r="C92" t="s">
        <v>532</v>
      </c>
      <c r="G92" s="282">
        <f>'パラメータ（ルート3）'!H31</f>
        <v>0</v>
      </c>
      <c r="H92" t="s">
        <v>533</v>
      </c>
      <c r="I92" s="138" t="s">
        <v>623</v>
      </c>
      <c r="W92" s="280"/>
    </row>
    <row r="93" spans="2:23">
      <c r="B93" s="281" t="s">
        <v>437</v>
      </c>
      <c r="C93" t="s">
        <v>535</v>
      </c>
      <c r="G93" s="282">
        <f>'パラメータ（ルート3）'!H32</f>
        <v>0</v>
      </c>
      <c r="H93" t="s">
        <v>536</v>
      </c>
      <c r="I93" s="138" t="s">
        <v>624</v>
      </c>
      <c r="W93" s="280"/>
    </row>
    <row r="94" spans="2:23">
      <c r="B94" s="281" t="s">
        <v>452</v>
      </c>
      <c r="C94" t="s">
        <v>538</v>
      </c>
      <c r="G94" s="293">
        <f>'パラメータ（ルート3）'!H33</f>
        <v>4.1500000000000004</v>
      </c>
      <c r="H94" t="s">
        <v>322</v>
      </c>
      <c r="I94" s="138" t="s">
        <v>625</v>
      </c>
      <c r="W94" s="280"/>
    </row>
    <row r="95" spans="2:23">
      <c r="B95" s="281" t="s">
        <v>456</v>
      </c>
      <c r="C95" t="s">
        <v>540</v>
      </c>
      <c r="G95" s="300"/>
      <c r="H95" t="s">
        <v>541</v>
      </c>
      <c r="I95" s="301" t="s">
        <v>542</v>
      </c>
      <c r="W95" s="280"/>
    </row>
    <row r="96" spans="2:23">
      <c r="B96" s="281" t="s">
        <v>460</v>
      </c>
      <c r="C96" s="302" t="s">
        <v>543</v>
      </c>
      <c r="D96" s="303"/>
      <c r="E96" s="303"/>
      <c r="F96" s="303"/>
      <c r="G96" s="304" t="e">
        <f>((G91/G92)*G93/G94)*G95</f>
        <v>#DIV/0!</v>
      </c>
      <c r="H96" s="303" t="s">
        <v>544</v>
      </c>
      <c r="W96" s="280"/>
    </row>
    <row r="97" spans="2:23">
      <c r="B97" s="281" t="s">
        <v>462</v>
      </c>
      <c r="C97" t="s">
        <v>545</v>
      </c>
      <c r="G97">
        <v>1</v>
      </c>
      <c r="H97" t="s">
        <v>546</v>
      </c>
      <c r="I97" s="301" t="s">
        <v>542</v>
      </c>
      <c r="W97" s="280"/>
    </row>
    <row r="98" spans="2:23">
      <c r="B98" s="281" t="s">
        <v>465</v>
      </c>
      <c r="C98" t="s">
        <v>547</v>
      </c>
      <c r="G98" s="284" t="e">
        <f>G91/G92</f>
        <v>#DIV/0!</v>
      </c>
      <c r="H98" t="s">
        <v>548</v>
      </c>
      <c r="I98" s="391" t="s">
        <v>549</v>
      </c>
      <c r="W98" s="280"/>
    </row>
    <row r="99" spans="2:23">
      <c r="B99" s="281" t="s">
        <v>468</v>
      </c>
      <c r="C99" t="s">
        <v>550</v>
      </c>
      <c r="G99" s="305"/>
      <c r="H99" t="s">
        <v>551</v>
      </c>
      <c r="I99" s="301" t="s">
        <v>542</v>
      </c>
      <c r="W99" s="280"/>
    </row>
    <row r="100" spans="2:23">
      <c r="B100" s="281" t="s">
        <v>471</v>
      </c>
      <c r="C100" t="s">
        <v>552</v>
      </c>
      <c r="G100" s="284">
        <v>12606</v>
      </c>
      <c r="H100" t="s">
        <v>553</v>
      </c>
      <c r="I100" s="307" t="s">
        <v>554</v>
      </c>
      <c r="W100" s="280"/>
    </row>
    <row r="101" spans="2:23" ht="15" thickBot="1">
      <c r="B101" s="281" t="s">
        <v>473</v>
      </c>
      <c r="C101" s="303" t="s">
        <v>555</v>
      </c>
      <c r="D101" s="303"/>
      <c r="E101" s="303"/>
      <c r="F101" s="303"/>
      <c r="G101" s="304" t="e">
        <f>G97*G98*G99*G100</f>
        <v>#DIV/0!</v>
      </c>
      <c r="H101" s="303" t="s">
        <v>544</v>
      </c>
      <c r="W101" s="280"/>
    </row>
    <row r="102" spans="2:23" ht="15" thickBot="1">
      <c r="B102" s="291" t="s">
        <v>476</v>
      </c>
      <c r="C102" s="292" t="s">
        <v>90</v>
      </c>
      <c r="D102" s="287"/>
      <c r="E102" s="287"/>
      <c r="F102" s="287"/>
      <c r="G102" s="275" t="e">
        <f>G96+G101</f>
        <v>#DIV/0!</v>
      </c>
      <c r="H102" s="306" t="s">
        <v>556</v>
      </c>
      <c r="I102" s="289" t="s">
        <v>557</v>
      </c>
      <c r="J102" s="287"/>
      <c r="K102" s="287"/>
      <c r="L102" s="287"/>
      <c r="M102" s="287"/>
      <c r="N102" s="287"/>
      <c r="O102" s="287"/>
      <c r="P102" s="287"/>
      <c r="Q102" s="287"/>
      <c r="R102" s="287"/>
      <c r="S102" s="287"/>
      <c r="T102" s="287"/>
      <c r="U102" s="287"/>
      <c r="V102" s="287"/>
      <c r="W102" s="290"/>
    </row>
    <row r="103" spans="2:23">
      <c r="B103" s="452" t="s">
        <v>558</v>
      </c>
      <c r="C103" s="453"/>
      <c r="D103" s="453"/>
      <c r="E103" s="453"/>
      <c r="F103" s="453"/>
      <c r="G103" s="453"/>
      <c r="H103" s="453"/>
      <c r="I103" s="453"/>
      <c r="J103" s="453"/>
      <c r="K103" s="453"/>
      <c r="L103" s="453"/>
      <c r="M103" s="453"/>
      <c r="N103" s="453"/>
      <c r="O103" s="453"/>
      <c r="P103" s="453"/>
      <c r="Q103" s="453"/>
      <c r="R103" s="453"/>
      <c r="S103" s="453"/>
      <c r="T103" s="453"/>
      <c r="U103" s="453"/>
      <c r="V103" s="453"/>
      <c r="W103" s="454"/>
    </row>
    <row r="104" spans="2:23">
      <c r="B104" s="281" t="s">
        <v>408</v>
      </c>
      <c r="C104" t="s">
        <v>529</v>
      </c>
      <c r="G104" s="282" t="e">
        <f>'数量（ルート3）'!N34</f>
        <v>#DIV/0!</v>
      </c>
      <c r="H104" t="s">
        <v>530</v>
      </c>
      <c r="I104" s="138" t="s">
        <v>626</v>
      </c>
      <c r="W104" s="280"/>
    </row>
    <row r="105" spans="2:23">
      <c r="B105" s="281" t="s">
        <v>434</v>
      </c>
      <c r="C105" t="s">
        <v>532</v>
      </c>
      <c r="G105" s="282">
        <f>'パラメータ（ルート3）'!H31</f>
        <v>0</v>
      </c>
      <c r="H105" t="s">
        <v>533</v>
      </c>
      <c r="I105" s="138" t="s">
        <v>623</v>
      </c>
      <c r="W105" s="280"/>
    </row>
    <row r="106" spans="2:23">
      <c r="B106" s="281" t="s">
        <v>437</v>
      </c>
      <c r="C106" t="s">
        <v>535</v>
      </c>
      <c r="G106" s="282">
        <f>'パラメータ（ルート3）'!H32</f>
        <v>0</v>
      </c>
      <c r="H106" t="s">
        <v>536</v>
      </c>
      <c r="I106" s="138" t="s">
        <v>624</v>
      </c>
      <c r="W106" s="280"/>
    </row>
    <row r="107" spans="2:23">
      <c r="B107" s="281" t="s">
        <v>452</v>
      </c>
      <c r="C107" t="s">
        <v>538</v>
      </c>
      <c r="G107" s="293">
        <f>'パラメータ（ルート3）'!H33</f>
        <v>4.1500000000000004</v>
      </c>
      <c r="H107" t="s">
        <v>322</v>
      </c>
      <c r="I107" s="138" t="s">
        <v>625</v>
      </c>
      <c r="W107" s="280"/>
    </row>
    <row r="108" spans="2:23">
      <c r="B108" s="281" t="s">
        <v>456</v>
      </c>
      <c r="C108" t="s">
        <v>540</v>
      </c>
      <c r="G108" s="300"/>
      <c r="H108" t="s">
        <v>541</v>
      </c>
      <c r="I108" s="301" t="s">
        <v>542</v>
      </c>
      <c r="W108" s="280"/>
    </row>
    <row r="109" spans="2:23">
      <c r="B109" s="281" t="s">
        <v>460</v>
      </c>
      <c r="C109" s="302" t="s">
        <v>543</v>
      </c>
      <c r="D109" s="303"/>
      <c r="E109" s="303"/>
      <c r="F109" s="303"/>
      <c r="G109" s="304" t="e">
        <f>((G104/G105)*G106/G107)*G108</f>
        <v>#DIV/0!</v>
      </c>
      <c r="H109" s="303" t="s">
        <v>544</v>
      </c>
      <c r="W109" s="280"/>
    </row>
    <row r="110" spans="2:23">
      <c r="B110" s="281" t="s">
        <v>462</v>
      </c>
      <c r="C110" t="s">
        <v>545</v>
      </c>
      <c r="G110">
        <v>1</v>
      </c>
      <c r="H110" t="s">
        <v>546</v>
      </c>
      <c r="I110" s="301" t="s">
        <v>542</v>
      </c>
      <c r="W110" s="280"/>
    </row>
    <row r="111" spans="2:23">
      <c r="B111" s="281" t="s">
        <v>465</v>
      </c>
      <c r="C111" t="s">
        <v>547</v>
      </c>
      <c r="G111" s="284" t="e">
        <f>G104/G105</f>
        <v>#DIV/0!</v>
      </c>
      <c r="H111" t="s">
        <v>548</v>
      </c>
      <c r="I111" s="391" t="s">
        <v>549</v>
      </c>
      <c r="W111" s="280"/>
    </row>
    <row r="112" spans="2:23">
      <c r="B112" s="281" t="s">
        <v>468</v>
      </c>
      <c r="C112" t="s">
        <v>550</v>
      </c>
      <c r="G112" s="305"/>
      <c r="H112" t="s">
        <v>551</v>
      </c>
      <c r="I112" s="301" t="s">
        <v>542</v>
      </c>
      <c r="W112" s="280"/>
    </row>
    <row r="113" spans="2:23">
      <c r="B113" s="281" t="s">
        <v>471</v>
      </c>
      <c r="C113" t="s">
        <v>552</v>
      </c>
      <c r="G113" s="284">
        <v>12606</v>
      </c>
      <c r="H113" t="s">
        <v>553</v>
      </c>
      <c r="I113" s="307" t="s">
        <v>560</v>
      </c>
      <c r="W113" s="280"/>
    </row>
    <row r="114" spans="2:23" ht="15" thickBot="1">
      <c r="B114" s="281" t="s">
        <v>473</v>
      </c>
      <c r="C114" s="303" t="s">
        <v>555</v>
      </c>
      <c r="D114" s="303"/>
      <c r="E114" s="303"/>
      <c r="F114" s="303"/>
      <c r="G114" s="304" t="e">
        <f>G110*G111*G112*G113</f>
        <v>#DIV/0!</v>
      </c>
      <c r="H114" s="303" t="s">
        <v>544</v>
      </c>
      <c r="W114" s="280"/>
    </row>
    <row r="115" spans="2:23" ht="15" thickBot="1">
      <c r="B115" s="291" t="s">
        <v>476</v>
      </c>
      <c r="C115" s="292" t="s">
        <v>90</v>
      </c>
      <c r="D115" s="287"/>
      <c r="E115" s="287"/>
      <c r="F115" s="287"/>
      <c r="G115" s="275" t="e">
        <f>G109+G114</f>
        <v>#DIV/0!</v>
      </c>
      <c r="H115" s="306" t="s">
        <v>556</v>
      </c>
      <c r="I115" s="289" t="s">
        <v>561</v>
      </c>
      <c r="J115" s="287"/>
      <c r="K115" s="287"/>
      <c r="L115" s="287"/>
      <c r="M115" s="287"/>
      <c r="N115" s="287"/>
      <c r="O115" s="287"/>
      <c r="P115" s="287"/>
      <c r="Q115" s="287"/>
      <c r="R115" s="287"/>
      <c r="S115" s="287"/>
      <c r="T115" s="287"/>
      <c r="U115" s="287"/>
      <c r="V115" s="287"/>
      <c r="W115" s="290"/>
    </row>
    <row r="116" spans="2:23" ht="15" thickBot="1">
      <c r="B116" s="452" t="s">
        <v>562</v>
      </c>
      <c r="C116" s="453"/>
      <c r="D116" s="453"/>
      <c r="E116" s="453"/>
      <c r="F116" s="453"/>
      <c r="G116" s="453"/>
      <c r="H116" s="453"/>
      <c r="I116" s="453"/>
      <c r="J116" s="453"/>
      <c r="K116" s="453"/>
      <c r="L116" s="453"/>
      <c r="M116" s="453"/>
      <c r="N116" s="453"/>
      <c r="O116" s="453"/>
      <c r="P116" s="453"/>
      <c r="Q116" s="453"/>
      <c r="R116" s="453"/>
      <c r="S116" s="453"/>
      <c r="T116" s="453"/>
      <c r="U116" s="453"/>
      <c r="V116" s="453"/>
      <c r="W116" s="454"/>
    </row>
    <row r="117" spans="2:23" ht="15" thickBot="1">
      <c r="B117" s="281" t="s">
        <v>408</v>
      </c>
      <c r="C117" s="138" t="s">
        <v>514</v>
      </c>
      <c r="G117" s="392">
        <v>67779</v>
      </c>
      <c r="H117" s="138" t="s">
        <v>563</v>
      </c>
      <c r="I117" s="393" t="s">
        <v>564</v>
      </c>
      <c r="W117" s="280"/>
    </row>
    <row r="118" spans="2:23" ht="15" thickBot="1">
      <c r="B118" s="281" t="s">
        <v>434</v>
      </c>
      <c r="C118" s="138" t="s">
        <v>565</v>
      </c>
      <c r="G118" s="392">
        <v>58205</v>
      </c>
      <c r="H118" s="138" t="s">
        <v>563</v>
      </c>
      <c r="I118" s="393" t="s">
        <v>566</v>
      </c>
      <c r="W118" s="280"/>
    </row>
    <row r="119" spans="2:23" ht="15" thickBot="1">
      <c r="B119" s="281" t="s">
        <v>437</v>
      </c>
      <c r="C119" s="138" t="s">
        <v>567</v>
      </c>
      <c r="G119" s="392">
        <v>54779</v>
      </c>
      <c r="H119" s="138" t="s">
        <v>563</v>
      </c>
      <c r="I119" s="393" t="s">
        <v>568</v>
      </c>
      <c r="W119" s="280"/>
    </row>
    <row r="120" spans="2:23" ht="15" thickBot="1">
      <c r="B120" s="291" t="s">
        <v>452</v>
      </c>
      <c r="C120" s="292" t="s">
        <v>569</v>
      </c>
      <c r="D120" s="287"/>
      <c r="E120" s="287"/>
      <c r="F120" s="287"/>
      <c r="G120" s="392">
        <v>62943</v>
      </c>
      <c r="H120" s="292" t="s">
        <v>563</v>
      </c>
      <c r="I120" s="394" t="s">
        <v>570</v>
      </c>
      <c r="J120" s="287"/>
      <c r="K120" s="287"/>
      <c r="L120" s="287"/>
      <c r="M120" s="287"/>
      <c r="N120" s="287"/>
      <c r="O120" s="287"/>
      <c r="P120" s="287"/>
      <c r="Q120" s="287"/>
      <c r="R120" s="287"/>
      <c r="S120" s="287"/>
      <c r="T120" s="287"/>
      <c r="U120" s="287"/>
      <c r="V120" s="287"/>
      <c r="W120" s="290"/>
    </row>
    <row r="121" spans="2:23" ht="15" thickBot="1">
      <c r="B121" s="452" t="s">
        <v>571</v>
      </c>
      <c r="C121" s="453"/>
      <c r="D121" s="453"/>
      <c r="E121" s="453"/>
      <c r="F121" s="453"/>
      <c r="G121" s="453"/>
      <c r="H121" s="453"/>
      <c r="I121" s="453"/>
      <c r="J121" s="453"/>
      <c r="K121" s="453"/>
      <c r="L121" s="453"/>
      <c r="M121" s="453"/>
      <c r="N121" s="453"/>
      <c r="O121" s="453"/>
      <c r="P121" s="453"/>
      <c r="Q121" s="453"/>
      <c r="R121" s="453"/>
      <c r="S121" s="453"/>
      <c r="T121" s="453"/>
      <c r="U121" s="453"/>
      <c r="V121" s="453"/>
      <c r="W121" s="454"/>
    </row>
    <row r="122" spans="2:23" ht="15" thickBot="1">
      <c r="B122" s="281" t="s">
        <v>408</v>
      </c>
      <c r="C122" s="138" t="s">
        <v>514</v>
      </c>
      <c r="G122" s="392">
        <v>67779</v>
      </c>
      <c r="H122" s="138" t="s">
        <v>563</v>
      </c>
      <c r="I122" s="393" t="s">
        <v>572</v>
      </c>
      <c r="W122" s="280"/>
    </row>
    <row r="123" spans="2:23" ht="15" thickBot="1">
      <c r="B123" s="281" t="s">
        <v>434</v>
      </c>
      <c r="C123" s="138" t="s">
        <v>565</v>
      </c>
      <c r="G123" s="392">
        <v>58205</v>
      </c>
      <c r="H123" s="138" t="s">
        <v>563</v>
      </c>
      <c r="I123" s="393" t="s">
        <v>573</v>
      </c>
      <c r="W123" s="280"/>
    </row>
    <row r="124" spans="2:23" ht="15" thickBot="1">
      <c r="B124" s="281" t="s">
        <v>437</v>
      </c>
      <c r="C124" s="138" t="s">
        <v>567</v>
      </c>
      <c r="G124" s="392">
        <v>54779</v>
      </c>
      <c r="H124" s="138" t="s">
        <v>563</v>
      </c>
      <c r="I124" s="393" t="s">
        <v>574</v>
      </c>
      <c r="W124" s="280"/>
    </row>
    <row r="125" spans="2:23" ht="15" thickBot="1">
      <c r="B125" s="291" t="s">
        <v>452</v>
      </c>
      <c r="C125" s="292" t="s">
        <v>569</v>
      </c>
      <c r="D125" s="287"/>
      <c r="E125" s="287"/>
      <c r="F125" s="287"/>
      <c r="G125" s="392">
        <v>62943</v>
      </c>
      <c r="H125" s="292" t="s">
        <v>563</v>
      </c>
      <c r="I125" s="394" t="s">
        <v>575</v>
      </c>
      <c r="J125" s="287"/>
      <c r="K125" s="287"/>
      <c r="L125" s="287"/>
      <c r="M125" s="287"/>
      <c r="N125" s="287"/>
      <c r="O125" s="287"/>
      <c r="P125" s="287"/>
      <c r="Q125" s="287"/>
      <c r="R125" s="287"/>
      <c r="S125" s="287"/>
      <c r="T125" s="287"/>
      <c r="U125" s="287"/>
      <c r="V125" s="287"/>
      <c r="W125" s="290"/>
    </row>
    <row r="126" spans="2:23" ht="15" thickBot="1">
      <c r="B126" s="452" t="s">
        <v>576</v>
      </c>
      <c r="C126" s="453"/>
      <c r="D126" s="453"/>
      <c r="E126" s="453"/>
      <c r="F126" s="453"/>
      <c r="G126" s="453"/>
      <c r="H126" s="453"/>
      <c r="I126" s="453"/>
      <c r="J126" s="453"/>
      <c r="K126" s="453"/>
      <c r="L126" s="453"/>
      <c r="M126" s="453"/>
      <c r="N126" s="453"/>
      <c r="O126" s="453"/>
      <c r="P126" s="453"/>
      <c r="Q126" s="453"/>
      <c r="R126" s="453"/>
      <c r="S126" s="453"/>
      <c r="T126" s="453"/>
      <c r="U126" s="453"/>
      <c r="V126" s="453"/>
      <c r="W126" s="454"/>
    </row>
    <row r="127" spans="2:23" ht="15" thickBot="1">
      <c r="B127" s="281" t="s">
        <v>408</v>
      </c>
      <c r="C127" s="138" t="s">
        <v>514</v>
      </c>
      <c r="G127" s="392">
        <v>67779</v>
      </c>
      <c r="H127" s="138" t="s">
        <v>563</v>
      </c>
      <c r="I127" s="393" t="s">
        <v>577</v>
      </c>
      <c r="W127" s="280"/>
    </row>
    <row r="128" spans="2:23" ht="15" thickBot="1">
      <c r="B128" s="281" t="s">
        <v>434</v>
      </c>
      <c r="C128" s="138" t="s">
        <v>565</v>
      </c>
      <c r="G128" s="392">
        <v>58205</v>
      </c>
      <c r="H128" s="138" t="s">
        <v>563</v>
      </c>
      <c r="I128" s="393" t="s">
        <v>578</v>
      </c>
      <c r="W128" s="280"/>
    </row>
    <row r="129" spans="2:23" ht="15" thickBot="1">
      <c r="B129" s="281" t="s">
        <v>437</v>
      </c>
      <c r="C129" s="138" t="s">
        <v>567</v>
      </c>
      <c r="G129" s="392">
        <v>54779</v>
      </c>
      <c r="H129" s="138" t="s">
        <v>563</v>
      </c>
      <c r="I129" s="393" t="s">
        <v>579</v>
      </c>
      <c r="W129" s="280"/>
    </row>
    <row r="130" spans="2:23" ht="15" thickBot="1">
      <c r="B130" s="291" t="s">
        <v>452</v>
      </c>
      <c r="C130" s="292" t="s">
        <v>569</v>
      </c>
      <c r="D130" s="287"/>
      <c r="E130" s="287"/>
      <c r="F130" s="287"/>
      <c r="G130" s="392">
        <v>62943</v>
      </c>
      <c r="H130" s="292" t="s">
        <v>563</v>
      </c>
      <c r="I130" s="394" t="s">
        <v>580</v>
      </c>
      <c r="J130" s="287"/>
      <c r="K130" s="287"/>
      <c r="L130" s="287"/>
      <c r="M130" s="287"/>
      <c r="N130" s="287"/>
      <c r="O130" s="287"/>
      <c r="P130" s="287"/>
      <c r="Q130" s="287"/>
      <c r="R130" s="287"/>
      <c r="S130" s="287"/>
      <c r="T130" s="287"/>
      <c r="U130" s="287"/>
      <c r="V130" s="287"/>
      <c r="W130" s="290"/>
    </row>
    <row r="131" spans="2:23">
      <c r="B131" s="452" t="s">
        <v>581</v>
      </c>
      <c r="C131" s="453"/>
      <c r="D131" s="453"/>
      <c r="E131" s="453"/>
      <c r="F131" s="453"/>
      <c r="G131" s="453"/>
      <c r="H131" s="453"/>
      <c r="I131" s="453"/>
      <c r="J131" s="453"/>
      <c r="K131" s="453"/>
      <c r="L131" s="453"/>
      <c r="M131" s="453"/>
      <c r="N131" s="453"/>
      <c r="O131" s="453"/>
      <c r="P131" s="453"/>
      <c r="Q131" s="453"/>
      <c r="R131" s="453"/>
      <c r="S131" s="453"/>
      <c r="T131" s="453"/>
      <c r="U131" s="453"/>
      <c r="V131" s="453"/>
      <c r="W131" s="454"/>
    </row>
    <row r="132" spans="2:23">
      <c r="B132" s="281" t="s">
        <v>408</v>
      </c>
      <c r="C132" t="s">
        <v>529</v>
      </c>
      <c r="G132" s="282">
        <f>'数量（ルート3）'!J43</f>
        <v>0</v>
      </c>
      <c r="H132" t="s">
        <v>530</v>
      </c>
      <c r="I132" s="138" t="s">
        <v>627</v>
      </c>
      <c r="W132" s="280"/>
    </row>
    <row r="133" spans="2:23">
      <c r="B133" s="281" t="s">
        <v>434</v>
      </c>
      <c r="C133" t="s">
        <v>532</v>
      </c>
      <c r="G133" s="282">
        <f>'パラメータ（ルート3）'!H50</f>
        <v>0</v>
      </c>
      <c r="H133" t="s">
        <v>533</v>
      </c>
      <c r="I133" s="138" t="s">
        <v>628</v>
      </c>
      <c r="W133" s="280"/>
    </row>
    <row r="134" spans="2:23">
      <c r="B134" s="281" t="s">
        <v>437</v>
      </c>
      <c r="C134" t="s">
        <v>535</v>
      </c>
      <c r="G134" s="282">
        <f>'パラメータ（ルート3）'!H51</f>
        <v>0</v>
      </c>
      <c r="H134" t="s">
        <v>536</v>
      </c>
      <c r="I134" s="138" t="s">
        <v>629</v>
      </c>
      <c r="W134" s="280"/>
    </row>
    <row r="135" spans="2:23">
      <c r="B135" s="281" t="s">
        <v>452</v>
      </c>
      <c r="C135" t="s">
        <v>538</v>
      </c>
      <c r="G135" s="293">
        <f>'パラメータ（ルート3）'!H56</f>
        <v>4.1500000000000004</v>
      </c>
      <c r="H135" t="s">
        <v>322</v>
      </c>
      <c r="I135" s="138" t="s">
        <v>630</v>
      </c>
      <c r="W135" s="280"/>
    </row>
    <row r="136" spans="2:23">
      <c r="B136" s="281" t="s">
        <v>456</v>
      </c>
      <c r="C136" t="s">
        <v>540</v>
      </c>
      <c r="G136" s="300"/>
      <c r="H136" t="s">
        <v>541</v>
      </c>
      <c r="I136" s="301" t="s">
        <v>542</v>
      </c>
      <c r="W136" s="280"/>
    </row>
    <row r="137" spans="2:23">
      <c r="B137" s="281" t="s">
        <v>460</v>
      </c>
      <c r="C137" s="302" t="s">
        <v>543</v>
      </c>
      <c r="D137" s="303"/>
      <c r="E137" s="303"/>
      <c r="F137" s="303"/>
      <c r="G137" s="304" t="e">
        <f>((G132/G133)*G134/G135)*G136</f>
        <v>#DIV/0!</v>
      </c>
      <c r="H137" s="303" t="s">
        <v>544</v>
      </c>
      <c r="W137" s="280"/>
    </row>
    <row r="138" spans="2:23">
      <c r="B138" s="281" t="s">
        <v>462</v>
      </c>
      <c r="C138" t="s">
        <v>545</v>
      </c>
      <c r="G138">
        <v>1</v>
      </c>
      <c r="H138" t="s">
        <v>546</v>
      </c>
      <c r="I138" s="301" t="s">
        <v>542</v>
      </c>
      <c r="W138" s="280"/>
    </row>
    <row r="139" spans="2:23">
      <c r="B139" s="281" t="s">
        <v>465</v>
      </c>
      <c r="C139" t="s">
        <v>547</v>
      </c>
      <c r="G139" s="284" t="e">
        <f>G132/G133</f>
        <v>#DIV/0!</v>
      </c>
      <c r="H139" t="s">
        <v>548</v>
      </c>
      <c r="I139" s="391" t="s">
        <v>549</v>
      </c>
      <c r="W139" s="280"/>
    </row>
    <row r="140" spans="2:23">
      <c r="B140" s="281" t="s">
        <v>468</v>
      </c>
      <c r="C140" t="s">
        <v>550</v>
      </c>
      <c r="G140" s="305"/>
      <c r="H140" t="s">
        <v>551</v>
      </c>
      <c r="I140" s="301" t="s">
        <v>542</v>
      </c>
      <c r="W140" s="280"/>
    </row>
    <row r="141" spans="2:23">
      <c r="B141" s="281" t="s">
        <v>471</v>
      </c>
      <c r="C141" t="s">
        <v>552</v>
      </c>
      <c r="G141" s="284">
        <v>12606</v>
      </c>
      <c r="H141" t="s">
        <v>553</v>
      </c>
      <c r="I141" s="307" t="s">
        <v>554</v>
      </c>
      <c r="W141" s="280"/>
    </row>
    <row r="142" spans="2:23" ht="15" thickBot="1">
      <c r="B142" s="281" t="s">
        <v>473</v>
      </c>
      <c r="C142" s="303" t="s">
        <v>555</v>
      </c>
      <c r="D142" s="303"/>
      <c r="E142" s="303"/>
      <c r="F142" s="303"/>
      <c r="G142" s="304" t="e">
        <f>G138*G139*G140*G141</f>
        <v>#DIV/0!</v>
      </c>
      <c r="H142" s="303" t="s">
        <v>544</v>
      </c>
      <c r="W142" s="280"/>
    </row>
    <row r="143" spans="2:23" ht="15" thickBot="1">
      <c r="B143" s="291" t="s">
        <v>476</v>
      </c>
      <c r="C143" s="292" t="s">
        <v>90</v>
      </c>
      <c r="D143" s="287"/>
      <c r="E143" s="287"/>
      <c r="F143" s="287"/>
      <c r="G143" s="275" t="e">
        <f>G137+G142</f>
        <v>#DIV/0!</v>
      </c>
      <c r="H143" s="306" t="s">
        <v>556</v>
      </c>
      <c r="I143" s="289" t="s">
        <v>586</v>
      </c>
      <c r="J143" s="287"/>
      <c r="K143" s="287"/>
      <c r="L143" s="287"/>
      <c r="M143" s="287"/>
      <c r="N143" s="287"/>
      <c r="O143" s="287"/>
      <c r="P143" s="287"/>
      <c r="Q143" s="287"/>
      <c r="R143" s="287"/>
      <c r="S143" s="287"/>
      <c r="T143" s="287"/>
      <c r="U143" s="287"/>
      <c r="V143" s="287"/>
      <c r="W143" s="290"/>
    </row>
    <row r="144" spans="2:23">
      <c r="B144" s="452" t="s">
        <v>587</v>
      </c>
      <c r="C144" s="453"/>
      <c r="D144" s="453"/>
      <c r="E144" s="453"/>
      <c r="F144" s="453"/>
      <c r="G144" s="453"/>
      <c r="H144" s="453"/>
      <c r="I144" s="453"/>
      <c r="J144" s="453"/>
      <c r="K144" s="453"/>
      <c r="L144" s="453"/>
      <c r="M144" s="453"/>
      <c r="N144" s="453"/>
      <c r="O144" s="453"/>
      <c r="P144" s="453"/>
      <c r="Q144" s="453"/>
      <c r="R144" s="453"/>
      <c r="S144" s="453"/>
      <c r="T144" s="453"/>
      <c r="U144" s="453"/>
      <c r="V144" s="453"/>
      <c r="W144" s="454"/>
    </row>
    <row r="145" spans="2:23">
      <c r="B145" s="281" t="s">
        <v>408</v>
      </c>
      <c r="C145" t="s">
        <v>529</v>
      </c>
      <c r="G145" s="282">
        <f>'数量（ルート3）'!K43</f>
        <v>0</v>
      </c>
      <c r="H145" t="s">
        <v>530</v>
      </c>
      <c r="I145" s="138" t="s">
        <v>631</v>
      </c>
      <c r="W145" s="280"/>
    </row>
    <row r="146" spans="2:23">
      <c r="B146" s="281" t="s">
        <v>434</v>
      </c>
      <c r="C146" t="s">
        <v>532</v>
      </c>
      <c r="G146" s="282">
        <f>'パラメータ（ルート3）'!H50</f>
        <v>0</v>
      </c>
      <c r="H146" t="s">
        <v>533</v>
      </c>
      <c r="I146" s="138" t="s">
        <v>628</v>
      </c>
      <c r="W146" s="280"/>
    </row>
    <row r="147" spans="2:23">
      <c r="B147" s="281" t="s">
        <v>437</v>
      </c>
      <c r="C147" t="s">
        <v>535</v>
      </c>
      <c r="G147" s="282">
        <f>'パラメータ（ルート3）'!H51</f>
        <v>0</v>
      </c>
      <c r="H147" t="s">
        <v>536</v>
      </c>
      <c r="I147" s="138" t="s">
        <v>629</v>
      </c>
      <c r="W147" s="280"/>
    </row>
    <row r="148" spans="2:23">
      <c r="B148" s="281" t="s">
        <v>452</v>
      </c>
      <c r="C148" t="s">
        <v>538</v>
      </c>
      <c r="G148" s="293">
        <f>'パラメータ（ルート3）'!H56</f>
        <v>4.1500000000000004</v>
      </c>
      <c r="H148" t="s">
        <v>322</v>
      </c>
      <c r="I148" s="138" t="s">
        <v>630</v>
      </c>
      <c r="W148" s="280"/>
    </row>
    <row r="149" spans="2:23">
      <c r="B149" s="281" t="s">
        <v>456</v>
      </c>
      <c r="C149" t="s">
        <v>540</v>
      </c>
      <c r="G149" s="300"/>
      <c r="H149" t="s">
        <v>541</v>
      </c>
      <c r="I149" s="301" t="s">
        <v>542</v>
      </c>
      <c r="W149" s="280"/>
    </row>
    <row r="150" spans="2:23">
      <c r="B150" s="281" t="s">
        <v>460</v>
      </c>
      <c r="C150" s="302" t="s">
        <v>543</v>
      </c>
      <c r="D150" s="303"/>
      <c r="E150" s="303"/>
      <c r="F150" s="303"/>
      <c r="G150" s="304" t="e">
        <f>((G145/G146)*G147/G148)*G149</f>
        <v>#DIV/0!</v>
      </c>
      <c r="H150" s="303" t="s">
        <v>544</v>
      </c>
      <c r="W150" s="280"/>
    </row>
    <row r="151" spans="2:23">
      <c r="B151" s="281" t="s">
        <v>462</v>
      </c>
      <c r="C151" t="s">
        <v>545</v>
      </c>
      <c r="G151">
        <v>1</v>
      </c>
      <c r="H151" t="s">
        <v>546</v>
      </c>
      <c r="I151" s="301" t="s">
        <v>542</v>
      </c>
      <c r="W151" s="280"/>
    </row>
    <row r="152" spans="2:23">
      <c r="B152" s="281" t="s">
        <v>465</v>
      </c>
      <c r="C152" t="s">
        <v>547</v>
      </c>
      <c r="G152" s="284" t="e">
        <f>G145/G146</f>
        <v>#DIV/0!</v>
      </c>
      <c r="H152" t="s">
        <v>548</v>
      </c>
      <c r="I152" s="391" t="s">
        <v>549</v>
      </c>
      <c r="W152" s="280"/>
    </row>
    <row r="153" spans="2:23">
      <c r="B153" s="281" t="s">
        <v>468</v>
      </c>
      <c r="C153" t="s">
        <v>550</v>
      </c>
      <c r="G153" s="305"/>
      <c r="H153" t="s">
        <v>551</v>
      </c>
      <c r="I153" s="301" t="s">
        <v>542</v>
      </c>
      <c r="W153" s="280"/>
    </row>
    <row r="154" spans="2:23">
      <c r="B154" s="281" t="s">
        <v>471</v>
      </c>
      <c r="C154" t="s">
        <v>552</v>
      </c>
      <c r="G154" s="284">
        <v>12606</v>
      </c>
      <c r="H154" t="s">
        <v>553</v>
      </c>
      <c r="I154" s="307" t="s">
        <v>560</v>
      </c>
      <c r="W154" s="280"/>
    </row>
    <row r="155" spans="2:23" ht="15" thickBot="1">
      <c r="B155" s="281" t="s">
        <v>473</v>
      </c>
      <c r="C155" s="303" t="s">
        <v>555</v>
      </c>
      <c r="D155" s="303"/>
      <c r="E155" s="303"/>
      <c r="F155" s="303"/>
      <c r="G155" s="304" t="e">
        <f>G151*G152*G153*G154</f>
        <v>#DIV/0!</v>
      </c>
      <c r="H155" s="303" t="s">
        <v>544</v>
      </c>
      <c r="W155" s="280"/>
    </row>
    <row r="156" spans="2:23" ht="15" thickBot="1">
      <c r="B156" s="291" t="s">
        <v>476</v>
      </c>
      <c r="C156" s="292" t="s">
        <v>90</v>
      </c>
      <c r="D156" s="287"/>
      <c r="E156" s="287"/>
      <c r="F156" s="287"/>
      <c r="G156" s="275" t="e">
        <f>G150+G155</f>
        <v>#DIV/0!</v>
      </c>
      <c r="H156" s="306" t="s">
        <v>556</v>
      </c>
      <c r="I156" s="289" t="s">
        <v>589</v>
      </c>
      <c r="J156" s="287"/>
      <c r="K156" s="287"/>
      <c r="L156" s="287"/>
      <c r="M156" s="287"/>
      <c r="N156" s="287"/>
      <c r="O156" s="287"/>
      <c r="P156" s="287"/>
      <c r="Q156" s="287"/>
      <c r="R156" s="287"/>
      <c r="S156" s="287"/>
      <c r="T156" s="287"/>
      <c r="U156" s="287"/>
      <c r="V156" s="287"/>
      <c r="W156" s="290"/>
    </row>
    <row r="157" spans="2:23">
      <c r="B157" s="452" t="s">
        <v>590</v>
      </c>
      <c r="C157" s="453"/>
      <c r="D157" s="453"/>
      <c r="E157" s="453"/>
      <c r="F157" s="453"/>
      <c r="G157" s="453"/>
      <c r="H157" s="453"/>
      <c r="I157" s="453"/>
      <c r="J157" s="453"/>
      <c r="K157" s="453"/>
      <c r="L157" s="453"/>
      <c r="M157" s="453"/>
      <c r="N157" s="453"/>
      <c r="O157" s="453"/>
      <c r="P157" s="453"/>
      <c r="Q157" s="453"/>
      <c r="R157" s="453"/>
      <c r="S157" s="453"/>
      <c r="T157" s="453"/>
      <c r="U157" s="453"/>
      <c r="V157" s="453"/>
      <c r="W157" s="454"/>
    </row>
    <row r="158" spans="2:23">
      <c r="B158" s="281" t="s">
        <v>408</v>
      </c>
      <c r="C158" t="s">
        <v>529</v>
      </c>
      <c r="G158" s="282">
        <f>'数量（ルート3）'!M43</f>
        <v>0</v>
      </c>
      <c r="H158" t="s">
        <v>530</v>
      </c>
      <c r="I158" s="138" t="s">
        <v>632</v>
      </c>
      <c r="W158" s="280"/>
    </row>
    <row r="159" spans="2:23">
      <c r="B159" s="281" t="s">
        <v>434</v>
      </c>
      <c r="C159" t="s">
        <v>532</v>
      </c>
      <c r="G159" s="282">
        <f>'パラメータ（ルート3）'!H50</f>
        <v>0</v>
      </c>
      <c r="H159" t="s">
        <v>533</v>
      </c>
      <c r="I159" s="138" t="s">
        <v>633</v>
      </c>
      <c r="W159" s="280"/>
    </row>
    <row r="160" spans="2:23">
      <c r="B160" s="281" t="s">
        <v>437</v>
      </c>
      <c r="C160" t="s">
        <v>535</v>
      </c>
      <c r="G160" s="282">
        <f>'パラメータ（ルート3）'!H51</f>
        <v>0</v>
      </c>
      <c r="H160" t="s">
        <v>536</v>
      </c>
      <c r="I160" s="138" t="s">
        <v>634</v>
      </c>
      <c r="W160" s="280"/>
    </row>
    <row r="161" spans="2:23">
      <c r="B161" s="281" t="s">
        <v>452</v>
      </c>
      <c r="C161" t="s">
        <v>538</v>
      </c>
      <c r="G161" s="293">
        <f>'パラメータ（ルート3）'!H56</f>
        <v>4.1500000000000004</v>
      </c>
      <c r="H161" t="s">
        <v>322</v>
      </c>
      <c r="I161" s="138" t="s">
        <v>635</v>
      </c>
      <c r="W161" s="280"/>
    </row>
    <row r="162" spans="2:23">
      <c r="B162" s="281" t="s">
        <v>456</v>
      </c>
      <c r="C162" t="s">
        <v>540</v>
      </c>
      <c r="G162" s="300"/>
      <c r="H162" t="s">
        <v>541</v>
      </c>
      <c r="I162" s="301" t="s">
        <v>542</v>
      </c>
      <c r="W162" s="280"/>
    </row>
    <row r="163" spans="2:23">
      <c r="B163" s="281" t="s">
        <v>460</v>
      </c>
      <c r="C163" s="302" t="s">
        <v>543</v>
      </c>
      <c r="D163" s="303"/>
      <c r="E163" s="303"/>
      <c r="F163" s="303"/>
      <c r="G163" s="304" t="e">
        <f>((G158/G159)*G160/G161)*G162</f>
        <v>#DIV/0!</v>
      </c>
      <c r="H163" s="303" t="s">
        <v>544</v>
      </c>
      <c r="W163" s="280"/>
    </row>
    <row r="164" spans="2:23">
      <c r="B164" s="281" t="s">
        <v>462</v>
      </c>
      <c r="C164" t="s">
        <v>545</v>
      </c>
      <c r="G164">
        <v>1</v>
      </c>
      <c r="H164" t="s">
        <v>546</v>
      </c>
      <c r="I164" s="301" t="s">
        <v>542</v>
      </c>
      <c r="W164" s="280"/>
    </row>
    <row r="165" spans="2:23">
      <c r="B165" s="281" t="s">
        <v>465</v>
      </c>
      <c r="C165" t="s">
        <v>547</v>
      </c>
      <c r="G165" s="284" t="e">
        <f>G158/G159</f>
        <v>#DIV/0!</v>
      </c>
      <c r="H165" t="s">
        <v>548</v>
      </c>
      <c r="I165" s="391" t="s">
        <v>549</v>
      </c>
      <c r="W165" s="280"/>
    </row>
    <row r="166" spans="2:23">
      <c r="B166" s="281" t="s">
        <v>468</v>
      </c>
      <c r="C166" t="s">
        <v>550</v>
      </c>
      <c r="G166" s="305"/>
      <c r="H166" t="s">
        <v>551</v>
      </c>
      <c r="I166" s="301" t="s">
        <v>542</v>
      </c>
      <c r="W166" s="280"/>
    </row>
    <row r="167" spans="2:23">
      <c r="B167" s="281" t="s">
        <v>471</v>
      </c>
      <c r="C167" t="s">
        <v>552</v>
      </c>
      <c r="G167" s="284">
        <v>12606</v>
      </c>
      <c r="H167" t="s">
        <v>553</v>
      </c>
      <c r="I167" s="307" t="s">
        <v>554</v>
      </c>
      <c r="W167" s="280"/>
    </row>
    <row r="168" spans="2:23" ht="15" thickBot="1">
      <c r="B168" s="281" t="s">
        <v>473</v>
      </c>
      <c r="C168" s="303" t="s">
        <v>555</v>
      </c>
      <c r="D168" s="303"/>
      <c r="E168" s="303"/>
      <c r="F168" s="303"/>
      <c r="G168" s="304" t="e">
        <f>G164*G165*G166*G167</f>
        <v>#DIV/0!</v>
      </c>
      <c r="H168" s="303" t="s">
        <v>544</v>
      </c>
      <c r="W168" s="280"/>
    </row>
    <row r="169" spans="2:23" ht="15" thickBot="1">
      <c r="B169" s="291" t="s">
        <v>476</v>
      </c>
      <c r="C169" s="292" t="s">
        <v>90</v>
      </c>
      <c r="D169" s="287"/>
      <c r="E169" s="287"/>
      <c r="F169" s="287"/>
      <c r="G169" s="275" t="e">
        <f>G163+G168</f>
        <v>#DIV/0!</v>
      </c>
      <c r="H169" s="306" t="s">
        <v>556</v>
      </c>
      <c r="I169" s="289" t="s">
        <v>595</v>
      </c>
      <c r="J169" s="287"/>
      <c r="K169" s="287"/>
      <c r="L169" s="287"/>
      <c r="M169" s="287"/>
      <c r="N169" s="287"/>
      <c r="O169" s="287"/>
      <c r="P169" s="287"/>
      <c r="Q169" s="287"/>
      <c r="R169" s="287"/>
      <c r="S169" s="287"/>
      <c r="T169" s="287"/>
      <c r="U169" s="287"/>
      <c r="V169" s="287"/>
      <c r="W169" s="290"/>
    </row>
    <row r="170" spans="2:23">
      <c r="B170" s="452" t="s">
        <v>596</v>
      </c>
      <c r="C170" s="453"/>
      <c r="D170" s="453"/>
      <c r="E170" s="453"/>
      <c r="F170" s="453"/>
      <c r="G170" s="453"/>
      <c r="H170" s="453"/>
      <c r="I170" s="453"/>
      <c r="J170" s="453"/>
      <c r="K170" s="453"/>
      <c r="L170" s="453"/>
      <c r="M170" s="453"/>
      <c r="N170" s="453"/>
      <c r="O170" s="453"/>
      <c r="P170" s="453"/>
      <c r="Q170" s="453"/>
      <c r="R170" s="453"/>
      <c r="S170" s="453"/>
      <c r="T170" s="453"/>
      <c r="U170" s="453"/>
      <c r="V170" s="453"/>
      <c r="W170" s="454"/>
    </row>
    <row r="171" spans="2:23">
      <c r="B171" s="281" t="s">
        <v>408</v>
      </c>
      <c r="C171" t="s">
        <v>529</v>
      </c>
      <c r="G171" s="282" t="e">
        <f>'数量（ルート3）'!N43</f>
        <v>#DIV/0!</v>
      </c>
      <c r="H171" t="s">
        <v>530</v>
      </c>
      <c r="I171" s="138" t="s">
        <v>631</v>
      </c>
      <c r="W171" s="280"/>
    </row>
    <row r="172" spans="2:23">
      <c r="B172" s="281" t="s">
        <v>434</v>
      </c>
      <c r="C172" t="s">
        <v>532</v>
      </c>
      <c r="G172" s="282">
        <f>'パラメータ（ルート3）'!H50</f>
        <v>0</v>
      </c>
      <c r="H172" t="s">
        <v>533</v>
      </c>
      <c r="I172" s="138" t="s">
        <v>633</v>
      </c>
      <c r="W172" s="280"/>
    </row>
    <row r="173" spans="2:23">
      <c r="B173" s="281" t="s">
        <v>437</v>
      </c>
      <c r="C173" t="s">
        <v>535</v>
      </c>
      <c r="G173" s="282">
        <f>'パラメータ（ルート3）'!H51</f>
        <v>0</v>
      </c>
      <c r="H173" t="s">
        <v>536</v>
      </c>
      <c r="I173" s="138" t="s">
        <v>634</v>
      </c>
      <c r="W173" s="280"/>
    </row>
    <row r="174" spans="2:23">
      <c r="B174" s="281" t="s">
        <v>452</v>
      </c>
      <c r="C174" t="s">
        <v>538</v>
      </c>
      <c r="G174" s="293">
        <f>'パラメータ（ルート3）'!H56</f>
        <v>4.1500000000000004</v>
      </c>
      <c r="H174" t="s">
        <v>322</v>
      </c>
      <c r="I174" s="138" t="s">
        <v>635</v>
      </c>
      <c r="W174" s="280"/>
    </row>
    <row r="175" spans="2:23">
      <c r="B175" s="281" t="s">
        <v>456</v>
      </c>
      <c r="C175" t="s">
        <v>540</v>
      </c>
      <c r="G175" s="300"/>
      <c r="H175" t="s">
        <v>541</v>
      </c>
      <c r="I175" s="301" t="s">
        <v>542</v>
      </c>
      <c r="W175" s="280"/>
    </row>
    <row r="176" spans="2:23">
      <c r="B176" s="281" t="s">
        <v>460</v>
      </c>
      <c r="C176" s="302" t="s">
        <v>543</v>
      </c>
      <c r="D176" s="303"/>
      <c r="E176" s="303"/>
      <c r="F176" s="303"/>
      <c r="G176" s="304" t="e">
        <f>((G171/G172)*G173/G174)*G175</f>
        <v>#DIV/0!</v>
      </c>
      <c r="H176" s="303" t="s">
        <v>544</v>
      </c>
      <c r="W176" s="280"/>
    </row>
    <row r="177" spans="2:23">
      <c r="B177" s="281" t="s">
        <v>462</v>
      </c>
      <c r="C177" t="s">
        <v>545</v>
      </c>
      <c r="G177">
        <v>1</v>
      </c>
      <c r="H177" t="s">
        <v>546</v>
      </c>
      <c r="I177" s="301" t="s">
        <v>542</v>
      </c>
      <c r="W177" s="280"/>
    </row>
    <row r="178" spans="2:23">
      <c r="B178" s="281" t="s">
        <v>465</v>
      </c>
      <c r="C178" t="s">
        <v>547</v>
      </c>
      <c r="G178" s="284" t="e">
        <f>G171/G172</f>
        <v>#DIV/0!</v>
      </c>
      <c r="H178" t="s">
        <v>548</v>
      </c>
      <c r="I178" s="391" t="s">
        <v>549</v>
      </c>
      <c r="W178" s="280"/>
    </row>
    <row r="179" spans="2:23">
      <c r="B179" s="281" t="s">
        <v>468</v>
      </c>
      <c r="C179" t="s">
        <v>550</v>
      </c>
      <c r="G179" s="305"/>
      <c r="H179" t="s">
        <v>551</v>
      </c>
      <c r="I179" s="301" t="s">
        <v>542</v>
      </c>
      <c r="W179" s="280"/>
    </row>
    <row r="180" spans="2:23">
      <c r="B180" s="281" t="s">
        <v>471</v>
      </c>
      <c r="C180" t="s">
        <v>552</v>
      </c>
      <c r="G180" s="284">
        <v>12606</v>
      </c>
      <c r="H180" t="s">
        <v>553</v>
      </c>
      <c r="I180" s="307" t="s">
        <v>560</v>
      </c>
      <c r="W180" s="280"/>
    </row>
    <row r="181" spans="2:23" ht="15" thickBot="1">
      <c r="B181" s="281" t="s">
        <v>473</v>
      </c>
      <c r="C181" s="303" t="s">
        <v>555</v>
      </c>
      <c r="D181" s="303"/>
      <c r="E181" s="303"/>
      <c r="F181" s="303"/>
      <c r="G181" s="304" t="e">
        <f>G177*G178*G179*G180</f>
        <v>#DIV/0!</v>
      </c>
      <c r="H181" s="303" t="s">
        <v>544</v>
      </c>
      <c r="W181" s="280"/>
    </row>
    <row r="182" spans="2:23" ht="15" thickBot="1">
      <c r="B182" s="291" t="s">
        <v>476</v>
      </c>
      <c r="C182" s="292" t="s">
        <v>90</v>
      </c>
      <c r="D182" s="287"/>
      <c r="E182" s="287"/>
      <c r="F182" s="287"/>
      <c r="G182" s="275" t="e">
        <f>G176+G181</f>
        <v>#DIV/0!</v>
      </c>
      <c r="H182" s="306" t="s">
        <v>556</v>
      </c>
      <c r="I182" s="289" t="s">
        <v>597</v>
      </c>
      <c r="J182" s="287"/>
      <c r="K182" s="287"/>
      <c r="L182" s="287"/>
      <c r="M182" s="287"/>
      <c r="N182" s="287"/>
      <c r="O182" s="287"/>
      <c r="P182" s="287"/>
      <c r="Q182" s="287"/>
      <c r="R182" s="287"/>
      <c r="S182" s="287"/>
      <c r="T182" s="287"/>
      <c r="U182" s="287"/>
      <c r="V182" s="287"/>
      <c r="W182" s="290"/>
    </row>
  </sheetData>
  <mergeCells count="27">
    <mergeCell ref="C6:F6"/>
    <mergeCell ref="B2:W2"/>
    <mergeCell ref="B3:H3"/>
    <mergeCell ref="M3:S3"/>
    <mergeCell ref="C4:F4"/>
    <mergeCell ref="C5:F5"/>
    <mergeCell ref="B86:C87"/>
    <mergeCell ref="C7:F7"/>
    <mergeCell ref="N8:Q8"/>
    <mergeCell ref="B9:W9"/>
    <mergeCell ref="B13:W13"/>
    <mergeCell ref="B17:W17"/>
    <mergeCell ref="B41:W41"/>
    <mergeCell ref="B65:W65"/>
    <mergeCell ref="B66:C67"/>
    <mergeCell ref="B71:C72"/>
    <mergeCell ref="B76:C77"/>
    <mergeCell ref="B81:C82"/>
    <mergeCell ref="B90:W90"/>
    <mergeCell ref="B144:W144"/>
    <mergeCell ref="B157:W157"/>
    <mergeCell ref="B170:W170"/>
    <mergeCell ref="B103:W103"/>
    <mergeCell ref="B116:W116"/>
    <mergeCell ref="B121:W121"/>
    <mergeCell ref="B126:W126"/>
    <mergeCell ref="B131:W131"/>
  </mergeCells>
  <phoneticPr fontId="2"/>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A1B0F-BF7E-4A36-B743-0956C335A6C8}">
  <dimension ref="B3:B4"/>
  <sheetViews>
    <sheetView workbookViewId="0">
      <selection activeCell="L44" sqref="L44"/>
    </sheetView>
  </sheetViews>
  <sheetFormatPr defaultRowHeight="14.25"/>
  <sheetData>
    <row r="3" spans="2:2">
      <c r="B3" s="138" t="s">
        <v>636</v>
      </c>
    </row>
    <row r="4" spans="2:2">
      <c r="B4" s="138" t="s">
        <v>637</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29CC9-C95F-4883-B716-E8A5E089151A}">
  <dimension ref="A1:AT122"/>
  <sheetViews>
    <sheetView workbookViewId="0">
      <selection activeCell="E17" sqref="E17"/>
    </sheetView>
  </sheetViews>
  <sheetFormatPr defaultRowHeight="14.25"/>
  <cols>
    <col min="1" max="2" width="2.5703125" customWidth="1"/>
    <col min="3" max="3" width="16.140625" bestFit="1" customWidth="1"/>
    <col min="4" max="4" width="11.140625" customWidth="1"/>
    <col min="5" max="5" width="9.85546875" customWidth="1"/>
    <col min="6" max="6" width="11.7109375" customWidth="1"/>
    <col min="7" max="7" width="11.42578125" customWidth="1"/>
    <col min="8" max="8" width="10.7109375" customWidth="1"/>
    <col min="9" max="9" width="10.42578125" customWidth="1"/>
    <col min="10" max="10" width="11" customWidth="1"/>
    <col min="11" max="11" width="11.140625" customWidth="1"/>
    <col min="12" max="12" width="11" customWidth="1"/>
    <col min="13" max="13" width="10.5703125" customWidth="1"/>
    <col min="14" max="14" width="10.42578125" customWidth="1"/>
    <col min="15" max="15" width="12.28515625" customWidth="1"/>
    <col min="17" max="17" width="10" customWidth="1"/>
    <col min="18" max="18" width="11" customWidth="1"/>
    <col min="27" max="27" width="4" customWidth="1"/>
    <col min="28" max="28" width="16" customWidth="1"/>
  </cols>
  <sheetData>
    <row r="1" spans="1:27" ht="24">
      <c r="A1" s="76" t="s">
        <v>49</v>
      </c>
      <c r="B1" s="5"/>
      <c r="C1" s="5"/>
      <c r="F1" s="78"/>
      <c r="AA1" s="5"/>
    </row>
    <row r="2" spans="1:27">
      <c r="F2" s="103"/>
    </row>
    <row r="3" spans="1:27" ht="19.5">
      <c r="A3" s="118" t="s">
        <v>50</v>
      </c>
      <c r="G3" s="78"/>
      <c r="AA3" s="77"/>
    </row>
    <row r="4" spans="1:27">
      <c r="T4" s="79" t="s">
        <v>51</v>
      </c>
      <c r="U4" s="79"/>
    </row>
    <row r="5" spans="1:27">
      <c r="B5" s="80"/>
      <c r="C5" s="81"/>
      <c r="D5" s="82" t="s">
        <v>52</v>
      </c>
      <c r="E5" s="83"/>
      <c r="F5" s="86"/>
      <c r="G5" s="83"/>
      <c r="H5" s="83"/>
      <c r="I5" s="111"/>
      <c r="J5" s="83"/>
      <c r="K5" s="83"/>
      <c r="L5" s="84"/>
      <c r="M5" s="82" t="s">
        <v>53</v>
      </c>
      <c r="N5" s="83"/>
      <c r="O5" s="86"/>
      <c r="P5" s="83"/>
      <c r="Q5" s="83"/>
      <c r="R5" s="86"/>
      <c r="S5" s="83"/>
      <c r="T5" s="85"/>
      <c r="U5" s="84"/>
    </row>
    <row r="6" spans="1:27">
      <c r="B6" s="87"/>
      <c r="C6" s="88"/>
      <c r="D6" s="427" t="s">
        <v>54</v>
      </c>
      <c r="E6" s="428"/>
      <c r="F6" s="115"/>
      <c r="G6" s="427" t="s">
        <v>55</v>
      </c>
      <c r="H6" s="428"/>
      <c r="I6" s="115"/>
      <c r="J6" s="427" t="s">
        <v>56</v>
      </c>
      <c r="K6" s="428"/>
      <c r="L6" s="115"/>
      <c r="M6" s="427" t="s">
        <v>54</v>
      </c>
      <c r="N6" s="428"/>
      <c r="O6" s="115"/>
      <c r="P6" s="427" t="s">
        <v>55</v>
      </c>
      <c r="Q6" s="428"/>
      <c r="R6" s="115"/>
      <c r="S6" s="427" t="s">
        <v>56</v>
      </c>
      <c r="T6" s="428"/>
      <c r="U6" s="115"/>
    </row>
    <row r="7" spans="1:27" ht="18.75">
      <c r="B7" s="131" t="s">
        <v>57</v>
      </c>
      <c r="C7" s="92"/>
      <c r="D7" s="89" t="s">
        <v>58</v>
      </c>
      <c r="E7" s="89" t="s">
        <v>59</v>
      </c>
      <c r="F7" s="93" t="s">
        <v>60</v>
      </c>
      <c r="G7" s="89" t="s">
        <v>58</v>
      </c>
      <c r="H7" s="89" t="s">
        <v>59</v>
      </c>
      <c r="I7" s="93" t="s">
        <v>61</v>
      </c>
      <c r="J7" s="89" t="s">
        <v>58</v>
      </c>
      <c r="K7" s="89" t="s">
        <v>59</v>
      </c>
      <c r="L7" s="93" t="s">
        <v>62</v>
      </c>
      <c r="M7" s="90" t="s">
        <v>58</v>
      </c>
      <c r="N7" s="90" t="s">
        <v>63</v>
      </c>
      <c r="O7" s="93" t="s">
        <v>64</v>
      </c>
      <c r="P7" s="90" t="s">
        <v>58</v>
      </c>
      <c r="Q7" s="90" t="s">
        <v>63</v>
      </c>
      <c r="R7" s="93" t="s">
        <v>65</v>
      </c>
      <c r="S7" s="90" t="s">
        <v>58</v>
      </c>
      <c r="T7" s="90" t="s">
        <v>63</v>
      </c>
      <c r="U7" s="93" t="s">
        <v>66</v>
      </c>
    </row>
    <row r="8" spans="1:27">
      <c r="B8" s="94"/>
      <c r="C8" s="95" t="s">
        <v>67</v>
      </c>
      <c r="D8" s="105">
        <f>'数量（ルート1）'!J5</f>
        <v>0</v>
      </c>
      <c r="E8" s="105">
        <f>'数量（ルート1）'!K5</f>
        <v>0</v>
      </c>
      <c r="F8" s="105">
        <f>D8+E8</f>
        <v>0</v>
      </c>
      <c r="G8" s="310">
        <f>'数量（ルート2）'!J5</f>
        <v>0</v>
      </c>
      <c r="H8" s="105">
        <f>'数量（ルート2）'!K5</f>
        <v>0</v>
      </c>
      <c r="I8" s="310">
        <f>G8+H8</f>
        <v>0</v>
      </c>
      <c r="J8" s="105">
        <f>'数量（ルート3）'!J5</f>
        <v>0</v>
      </c>
      <c r="K8" s="105">
        <f>'数量（ルート3）'!K5</f>
        <v>0</v>
      </c>
      <c r="L8" s="105">
        <f>J8+K8</f>
        <v>0</v>
      </c>
      <c r="M8" s="105">
        <f>'数量（ルート1）'!M5</f>
        <v>0</v>
      </c>
      <c r="N8" s="105">
        <f>'数量（ルート1）'!N5</f>
        <v>0</v>
      </c>
      <c r="O8" s="105">
        <f>M8+N8</f>
        <v>0</v>
      </c>
      <c r="P8" s="105">
        <f>'数量（ルート2）'!M5</f>
        <v>0</v>
      </c>
      <c r="Q8" s="105">
        <f>'数量（ルート2）'!N5</f>
        <v>0</v>
      </c>
      <c r="R8" s="105">
        <f t="shared" ref="R8:R14" si="0">P8+Q8</f>
        <v>0</v>
      </c>
      <c r="S8" s="105">
        <f>'数量（ルート3）'!M5</f>
        <v>0</v>
      </c>
      <c r="T8" s="105">
        <f>'数量（ルート3）'!N5</f>
        <v>0</v>
      </c>
      <c r="U8" s="105">
        <f>S8+T8</f>
        <v>0</v>
      </c>
    </row>
    <row r="9" spans="1:27">
      <c r="B9" s="97"/>
      <c r="C9" s="98" t="s">
        <v>68</v>
      </c>
      <c r="D9" s="106">
        <f>'数量（ルート1）'!J6</f>
        <v>0</v>
      </c>
      <c r="E9" s="106">
        <f>'数量（ルート1）'!K6</f>
        <v>0</v>
      </c>
      <c r="F9" s="106">
        <f t="shared" ref="F9:F14" si="1">D9+E9</f>
        <v>0</v>
      </c>
      <c r="G9" s="311">
        <f>'数量（ルート2）'!J6</f>
        <v>0</v>
      </c>
      <c r="H9" s="106">
        <f>'数量（ルート2）'!K6</f>
        <v>0</v>
      </c>
      <c r="I9" s="311">
        <f t="shared" ref="I9:I14" si="2">G9+H9</f>
        <v>0</v>
      </c>
      <c r="J9" s="106">
        <f>'数量（ルート3）'!J6</f>
        <v>0</v>
      </c>
      <c r="K9" s="106">
        <f>'数量（ルート3）'!K6</f>
        <v>0</v>
      </c>
      <c r="L9" s="106">
        <f t="shared" ref="L9:L14" si="3">J9+K9</f>
        <v>0</v>
      </c>
      <c r="M9" s="106">
        <f>'数量（ルート1）'!M6</f>
        <v>0</v>
      </c>
      <c r="N9" s="106">
        <f>'数量（ルート1）'!N6</f>
        <v>0</v>
      </c>
      <c r="O9" s="106">
        <f t="shared" ref="O9:O14" si="4">M9+N9</f>
        <v>0</v>
      </c>
      <c r="P9" s="106">
        <f>'数量（ルート2）'!M6</f>
        <v>0</v>
      </c>
      <c r="Q9" s="106">
        <f>'数量（ルート2）'!N6</f>
        <v>0</v>
      </c>
      <c r="R9" s="106">
        <f t="shared" si="0"/>
        <v>0</v>
      </c>
      <c r="S9" s="106">
        <f>'数量（ルート3）'!M6</f>
        <v>0</v>
      </c>
      <c r="T9" s="106">
        <f>'数量（ルート3）'!N6</f>
        <v>0</v>
      </c>
      <c r="U9" s="106">
        <f t="shared" ref="U9:U14" si="5">S9+T9</f>
        <v>0</v>
      </c>
    </row>
    <row r="10" spans="1:27">
      <c r="B10" s="97"/>
      <c r="C10" s="98" t="s">
        <v>69</v>
      </c>
      <c r="D10" s="106">
        <f>'数量（ルート1）'!J7+'数量（ルート1）'!J8</f>
        <v>0</v>
      </c>
      <c r="E10" s="106">
        <f>'数量（ルート1）'!K7+'数量（ルート1）'!K8</f>
        <v>0</v>
      </c>
      <c r="F10" s="106">
        <f t="shared" si="1"/>
        <v>0</v>
      </c>
      <c r="G10" s="311">
        <f>'数量（ルート2）'!J7+'数量（ルート2）'!J8</f>
        <v>0</v>
      </c>
      <c r="H10" s="106">
        <f>'数量（ルート2）'!K7+'数量（ルート2）'!K8</f>
        <v>0</v>
      </c>
      <c r="I10" s="311">
        <f t="shared" si="2"/>
        <v>0</v>
      </c>
      <c r="J10" s="106">
        <f>'数量（ルート3）'!J7+'数量（ルート3）'!J8</f>
        <v>0</v>
      </c>
      <c r="K10" s="106">
        <f>'数量（ルート3）'!K7+'数量（ルート3）'!K8</f>
        <v>0</v>
      </c>
      <c r="L10" s="106">
        <f t="shared" si="3"/>
        <v>0</v>
      </c>
      <c r="M10" s="106">
        <f>'数量（ルート1）'!M7+'数量（ルート1）'!M8</f>
        <v>0</v>
      </c>
      <c r="N10" s="106" t="e">
        <f>'数量（ルート1）'!N7+'数量（ルート1）'!N8</f>
        <v>#DIV/0!</v>
      </c>
      <c r="O10" s="106" t="e">
        <f t="shared" si="4"/>
        <v>#DIV/0!</v>
      </c>
      <c r="P10" s="106">
        <f>'数量（ルート2）'!M7+'数量（ルート2）'!M8</f>
        <v>0</v>
      </c>
      <c r="Q10" s="106" t="e">
        <f>'数量（ルート2）'!N7+'数量（ルート2）'!N8</f>
        <v>#DIV/0!</v>
      </c>
      <c r="R10" s="106" t="e">
        <f t="shared" si="0"/>
        <v>#DIV/0!</v>
      </c>
      <c r="S10" s="106">
        <f>'数量（ルート3）'!M7+'数量（ルート3）'!M8</f>
        <v>0</v>
      </c>
      <c r="T10" s="106" t="e">
        <f>'数量（ルート3）'!N7+'数量（ルート3）'!N8</f>
        <v>#DIV/0!</v>
      </c>
      <c r="U10" s="106" t="e">
        <f t="shared" si="5"/>
        <v>#DIV/0!</v>
      </c>
    </row>
    <row r="11" spans="1:27" ht="16.5">
      <c r="B11" s="97"/>
      <c r="C11" s="98" t="s">
        <v>70</v>
      </c>
      <c r="D11" s="106">
        <f>'数量（ルート1）'!J9</f>
        <v>0</v>
      </c>
      <c r="E11" s="174">
        <f>'数量（ルート1）'!K9</f>
        <v>0</v>
      </c>
      <c r="F11" s="106">
        <f t="shared" si="1"/>
        <v>0</v>
      </c>
      <c r="G11" s="311">
        <f>'数量（ルート2）'!J9</f>
        <v>0</v>
      </c>
      <c r="H11" s="106">
        <f>'数量（ルート2）'!K9</f>
        <v>0</v>
      </c>
      <c r="I11" s="311">
        <f t="shared" si="2"/>
        <v>0</v>
      </c>
      <c r="J11" s="106">
        <f>'数量（ルート3）'!J9</f>
        <v>0</v>
      </c>
      <c r="K11" s="106">
        <f>'数量（ルート3）'!K9</f>
        <v>0</v>
      </c>
      <c r="L11" s="106">
        <f t="shared" si="3"/>
        <v>0</v>
      </c>
      <c r="M11" s="106">
        <f>'数量（ルート1）'!M9</f>
        <v>0</v>
      </c>
      <c r="N11" s="106" t="e">
        <f>'数量（ルート1）'!N9</f>
        <v>#DIV/0!</v>
      </c>
      <c r="O11" s="106" t="e">
        <f t="shared" si="4"/>
        <v>#DIV/0!</v>
      </c>
      <c r="P11" s="106">
        <f>'数量（ルート2）'!M9</f>
        <v>0</v>
      </c>
      <c r="Q11" s="106" t="e">
        <f>'数量（ルート2）'!N9</f>
        <v>#DIV/0!</v>
      </c>
      <c r="R11" s="106" t="e">
        <f t="shared" si="0"/>
        <v>#DIV/0!</v>
      </c>
      <c r="S11" s="106">
        <f>'数量（ルート3）'!M9</f>
        <v>0</v>
      </c>
      <c r="T11" s="106" t="e">
        <f>'数量（ルート3）'!N9</f>
        <v>#DIV/0!</v>
      </c>
      <c r="U11" s="106" t="e">
        <f t="shared" si="5"/>
        <v>#DIV/0!</v>
      </c>
    </row>
    <row r="12" spans="1:27" ht="16.5">
      <c r="B12" s="97"/>
      <c r="C12" s="98" t="s">
        <v>71</v>
      </c>
      <c r="D12" s="106">
        <f>'数量（ルート1）'!J10</f>
        <v>0</v>
      </c>
      <c r="E12" s="174">
        <f>'数量（ルート1）'!K10</f>
        <v>0</v>
      </c>
      <c r="F12" s="106">
        <f t="shared" si="1"/>
        <v>0</v>
      </c>
      <c r="G12" s="311">
        <f>'数量（ルート2）'!J10</f>
        <v>0</v>
      </c>
      <c r="H12" s="106">
        <f>'数量（ルート2）'!K10</f>
        <v>0</v>
      </c>
      <c r="I12" s="311">
        <f t="shared" si="2"/>
        <v>0</v>
      </c>
      <c r="J12" s="106">
        <f>'数量（ルート3）'!J10</f>
        <v>0</v>
      </c>
      <c r="K12" s="106">
        <f>'数量（ルート3）'!K10</f>
        <v>0</v>
      </c>
      <c r="L12" s="106">
        <f t="shared" si="3"/>
        <v>0</v>
      </c>
      <c r="M12" s="106">
        <f>'数量（ルート1）'!M10</f>
        <v>0</v>
      </c>
      <c r="N12" s="106" t="e">
        <f>'数量（ルート1）'!N10</f>
        <v>#DIV/0!</v>
      </c>
      <c r="O12" s="106" t="e">
        <f t="shared" si="4"/>
        <v>#DIV/0!</v>
      </c>
      <c r="P12" s="106">
        <f>'数量（ルート2）'!M10</f>
        <v>0</v>
      </c>
      <c r="Q12" s="106" t="e">
        <f>'数量（ルート2）'!N10</f>
        <v>#DIV/0!</v>
      </c>
      <c r="R12" s="106" t="e">
        <f t="shared" si="0"/>
        <v>#DIV/0!</v>
      </c>
      <c r="S12" s="106">
        <f>'数量（ルート3）'!M10</f>
        <v>0</v>
      </c>
      <c r="T12" s="106" t="e">
        <f>'数量（ルート3）'!N10</f>
        <v>#DIV/0!</v>
      </c>
      <c r="U12" s="106" t="e">
        <f>S12+T12</f>
        <v>#DIV/0!</v>
      </c>
    </row>
    <row r="13" spans="1:27">
      <c r="B13" s="97"/>
      <c r="C13" s="100" t="s">
        <v>72</v>
      </c>
      <c r="D13" s="106">
        <f>'数量（ルート1）'!J11+'数量（ルート1）'!J12</f>
        <v>0</v>
      </c>
      <c r="E13" s="106">
        <f>'数量（ルート1）'!K11+'数量（ルート1）'!K12</f>
        <v>0</v>
      </c>
      <c r="F13" s="106">
        <f t="shared" si="1"/>
        <v>0</v>
      </c>
      <c r="G13" s="311">
        <f>'数量（ルート2）'!J11+'数量（ルート2）'!J12</f>
        <v>0</v>
      </c>
      <c r="H13" s="106">
        <f>'数量（ルート2）'!K11+'数量（ルート2）'!K12</f>
        <v>0</v>
      </c>
      <c r="I13" s="311">
        <f t="shared" si="2"/>
        <v>0</v>
      </c>
      <c r="J13" s="106">
        <f>'数量（ルート3）'!J11+'数量（ルート3）'!J12</f>
        <v>0</v>
      </c>
      <c r="K13" s="106">
        <f>'数量（ルート3）'!K11+'数量（ルート3）'!K12</f>
        <v>0</v>
      </c>
      <c r="L13" s="106">
        <f t="shared" si="3"/>
        <v>0</v>
      </c>
      <c r="M13" s="106">
        <f>'数量（ルート1）'!M11+'数量（ルート1）'!M12</f>
        <v>0</v>
      </c>
      <c r="N13" s="106" t="e">
        <f>'数量（ルート1）'!N11+'数量（ルート1）'!N12</f>
        <v>#DIV/0!</v>
      </c>
      <c r="O13" s="106" t="e">
        <f t="shared" si="4"/>
        <v>#DIV/0!</v>
      </c>
      <c r="P13" s="106">
        <f>'数量（ルート2）'!M11+'数量（ルート2）'!M12</f>
        <v>0</v>
      </c>
      <c r="Q13" s="106" t="e">
        <f>'数量（ルート2）'!N11+'数量（ルート2）'!N12</f>
        <v>#DIV/0!</v>
      </c>
      <c r="R13" s="106" t="e">
        <f t="shared" si="0"/>
        <v>#DIV/0!</v>
      </c>
      <c r="S13" s="106">
        <f>'数量（ルート3）'!M11+'数量（ルート3）'!M12</f>
        <v>0</v>
      </c>
      <c r="T13" s="106" t="e">
        <f>'数量（ルート3）'!N11+'数量（ルート3）'!N12</f>
        <v>#DIV/0!</v>
      </c>
      <c r="U13" s="106" t="e">
        <f t="shared" si="5"/>
        <v>#DIV/0!</v>
      </c>
    </row>
    <row r="14" spans="1:27">
      <c r="B14" s="172"/>
      <c r="C14" s="173" t="s">
        <v>73</v>
      </c>
      <c r="D14" s="110">
        <f>'数量（ルート1）'!J13</f>
        <v>0</v>
      </c>
      <c r="E14" s="110">
        <f>'数量（ルート1）'!K13</f>
        <v>0</v>
      </c>
      <c r="F14" s="110">
        <f t="shared" si="1"/>
        <v>0</v>
      </c>
      <c r="G14" s="312">
        <f>'数量（ルート2）'!J13</f>
        <v>0</v>
      </c>
      <c r="H14" s="110">
        <f>'数量（ルート2）'!K13</f>
        <v>0</v>
      </c>
      <c r="I14" s="312">
        <f t="shared" si="2"/>
        <v>0</v>
      </c>
      <c r="J14" s="110">
        <f>'数量（ルート3）'!J13</f>
        <v>0</v>
      </c>
      <c r="K14" s="110">
        <f>'数量（ルート3）'!K13</f>
        <v>0</v>
      </c>
      <c r="L14" s="110">
        <f t="shared" si="3"/>
        <v>0</v>
      </c>
      <c r="M14" s="110">
        <f>'数量（ルート1）'!M13</f>
        <v>0</v>
      </c>
      <c r="N14" s="110" t="e">
        <f>'数量（ルート1）'!N13</f>
        <v>#DIV/0!</v>
      </c>
      <c r="O14" s="110" t="e">
        <f t="shared" si="4"/>
        <v>#DIV/0!</v>
      </c>
      <c r="P14" s="110">
        <f>'数量（ルート2）'!M13</f>
        <v>0</v>
      </c>
      <c r="Q14" s="110" t="e">
        <f>'数量（ルート2）'!N13</f>
        <v>#DIV/0!</v>
      </c>
      <c r="R14" s="110" t="e">
        <f t="shared" si="0"/>
        <v>#DIV/0!</v>
      </c>
      <c r="S14" s="110">
        <f>'数量（ルート3）'!M13</f>
        <v>0</v>
      </c>
      <c r="T14" s="110" t="e">
        <f>'数量（ルート3）'!N13</f>
        <v>#DIV/0!</v>
      </c>
      <c r="U14" s="110" t="e">
        <f t="shared" si="5"/>
        <v>#DIV/0!</v>
      </c>
    </row>
    <row r="17" spans="1:46" ht="19.5">
      <c r="A17" s="77" t="s">
        <v>74</v>
      </c>
      <c r="G17" s="78"/>
      <c r="AA17" s="77" t="s">
        <v>75</v>
      </c>
    </row>
    <row r="18" spans="1:46">
      <c r="M18" s="138"/>
      <c r="T18" s="79" t="s">
        <v>76</v>
      </c>
      <c r="U18" s="79"/>
      <c r="AT18" s="79" t="s">
        <v>76</v>
      </c>
    </row>
    <row r="19" spans="1:46">
      <c r="B19" s="80"/>
      <c r="C19" s="81"/>
      <c r="D19" s="82" t="s">
        <v>52</v>
      </c>
      <c r="E19" s="83"/>
      <c r="F19" s="86"/>
      <c r="G19" s="83"/>
      <c r="H19" s="83"/>
      <c r="I19" s="111"/>
      <c r="J19" s="83"/>
      <c r="K19" s="83"/>
      <c r="L19" s="84"/>
      <c r="M19" s="82" t="s">
        <v>53</v>
      </c>
      <c r="N19" s="83"/>
      <c r="O19" s="86"/>
      <c r="P19" s="83"/>
      <c r="Q19" s="83"/>
      <c r="R19" s="86"/>
      <c r="S19" s="83"/>
      <c r="T19" s="85"/>
      <c r="U19" s="84"/>
      <c r="AA19" s="80"/>
      <c r="AB19" s="81"/>
      <c r="AC19" s="82" t="s">
        <v>52</v>
      </c>
      <c r="AD19" s="83"/>
      <c r="AE19" s="86"/>
      <c r="AF19" s="83"/>
      <c r="AG19" s="83"/>
      <c r="AH19" s="111"/>
      <c r="AI19" s="83"/>
      <c r="AJ19" s="83"/>
      <c r="AK19" s="84"/>
      <c r="AL19" s="82" t="s">
        <v>53</v>
      </c>
      <c r="AM19" s="83"/>
      <c r="AN19" s="86"/>
      <c r="AO19" s="83"/>
      <c r="AP19" s="83"/>
      <c r="AQ19" s="86"/>
      <c r="AR19" s="83"/>
      <c r="AS19" s="85"/>
      <c r="AT19" s="84"/>
    </row>
    <row r="20" spans="1:46">
      <c r="B20" s="87"/>
      <c r="C20" s="88"/>
      <c r="D20" s="427" t="s">
        <v>54</v>
      </c>
      <c r="E20" s="428"/>
      <c r="F20" s="115"/>
      <c r="G20" s="427" t="s">
        <v>55</v>
      </c>
      <c r="H20" s="428"/>
      <c r="I20" s="115"/>
      <c r="J20" s="427" t="s">
        <v>56</v>
      </c>
      <c r="K20" s="428"/>
      <c r="L20" s="115"/>
      <c r="M20" s="427" t="s">
        <v>54</v>
      </c>
      <c r="N20" s="428"/>
      <c r="O20" s="115"/>
      <c r="P20" s="427" t="s">
        <v>55</v>
      </c>
      <c r="Q20" s="428"/>
      <c r="R20" s="115"/>
      <c r="S20" s="427" t="s">
        <v>56</v>
      </c>
      <c r="T20" s="428"/>
      <c r="U20" s="115"/>
      <c r="AA20" s="87"/>
      <c r="AB20" s="88"/>
      <c r="AC20" s="427" t="s">
        <v>54</v>
      </c>
      <c r="AD20" s="428"/>
      <c r="AE20" s="115"/>
      <c r="AF20" s="427" t="s">
        <v>55</v>
      </c>
      <c r="AG20" s="428"/>
      <c r="AH20" s="115"/>
      <c r="AI20" s="427" t="s">
        <v>56</v>
      </c>
      <c r="AJ20" s="428"/>
      <c r="AK20" s="115"/>
      <c r="AL20" s="427" t="s">
        <v>54</v>
      </c>
      <c r="AM20" s="428"/>
      <c r="AN20" s="115"/>
      <c r="AO20" s="427" t="s">
        <v>55</v>
      </c>
      <c r="AP20" s="428"/>
      <c r="AQ20" s="115"/>
      <c r="AR20" s="427" t="s">
        <v>56</v>
      </c>
      <c r="AS20" s="428"/>
      <c r="AT20" s="115"/>
    </row>
    <row r="21" spans="1:46">
      <c r="B21" s="91" t="s">
        <v>77</v>
      </c>
      <c r="C21" s="92"/>
      <c r="D21" s="89" t="s">
        <v>58</v>
      </c>
      <c r="E21" s="89" t="s">
        <v>59</v>
      </c>
      <c r="F21" s="93" t="s">
        <v>60</v>
      </c>
      <c r="G21" s="89" t="s">
        <v>58</v>
      </c>
      <c r="H21" s="89" t="s">
        <v>59</v>
      </c>
      <c r="I21" s="93" t="s">
        <v>61</v>
      </c>
      <c r="J21" s="89" t="s">
        <v>58</v>
      </c>
      <c r="K21" s="89" t="s">
        <v>59</v>
      </c>
      <c r="L21" s="93" t="s">
        <v>62</v>
      </c>
      <c r="M21" s="90" t="s">
        <v>58</v>
      </c>
      <c r="N21" s="90" t="s">
        <v>63</v>
      </c>
      <c r="O21" s="93" t="s">
        <v>64</v>
      </c>
      <c r="P21" s="90" t="s">
        <v>58</v>
      </c>
      <c r="Q21" s="90" t="s">
        <v>63</v>
      </c>
      <c r="R21" s="93" t="s">
        <v>65</v>
      </c>
      <c r="S21" s="90" t="s">
        <v>58</v>
      </c>
      <c r="T21" s="90" t="s">
        <v>63</v>
      </c>
      <c r="U21" s="93" t="s">
        <v>66</v>
      </c>
      <c r="AA21" s="91" t="s">
        <v>77</v>
      </c>
      <c r="AB21" s="92"/>
      <c r="AC21" s="89" t="s">
        <v>58</v>
      </c>
      <c r="AD21" s="89" t="s">
        <v>59</v>
      </c>
      <c r="AE21" s="93" t="s">
        <v>60</v>
      </c>
      <c r="AF21" s="89" t="s">
        <v>58</v>
      </c>
      <c r="AG21" s="89" t="s">
        <v>59</v>
      </c>
      <c r="AH21" s="93" t="s">
        <v>61</v>
      </c>
      <c r="AI21" s="89" t="s">
        <v>58</v>
      </c>
      <c r="AJ21" s="89" t="s">
        <v>59</v>
      </c>
      <c r="AK21" s="93" t="s">
        <v>62</v>
      </c>
      <c r="AL21" s="90" t="s">
        <v>58</v>
      </c>
      <c r="AM21" s="90" t="s">
        <v>63</v>
      </c>
      <c r="AN21" s="93" t="s">
        <v>64</v>
      </c>
      <c r="AO21" s="90" t="s">
        <v>58</v>
      </c>
      <c r="AP21" s="90" t="s">
        <v>63</v>
      </c>
      <c r="AQ21" s="93" t="s">
        <v>65</v>
      </c>
      <c r="AR21" s="90" t="s">
        <v>58</v>
      </c>
      <c r="AS21" s="90" t="s">
        <v>63</v>
      </c>
      <c r="AT21" s="93" t="s">
        <v>66</v>
      </c>
    </row>
    <row r="22" spans="1:46">
      <c r="B22" s="94"/>
      <c r="C22" s="95" t="s">
        <v>67</v>
      </c>
      <c r="D22" s="229">
        <f>'CO2（ルート1）'!J6</f>
        <v>0</v>
      </c>
      <c r="E22" s="229">
        <f>'CO2（ルート1）'!K6</f>
        <v>0</v>
      </c>
      <c r="F22" s="229">
        <f>SUM(D22:E22)</f>
        <v>0</v>
      </c>
      <c r="G22" s="229">
        <f>'CO2（ルート2）'!J6</f>
        <v>0</v>
      </c>
      <c r="H22" s="229">
        <f>'CO2（ルート2）'!K6</f>
        <v>0</v>
      </c>
      <c r="I22" s="229">
        <f>G22+H22</f>
        <v>0</v>
      </c>
      <c r="J22" s="229">
        <f>'CO2（ルート3）'!J6</f>
        <v>0</v>
      </c>
      <c r="K22" s="229">
        <f>'CO2（ルート3）'!K6</f>
        <v>0</v>
      </c>
      <c r="L22" s="229">
        <f>J22+K22</f>
        <v>0</v>
      </c>
      <c r="M22" s="229" t="e">
        <f>'CO2（ルート1）'!M6</f>
        <v>#DIV/0!</v>
      </c>
      <c r="N22" s="229">
        <f>'CO2（ルート1）'!N6</f>
        <v>0</v>
      </c>
      <c r="O22" s="229" t="e">
        <f>SUM(M22:N22)</f>
        <v>#DIV/0!</v>
      </c>
      <c r="P22" s="229" t="e">
        <f>'CO2（ルート2）'!M6</f>
        <v>#DIV/0!</v>
      </c>
      <c r="Q22" s="229">
        <f>'CO2（ルート2）'!N6</f>
        <v>0</v>
      </c>
      <c r="R22" s="229" t="e">
        <f>P22+Q22</f>
        <v>#DIV/0!</v>
      </c>
      <c r="S22" s="229" t="e">
        <f>'CO2（ルート3）'!M6</f>
        <v>#DIV/0!</v>
      </c>
      <c r="T22" s="229">
        <f>'CO2（ルート3）'!N6</f>
        <v>0</v>
      </c>
      <c r="U22" s="229" t="e">
        <f>S22+T22</f>
        <v>#DIV/0!</v>
      </c>
      <c r="AA22" s="94"/>
      <c r="AB22" s="95" t="s">
        <v>67</v>
      </c>
      <c r="AC22" s="96"/>
      <c r="AD22" s="96"/>
      <c r="AE22" s="96"/>
      <c r="AF22" s="96"/>
      <c r="AG22" s="96"/>
      <c r="AH22" s="96"/>
      <c r="AI22" s="96"/>
      <c r="AJ22" s="96"/>
      <c r="AK22" s="96"/>
      <c r="AL22" s="96"/>
      <c r="AM22" s="96"/>
      <c r="AN22" s="96"/>
      <c r="AO22" s="96"/>
      <c r="AP22" s="96"/>
      <c r="AQ22" s="96"/>
      <c r="AR22" s="96"/>
      <c r="AS22" s="96"/>
      <c r="AT22" s="96"/>
    </row>
    <row r="23" spans="1:46">
      <c r="B23" s="97"/>
      <c r="C23" s="98" t="s">
        <v>68</v>
      </c>
      <c r="D23" s="107">
        <f>'CO2（ルート1）'!J7</f>
        <v>0</v>
      </c>
      <c r="E23" s="107" t="e">
        <f>'CO2（ルート1）'!K7</f>
        <v>#DIV/0!</v>
      </c>
      <c r="F23" s="107" t="e">
        <f t="shared" ref="F23:F29" si="6">SUM(D23:E23)</f>
        <v>#DIV/0!</v>
      </c>
      <c r="G23" s="107">
        <f>'CO2（ルート2）'!J7</f>
        <v>0</v>
      </c>
      <c r="H23" s="107" t="e">
        <f>'CO2（ルート2）'!K7</f>
        <v>#DIV/0!</v>
      </c>
      <c r="I23" s="107" t="e">
        <f t="shared" ref="I23:I29" si="7">G23+H23</f>
        <v>#DIV/0!</v>
      </c>
      <c r="J23" s="107">
        <f>'CO2（ルート3）'!J7</f>
        <v>0</v>
      </c>
      <c r="K23" s="107" t="e">
        <f>'CO2（ルート3）'!K7</f>
        <v>#DIV/0!</v>
      </c>
      <c r="L23" s="107" t="e">
        <f t="shared" ref="L23:L29" si="8">J23+K23</f>
        <v>#DIV/0!</v>
      </c>
      <c r="M23" s="107">
        <f>'CO2（ルート1）'!M7</f>
        <v>0</v>
      </c>
      <c r="N23" s="107" t="e">
        <f>'CO2（ルート1）'!N7</f>
        <v>#DIV/0!</v>
      </c>
      <c r="O23" s="107" t="e">
        <f t="shared" ref="O23:O29" si="9">SUM(M23:N23)</f>
        <v>#DIV/0!</v>
      </c>
      <c r="P23" s="107">
        <f>'CO2（ルート2）'!M7</f>
        <v>0</v>
      </c>
      <c r="Q23" s="107" t="e">
        <f>'CO2（ルート2）'!N7</f>
        <v>#DIV/0!</v>
      </c>
      <c r="R23" s="107" t="e">
        <f t="shared" ref="R23:R29" si="10">P23+Q23</f>
        <v>#DIV/0!</v>
      </c>
      <c r="S23" s="107">
        <f>'CO2（ルート3）'!M7</f>
        <v>0</v>
      </c>
      <c r="T23" s="107" t="e">
        <f>'CO2（ルート3）'!N7</f>
        <v>#DIV/0!</v>
      </c>
      <c r="U23" s="107" t="e">
        <f t="shared" ref="U23:U27" si="11">S23+T23</f>
        <v>#DIV/0!</v>
      </c>
      <c r="AA23" s="97"/>
      <c r="AB23" s="98" t="s">
        <v>68</v>
      </c>
      <c r="AC23" s="99"/>
      <c r="AD23" s="99"/>
      <c r="AE23" s="99"/>
      <c r="AF23" s="99"/>
      <c r="AG23" s="99"/>
      <c r="AH23" s="99"/>
      <c r="AI23" s="99"/>
      <c r="AJ23" s="99"/>
      <c r="AK23" s="99"/>
      <c r="AL23" s="99"/>
      <c r="AM23" s="99"/>
      <c r="AN23" s="99"/>
      <c r="AO23" s="99"/>
      <c r="AP23" s="99"/>
      <c r="AQ23" s="99"/>
      <c r="AR23" s="99"/>
      <c r="AS23" s="99"/>
      <c r="AT23" s="99"/>
    </row>
    <row r="24" spans="1:46">
      <c r="B24" s="97"/>
      <c r="C24" s="98" t="s">
        <v>69</v>
      </c>
      <c r="D24" s="107">
        <f>'CO2（ルート1）'!J8</f>
        <v>0</v>
      </c>
      <c r="E24" s="107" t="e">
        <f>'CO2（ルート1）'!K8</f>
        <v>#DIV/0!</v>
      </c>
      <c r="F24" s="107" t="e">
        <f t="shared" si="6"/>
        <v>#DIV/0!</v>
      </c>
      <c r="G24" s="107">
        <f>'CO2（ルート2）'!J8</f>
        <v>0</v>
      </c>
      <c r="H24" s="107" t="e">
        <f>'CO2（ルート2）'!K8</f>
        <v>#DIV/0!</v>
      </c>
      <c r="I24" s="107" t="e">
        <f t="shared" si="7"/>
        <v>#DIV/0!</v>
      </c>
      <c r="J24" s="107">
        <f>'CO2（ルート3）'!J8</f>
        <v>0</v>
      </c>
      <c r="K24" s="107" t="e">
        <f>'CO2（ルート3）'!K8</f>
        <v>#DIV/0!</v>
      </c>
      <c r="L24" s="107" t="e">
        <f t="shared" si="8"/>
        <v>#DIV/0!</v>
      </c>
      <c r="M24" s="107">
        <f>'CO2（ルート1）'!M8</f>
        <v>0</v>
      </c>
      <c r="N24" s="107" t="e">
        <f>'CO2（ルート1）'!N8</f>
        <v>#DIV/0!</v>
      </c>
      <c r="O24" s="107" t="e">
        <f t="shared" si="9"/>
        <v>#DIV/0!</v>
      </c>
      <c r="P24" s="107">
        <f>'CO2（ルート2）'!M8</f>
        <v>0</v>
      </c>
      <c r="Q24" s="107" t="e">
        <f>'CO2（ルート2）'!N8</f>
        <v>#DIV/0!</v>
      </c>
      <c r="R24" s="107" t="e">
        <f t="shared" si="10"/>
        <v>#DIV/0!</v>
      </c>
      <c r="S24" s="107">
        <f>'CO2（ルート3）'!M8</f>
        <v>0</v>
      </c>
      <c r="T24" s="107" t="e">
        <f>'CO2（ルート3）'!N8</f>
        <v>#DIV/0!</v>
      </c>
      <c r="U24" s="107" t="e">
        <f t="shared" si="11"/>
        <v>#DIV/0!</v>
      </c>
      <c r="AA24" s="97"/>
      <c r="AB24" s="98" t="s">
        <v>69</v>
      </c>
      <c r="AC24" s="99"/>
      <c r="AD24" s="99"/>
      <c r="AE24" s="99"/>
      <c r="AF24" s="99"/>
      <c r="AG24" s="99"/>
      <c r="AH24" s="99"/>
      <c r="AI24" s="99"/>
      <c r="AJ24" s="99"/>
      <c r="AK24" s="99"/>
      <c r="AL24" s="99"/>
      <c r="AM24" s="99"/>
      <c r="AN24" s="99"/>
      <c r="AO24" s="99"/>
      <c r="AP24" s="99"/>
      <c r="AQ24" s="99"/>
      <c r="AR24" s="99"/>
      <c r="AS24" s="99"/>
      <c r="AT24" s="99"/>
    </row>
    <row r="25" spans="1:46">
      <c r="B25" s="97"/>
      <c r="C25" s="98" t="s">
        <v>70</v>
      </c>
      <c r="D25" s="107">
        <f>'CO2（ルート1）'!J9</f>
        <v>0</v>
      </c>
      <c r="E25" s="107">
        <f>'CO2（ルート1）'!K9</f>
        <v>0</v>
      </c>
      <c r="F25" s="107">
        <f t="shared" si="6"/>
        <v>0</v>
      </c>
      <c r="G25" s="107">
        <f>'CO2（ルート2）'!J9</f>
        <v>0</v>
      </c>
      <c r="H25" s="107">
        <f>'CO2（ルート2）'!K9</f>
        <v>0</v>
      </c>
      <c r="I25" s="107">
        <f t="shared" si="7"/>
        <v>0</v>
      </c>
      <c r="J25" s="107">
        <f>'CO2（ルート3）'!J9</f>
        <v>0</v>
      </c>
      <c r="K25" s="107">
        <f>'CO2（ルート3）'!K9</f>
        <v>0</v>
      </c>
      <c r="L25" s="107">
        <f t="shared" si="8"/>
        <v>0</v>
      </c>
      <c r="M25" s="107">
        <f>'CO2（ルート1）'!M9</f>
        <v>0</v>
      </c>
      <c r="N25" s="107" t="e">
        <f>'CO2（ルート1）'!N9</f>
        <v>#DIV/0!</v>
      </c>
      <c r="O25" s="107" t="e">
        <f t="shared" si="9"/>
        <v>#DIV/0!</v>
      </c>
      <c r="P25" s="107">
        <f>'CO2（ルート2）'!M9</f>
        <v>0</v>
      </c>
      <c r="Q25" s="107" t="e">
        <f>'CO2（ルート2）'!N9</f>
        <v>#DIV/0!</v>
      </c>
      <c r="R25" s="107" t="e">
        <f t="shared" si="10"/>
        <v>#DIV/0!</v>
      </c>
      <c r="S25" s="107">
        <f>'CO2（ルート3）'!M9</f>
        <v>0</v>
      </c>
      <c r="T25" s="107" t="e">
        <f>'CO2（ルート3）'!N9</f>
        <v>#DIV/0!</v>
      </c>
      <c r="U25" s="107" t="e">
        <f t="shared" si="11"/>
        <v>#DIV/0!</v>
      </c>
      <c r="AA25" s="97"/>
      <c r="AB25" s="98" t="s">
        <v>70</v>
      </c>
      <c r="AC25" s="99"/>
      <c r="AD25" s="99"/>
      <c r="AE25" s="99"/>
      <c r="AF25" s="99"/>
      <c r="AG25" s="99"/>
      <c r="AH25" s="99"/>
      <c r="AI25" s="99"/>
      <c r="AJ25" s="99"/>
      <c r="AK25" s="99"/>
      <c r="AL25" s="99"/>
      <c r="AM25" s="99"/>
      <c r="AN25" s="99"/>
      <c r="AO25" s="99"/>
      <c r="AP25" s="99"/>
      <c r="AQ25" s="99"/>
      <c r="AR25" s="99"/>
      <c r="AS25" s="99"/>
      <c r="AT25" s="99"/>
    </row>
    <row r="26" spans="1:46">
      <c r="B26" s="97"/>
      <c r="C26" s="98" t="s">
        <v>78</v>
      </c>
      <c r="D26" s="107">
        <f>'CO2（ルート1）'!J10</f>
        <v>0</v>
      </c>
      <c r="E26" s="107">
        <f>'CO2（ルート1）'!K10</f>
        <v>0</v>
      </c>
      <c r="F26" s="107">
        <f t="shared" si="6"/>
        <v>0</v>
      </c>
      <c r="G26" s="107">
        <f>'CO2（ルート2）'!J10</f>
        <v>0</v>
      </c>
      <c r="H26" s="107">
        <f>'CO2（ルート2）'!K10</f>
        <v>0</v>
      </c>
      <c r="I26" s="107">
        <f t="shared" si="7"/>
        <v>0</v>
      </c>
      <c r="J26" s="107">
        <f>'CO2（ルート3）'!J10</f>
        <v>0</v>
      </c>
      <c r="K26" s="107">
        <f>'CO2（ルート3）'!K10</f>
        <v>0</v>
      </c>
      <c r="L26" s="107">
        <f t="shared" si="8"/>
        <v>0</v>
      </c>
      <c r="M26" s="107">
        <f>'CO2（ルート1）'!M10</f>
        <v>0</v>
      </c>
      <c r="N26" s="107" t="e">
        <f>'CO2（ルート1）'!N10</f>
        <v>#DIV/0!</v>
      </c>
      <c r="O26" s="107" t="e">
        <f t="shared" si="9"/>
        <v>#DIV/0!</v>
      </c>
      <c r="P26" s="107">
        <f>'CO2（ルート2）'!M10</f>
        <v>0</v>
      </c>
      <c r="Q26" s="107" t="e">
        <f>'CO2（ルート2）'!N10</f>
        <v>#DIV/0!</v>
      </c>
      <c r="R26" s="107" t="e">
        <f t="shared" si="10"/>
        <v>#DIV/0!</v>
      </c>
      <c r="S26" s="107">
        <f>'CO2（ルート3）'!M10</f>
        <v>0</v>
      </c>
      <c r="T26" s="107" t="e">
        <f>'CO2（ルート3）'!N10</f>
        <v>#DIV/0!</v>
      </c>
      <c r="U26" s="107" t="e">
        <f t="shared" si="11"/>
        <v>#DIV/0!</v>
      </c>
      <c r="AA26" s="97"/>
      <c r="AB26" s="98" t="s">
        <v>78</v>
      </c>
      <c r="AC26" s="99"/>
      <c r="AD26" s="99"/>
      <c r="AE26" s="99"/>
      <c r="AF26" s="99"/>
      <c r="AG26" s="99"/>
      <c r="AH26" s="99"/>
      <c r="AI26" s="99"/>
      <c r="AJ26" s="99"/>
      <c r="AK26" s="99"/>
      <c r="AL26" s="99"/>
      <c r="AM26" s="99"/>
      <c r="AN26" s="99"/>
      <c r="AO26" s="99"/>
      <c r="AP26" s="99"/>
      <c r="AQ26" s="99"/>
      <c r="AR26" s="99"/>
      <c r="AS26" s="99"/>
      <c r="AT26" s="99"/>
    </row>
    <row r="27" spans="1:46">
      <c r="B27" s="97"/>
      <c r="C27" s="98" t="s">
        <v>71</v>
      </c>
      <c r="D27" s="107">
        <f>'CO2（ルート1）'!J11</f>
        <v>0</v>
      </c>
      <c r="E27" s="107" t="e">
        <f>'CO2（ルート1）'!K11</f>
        <v>#DIV/0!</v>
      </c>
      <c r="F27" s="107" t="e">
        <f t="shared" si="6"/>
        <v>#DIV/0!</v>
      </c>
      <c r="G27" s="107">
        <f>'CO2（ルート2）'!J11</f>
        <v>0</v>
      </c>
      <c r="H27" s="107" t="e">
        <f>'CO2（ルート2）'!K11</f>
        <v>#DIV/0!</v>
      </c>
      <c r="I27" s="107" t="e">
        <f t="shared" si="7"/>
        <v>#DIV/0!</v>
      </c>
      <c r="J27" s="107">
        <f>'CO2（ルート3）'!J11</f>
        <v>0</v>
      </c>
      <c r="K27" s="107" t="e">
        <f>'CO2（ルート3）'!K11</f>
        <v>#DIV/0!</v>
      </c>
      <c r="L27" s="107" t="e">
        <f t="shared" si="8"/>
        <v>#DIV/0!</v>
      </c>
      <c r="M27" s="107">
        <f>'CO2（ルート1）'!M11</f>
        <v>0</v>
      </c>
      <c r="N27" s="107" t="e">
        <f>'CO2（ルート1）'!N11</f>
        <v>#DIV/0!</v>
      </c>
      <c r="O27" s="107" t="e">
        <f t="shared" si="9"/>
        <v>#DIV/0!</v>
      </c>
      <c r="P27" s="107">
        <f>'CO2（ルート2）'!M11</f>
        <v>0</v>
      </c>
      <c r="Q27" s="107" t="e">
        <f>'CO2（ルート2）'!N11</f>
        <v>#DIV/0!</v>
      </c>
      <c r="R27" s="107" t="e">
        <f t="shared" si="10"/>
        <v>#DIV/0!</v>
      </c>
      <c r="S27" s="107">
        <f>'CO2（ルート3）'!M11</f>
        <v>0</v>
      </c>
      <c r="T27" s="107" t="e">
        <f>'CO2（ルート3）'!N11</f>
        <v>#DIV/0!</v>
      </c>
      <c r="U27" s="107" t="e">
        <f t="shared" si="11"/>
        <v>#DIV/0!</v>
      </c>
      <c r="AA27" s="97"/>
      <c r="AB27" s="98" t="s">
        <v>71</v>
      </c>
      <c r="AC27" s="99"/>
      <c r="AD27" s="99"/>
      <c r="AE27" s="99"/>
      <c r="AF27" s="99"/>
      <c r="AG27" s="99"/>
      <c r="AH27" s="99"/>
      <c r="AI27" s="99"/>
      <c r="AJ27" s="99"/>
      <c r="AK27" s="99"/>
      <c r="AL27" s="99"/>
      <c r="AM27" s="99"/>
      <c r="AN27" s="99"/>
      <c r="AO27" s="99"/>
      <c r="AP27" s="99"/>
      <c r="AQ27" s="99"/>
      <c r="AR27" s="99"/>
      <c r="AS27" s="99"/>
      <c r="AT27" s="99"/>
    </row>
    <row r="28" spans="1:46">
      <c r="B28" s="97"/>
      <c r="C28" s="100" t="s">
        <v>72</v>
      </c>
      <c r="D28" s="107">
        <f>'CO2（ルート1）'!J12</f>
        <v>0</v>
      </c>
      <c r="E28" s="107">
        <f>'CO2（ルート1）'!K12</f>
        <v>0</v>
      </c>
      <c r="F28" s="107">
        <f t="shared" si="6"/>
        <v>0</v>
      </c>
      <c r="G28" s="107">
        <f>'CO2（ルート2）'!J12</f>
        <v>0</v>
      </c>
      <c r="H28" s="107">
        <f>'CO2（ルート2）'!K12</f>
        <v>0</v>
      </c>
      <c r="I28" s="107">
        <f t="shared" si="7"/>
        <v>0</v>
      </c>
      <c r="J28" s="107">
        <f>'CO2（ルート3）'!J12</f>
        <v>0</v>
      </c>
      <c r="K28" s="107">
        <f>'CO2（ルート3）'!K12</f>
        <v>0</v>
      </c>
      <c r="L28" s="107">
        <f t="shared" si="8"/>
        <v>0</v>
      </c>
      <c r="M28" s="107">
        <f>'CO2（ルート1）'!M12</f>
        <v>0</v>
      </c>
      <c r="N28" s="107" t="e">
        <f>'CO2（ルート1）'!N12</f>
        <v>#DIV/0!</v>
      </c>
      <c r="O28" s="107" t="e">
        <f t="shared" si="9"/>
        <v>#DIV/0!</v>
      </c>
      <c r="P28" s="107">
        <f>'CO2（ルート2）'!M12</f>
        <v>0</v>
      </c>
      <c r="Q28" s="107" t="e">
        <f>'CO2（ルート2）'!N12</f>
        <v>#DIV/0!</v>
      </c>
      <c r="R28" s="107" t="e">
        <f t="shared" si="10"/>
        <v>#DIV/0!</v>
      </c>
      <c r="S28" s="107">
        <f>'CO2（ルート3）'!M12</f>
        <v>0</v>
      </c>
      <c r="T28" s="107" t="e">
        <f>'CO2（ルート3）'!N12</f>
        <v>#DIV/0!</v>
      </c>
      <c r="U28" s="107" t="e">
        <f>S28+T28</f>
        <v>#DIV/0!</v>
      </c>
      <c r="AA28" s="97"/>
      <c r="AB28" s="100" t="s">
        <v>72</v>
      </c>
      <c r="AC28" s="99"/>
      <c r="AD28" s="99"/>
      <c r="AE28" s="99"/>
      <c r="AF28" s="99"/>
      <c r="AG28" s="99"/>
      <c r="AH28" s="99"/>
      <c r="AI28" s="99"/>
      <c r="AJ28" s="99"/>
      <c r="AK28" s="99"/>
      <c r="AL28" s="99"/>
      <c r="AM28" s="99"/>
      <c r="AN28" s="99"/>
      <c r="AO28" s="99"/>
      <c r="AP28" s="99"/>
      <c r="AQ28" s="99"/>
      <c r="AR28" s="99"/>
      <c r="AS28" s="99"/>
      <c r="AT28" s="99"/>
    </row>
    <row r="29" spans="1:46">
      <c r="B29" s="97"/>
      <c r="C29" s="98" t="s">
        <v>79</v>
      </c>
      <c r="D29" s="107" t="e">
        <f>'CO2（ルート1）'!J13</f>
        <v>#DIV/0!</v>
      </c>
      <c r="E29" s="107" t="e">
        <f>'CO2（ルート1）'!K13</f>
        <v>#DIV/0!</v>
      </c>
      <c r="F29" s="107" t="e">
        <f t="shared" si="6"/>
        <v>#DIV/0!</v>
      </c>
      <c r="G29" s="107" t="e">
        <f>'CO2（ルート2）'!J13</f>
        <v>#DIV/0!</v>
      </c>
      <c r="H29" s="107" t="e">
        <f>'CO2（ルート2）'!K13</f>
        <v>#DIV/0!</v>
      </c>
      <c r="I29" s="107" t="e">
        <f t="shared" si="7"/>
        <v>#DIV/0!</v>
      </c>
      <c r="J29" s="107" t="e">
        <f>'CO2（ルート3）'!J13</f>
        <v>#DIV/0!</v>
      </c>
      <c r="K29" s="107" t="e">
        <f>'CO2（ルート3）'!K13</f>
        <v>#DIV/0!</v>
      </c>
      <c r="L29" s="107" t="e">
        <f t="shared" si="8"/>
        <v>#DIV/0!</v>
      </c>
      <c r="M29" s="107" t="e">
        <f>'CO2（ルート1）'!M13</f>
        <v>#DIV/0!</v>
      </c>
      <c r="N29" s="107" t="e">
        <f>'CO2（ルート1）'!N13</f>
        <v>#DIV/0!</v>
      </c>
      <c r="O29" s="107" t="e">
        <f t="shared" si="9"/>
        <v>#DIV/0!</v>
      </c>
      <c r="P29" s="107" t="e">
        <f>'CO2（ルート2）'!M13</f>
        <v>#DIV/0!</v>
      </c>
      <c r="Q29" s="107" t="e">
        <f>'CO2（ルート2）'!N13</f>
        <v>#DIV/0!</v>
      </c>
      <c r="R29" s="107" t="e">
        <f t="shared" si="10"/>
        <v>#DIV/0!</v>
      </c>
      <c r="S29" s="107" t="e">
        <f>'CO2（ルート3）'!M13</f>
        <v>#DIV/0!</v>
      </c>
      <c r="T29" s="107" t="e">
        <f>'CO2（ルート3）'!N13</f>
        <v>#DIV/0!</v>
      </c>
      <c r="U29" s="107" t="e">
        <f>S29+T29</f>
        <v>#DIV/0!</v>
      </c>
      <c r="AA29" s="97"/>
      <c r="AB29" s="98" t="s">
        <v>79</v>
      </c>
      <c r="AC29" s="99"/>
      <c r="AD29" s="99"/>
      <c r="AE29" s="99"/>
      <c r="AF29" s="99"/>
      <c r="AG29" s="99"/>
      <c r="AH29" s="99"/>
      <c r="AI29" s="99"/>
      <c r="AJ29" s="99"/>
      <c r="AK29" s="99"/>
      <c r="AL29" s="99"/>
      <c r="AM29" s="99"/>
      <c r="AN29" s="99"/>
      <c r="AO29" s="99"/>
      <c r="AP29" s="99"/>
      <c r="AQ29" s="99"/>
      <c r="AR29" s="99"/>
      <c r="AS29" s="99"/>
      <c r="AT29" s="99"/>
    </row>
    <row r="30" spans="1:46">
      <c r="B30" s="97"/>
      <c r="C30" s="101" t="s">
        <v>80</v>
      </c>
      <c r="D30" s="108"/>
      <c r="E30" s="108"/>
      <c r="F30" s="108"/>
      <c r="G30" s="108"/>
      <c r="H30" s="108"/>
      <c r="I30" s="108"/>
      <c r="J30" s="108"/>
      <c r="K30" s="108"/>
      <c r="L30" s="108"/>
      <c r="M30" s="102"/>
      <c r="N30" s="102"/>
      <c r="O30" s="102"/>
      <c r="P30" s="102"/>
      <c r="Q30" s="102"/>
      <c r="R30" s="102"/>
      <c r="S30" s="102"/>
      <c r="T30" s="102"/>
      <c r="U30" s="108"/>
      <c r="V30" t="s">
        <v>81</v>
      </c>
      <c r="AA30" s="97"/>
      <c r="AB30" s="101" t="s">
        <v>80</v>
      </c>
      <c r="AC30" s="102"/>
      <c r="AD30" s="102"/>
      <c r="AE30" s="102"/>
      <c r="AF30" s="102"/>
      <c r="AG30" s="102"/>
      <c r="AH30" s="102"/>
      <c r="AI30" s="102"/>
      <c r="AJ30" s="102"/>
      <c r="AK30" s="102"/>
      <c r="AL30" s="102"/>
      <c r="AM30" s="102"/>
      <c r="AN30" s="102"/>
      <c r="AO30" s="102"/>
      <c r="AP30" s="102"/>
      <c r="AQ30" s="102"/>
      <c r="AR30" s="102"/>
      <c r="AS30" s="102"/>
      <c r="AT30" s="102"/>
    </row>
    <row r="31" spans="1:46">
      <c r="B31" s="112"/>
      <c r="C31" s="113" t="s">
        <v>82</v>
      </c>
      <c r="D31" s="397" t="e">
        <f>SUM(D22:D29)</f>
        <v>#DIV/0!</v>
      </c>
      <c r="E31" s="109" t="e">
        <f>SUM(E22:E29)</f>
        <v>#DIV/0!</v>
      </c>
      <c r="F31" s="109" t="e">
        <f>D31+E31</f>
        <v>#DIV/0!</v>
      </c>
      <c r="G31" s="109" t="e">
        <f t="shared" ref="G31:K31" si="12">SUM(G22:G29)</f>
        <v>#DIV/0!</v>
      </c>
      <c r="H31" s="109" t="e">
        <f t="shared" si="12"/>
        <v>#DIV/0!</v>
      </c>
      <c r="I31" s="109" t="e">
        <f>G31+H31</f>
        <v>#DIV/0!</v>
      </c>
      <c r="J31" s="109" t="e">
        <f t="shared" si="12"/>
        <v>#DIV/0!</v>
      </c>
      <c r="K31" s="109" t="e">
        <f t="shared" si="12"/>
        <v>#DIV/0!</v>
      </c>
      <c r="L31" s="109" t="e">
        <f>J31+K31</f>
        <v>#DIV/0!</v>
      </c>
      <c r="M31" s="109" t="e">
        <f>SUM(M22:M29)</f>
        <v>#DIV/0!</v>
      </c>
      <c r="N31" s="109" t="e">
        <f t="shared" ref="N31" si="13">SUM(N22:N29)</f>
        <v>#DIV/0!</v>
      </c>
      <c r="O31" s="109" t="e">
        <f>M31+N31</f>
        <v>#DIV/0!</v>
      </c>
      <c r="P31" s="109" t="e">
        <f>SUM(P22:P29)</f>
        <v>#DIV/0!</v>
      </c>
      <c r="Q31" s="109" t="e">
        <f t="shared" ref="Q31:T31" si="14">SUM(Q22:Q29)</f>
        <v>#DIV/0!</v>
      </c>
      <c r="R31" s="109" t="e">
        <f>P31+Q31</f>
        <v>#DIV/0!</v>
      </c>
      <c r="S31" s="109" t="e">
        <f t="shared" si="14"/>
        <v>#DIV/0!</v>
      </c>
      <c r="T31" s="109" t="e">
        <f t="shared" si="14"/>
        <v>#DIV/0!</v>
      </c>
      <c r="U31" s="109" t="e">
        <f>S31+T31</f>
        <v>#DIV/0!</v>
      </c>
      <c r="AA31" s="112"/>
      <c r="AB31" s="113" t="s">
        <v>82</v>
      </c>
      <c r="AC31" s="109"/>
      <c r="AD31" s="109"/>
      <c r="AE31" s="109"/>
      <c r="AF31" s="109"/>
      <c r="AG31" s="109"/>
      <c r="AH31" s="109"/>
      <c r="AI31" s="109"/>
      <c r="AJ31" s="109"/>
      <c r="AK31" s="109"/>
      <c r="AL31" s="109"/>
      <c r="AM31" s="109"/>
      <c r="AN31" s="109"/>
      <c r="AO31" s="109"/>
      <c r="AP31" s="109"/>
      <c r="AQ31" s="109"/>
      <c r="AR31" s="109"/>
      <c r="AS31" s="109"/>
      <c r="AT31" s="109"/>
    </row>
    <row r="58" spans="1:21" ht="19.5">
      <c r="A58" s="77" t="s">
        <v>83</v>
      </c>
      <c r="G58" s="78"/>
    </row>
    <row r="59" spans="1:21">
      <c r="T59" s="104" t="s">
        <v>84</v>
      </c>
      <c r="U59" s="104"/>
    </row>
    <row r="60" spans="1:21">
      <c r="B60" s="80"/>
      <c r="C60" s="81"/>
      <c r="D60" s="82" t="s">
        <v>52</v>
      </c>
      <c r="E60" s="83"/>
      <c r="F60" s="86"/>
      <c r="G60" s="83"/>
      <c r="H60" s="83"/>
      <c r="I60" s="111"/>
      <c r="J60" s="83"/>
      <c r="K60" s="83"/>
      <c r="L60" s="84"/>
      <c r="M60" s="82" t="s">
        <v>53</v>
      </c>
      <c r="N60" s="83"/>
      <c r="O60" s="86"/>
      <c r="P60" s="83"/>
      <c r="Q60" s="83"/>
      <c r="R60" s="86"/>
      <c r="S60" s="83"/>
      <c r="T60" s="85"/>
      <c r="U60" s="84"/>
    </row>
    <row r="61" spans="1:21">
      <c r="B61" s="87"/>
      <c r="C61" s="88"/>
      <c r="D61" s="427" t="s">
        <v>54</v>
      </c>
      <c r="E61" s="428"/>
      <c r="F61" s="115"/>
      <c r="G61" s="427" t="s">
        <v>55</v>
      </c>
      <c r="H61" s="428"/>
      <c r="I61" s="115"/>
      <c r="J61" s="427" t="s">
        <v>56</v>
      </c>
      <c r="K61" s="428"/>
      <c r="L61" s="115"/>
      <c r="M61" s="427" t="s">
        <v>54</v>
      </c>
      <c r="N61" s="428"/>
      <c r="O61" s="115"/>
      <c r="P61" s="427" t="s">
        <v>55</v>
      </c>
      <c r="Q61" s="428"/>
      <c r="R61" s="115"/>
      <c r="S61" s="427" t="s">
        <v>56</v>
      </c>
      <c r="T61" s="428"/>
      <c r="U61" s="115"/>
    </row>
    <row r="62" spans="1:21">
      <c r="B62" s="91" t="s">
        <v>85</v>
      </c>
      <c r="C62" s="92"/>
      <c r="D62" s="89" t="s">
        <v>58</v>
      </c>
      <c r="E62" s="89" t="s">
        <v>59</v>
      </c>
      <c r="F62" s="93" t="s">
        <v>60</v>
      </c>
      <c r="G62" s="89" t="s">
        <v>58</v>
      </c>
      <c r="H62" s="89" t="s">
        <v>59</v>
      </c>
      <c r="I62" s="93" t="s">
        <v>61</v>
      </c>
      <c r="J62" s="89" t="s">
        <v>58</v>
      </c>
      <c r="K62" s="89" t="s">
        <v>59</v>
      </c>
      <c r="L62" s="93" t="s">
        <v>62</v>
      </c>
      <c r="M62" s="90" t="s">
        <v>58</v>
      </c>
      <c r="N62" s="90" t="s">
        <v>63</v>
      </c>
      <c r="O62" s="93" t="s">
        <v>64</v>
      </c>
      <c r="P62" s="90" t="s">
        <v>58</v>
      </c>
      <c r="Q62" s="90" t="s">
        <v>63</v>
      </c>
      <c r="R62" s="93" t="s">
        <v>65</v>
      </c>
      <c r="S62" s="90" t="s">
        <v>58</v>
      </c>
      <c r="T62" s="90" t="s">
        <v>63</v>
      </c>
      <c r="U62" s="93" t="s">
        <v>66</v>
      </c>
    </row>
    <row r="63" spans="1:21">
      <c r="B63" s="94"/>
      <c r="C63" s="95" t="s">
        <v>67</v>
      </c>
      <c r="D63" s="105">
        <f>'コスト（ルート1）'!J6</f>
        <v>0</v>
      </c>
      <c r="E63" s="105">
        <f>'コスト（ルート1）'!K6</f>
        <v>0</v>
      </c>
      <c r="F63" s="105">
        <f>D63+E63</f>
        <v>0</v>
      </c>
      <c r="G63" s="105">
        <f>'コスト（ルート2）'!J6</f>
        <v>0</v>
      </c>
      <c r="H63" s="105">
        <f>'コスト（ルート2）'!K6</f>
        <v>0</v>
      </c>
      <c r="I63" s="105">
        <f>G63+H63</f>
        <v>0</v>
      </c>
      <c r="J63" s="105">
        <f>'コスト（ルート3）'!J6</f>
        <v>0</v>
      </c>
      <c r="K63" s="105">
        <f>'コスト（ルート3）'!K6</f>
        <v>0</v>
      </c>
      <c r="L63" s="105">
        <f>J63+K63</f>
        <v>0</v>
      </c>
      <c r="M63" s="105" t="e">
        <f>'コスト（ルート1）'!M6</f>
        <v>#DIV/0!</v>
      </c>
      <c r="N63" s="105">
        <f>'コスト（ルート1）'!N6</f>
        <v>0</v>
      </c>
      <c r="O63" s="105" t="e">
        <f>M63+N63</f>
        <v>#DIV/0!</v>
      </c>
      <c r="P63" s="105" t="e">
        <f>'コスト（ルート2）'!M6</f>
        <v>#DIV/0!</v>
      </c>
      <c r="Q63" s="105">
        <f>'コスト（ルート2）'!N6</f>
        <v>0</v>
      </c>
      <c r="R63" s="105" t="e">
        <f>P63+Q63</f>
        <v>#DIV/0!</v>
      </c>
      <c r="S63" s="105" t="e">
        <f>'コスト（ルート3）'!M6</f>
        <v>#DIV/0!</v>
      </c>
      <c r="T63" s="105">
        <f>'コスト（ルート3）'!N6</f>
        <v>0</v>
      </c>
      <c r="U63" s="105" t="e">
        <f>S63+T63</f>
        <v>#DIV/0!</v>
      </c>
    </row>
    <row r="64" spans="1:21">
      <c r="B64" s="97"/>
      <c r="C64" s="98" t="s">
        <v>68</v>
      </c>
      <c r="D64" s="106">
        <f>'コスト（ルート1）'!J7</f>
        <v>0</v>
      </c>
      <c r="E64" s="106">
        <f>'コスト（ルート1）'!K7</f>
        <v>0</v>
      </c>
      <c r="F64" s="106">
        <f t="shared" ref="F64:F70" si="15">D64+E64</f>
        <v>0</v>
      </c>
      <c r="G64" s="106">
        <f>'コスト（ルート2）'!J7</f>
        <v>0</v>
      </c>
      <c r="H64" s="106">
        <f>'コスト（ルート2）'!K7</f>
        <v>0</v>
      </c>
      <c r="I64" s="106">
        <f t="shared" ref="I64:I70" si="16">G64+H64</f>
        <v>0</v>
      </c>
      <c r="J64" s="106">
        <f>'コスト（ルート3）'!J7</f>
        <v>0</v>
      </c>
      <c r="K64" s="106">
        <f>'コスト（ルート3）'!K7</f>
        <v>0</v>
      </c>
      <c r="L64" s="106">
        <f t="shared" ref="L64:L70" si="17">J64+K64</f>
        <v>0</v>
      </c>
      <c r="M64" s="106">
        <f>'コスト（ルート1）'!M7</f>
        <v>0</v>
      </c>
      <c r="N64" s="106">
        <f>'コスト（ルート1）'!N7</f>
        <v>0</v>
      </c>
      <c r="O64" s="106">
        <f t="shared" ref="O64:O70" si="18">M64+N64</f>
        <v>0</v>
      </c>
      <c r="P64" s="106">
        <f>'コスト（ルート2）'!M7</f>
        <v>0</v>
      </c>
      <c r="Q64" s="106">
        <f>'コスト（ルート2）'!N7</f>
        <v>0</v>
      </c>
      <c r="R64" s="106">
        <f t="shared" ref="R64:R70" si="19">P64+Q64</f>
        <v>0</v>
      </c>
      <c r="S64" s="106">
        <f>'コスト（ルート3）'!M7</f>
        <v>0</v>
      </c>
      <c r="T64" s="106">
        <f>'コスト（ルート3）'!N7</f>
        <v>0</v>
      </c>
      <c r="U64" s="106">
        <f t="shared" ref="U64:U70" si="20">S64+T64</f>
        <v>0</v>
      </c>
    </row>
    <row r="65" spans="2:21">
      <c r="B65" s="97"/>
      <c r="C65" s="98" t="s">
        <v>69</v>
      </c>
      <c r="D65" s="106">
        <f>'コスト（ルート1）'!J8</f>
        <v>0</v>
      </c>
      <c r="E65" s="106" t="e">
        <f>'コスト（ルート1）'!K8</f>
        <v>#DIV/0!</v>
      </c>
      <c r="F65" s="106" t="e">
        <f t="shared" si="15"/>
        <v>#DIV/0!</v>
      </c>
      <c r="G65" s="106">
        <f>'コスト（ルート2）'!J8</f>
        <v>0</v>
      </c>
      <c r="H65" s="106" t="e">
        <f>'コスト（ルート2）'!K8</f>
        <v>#DIV/0!</v>
      </c>
      <c r="I65" s="106" t="e">
        <f t="shared" si="16"/>
        <v>#DIV/0!</v>
      </c>
      <c r="J65" s="106">
        <f>'コスト（ルート3）'!J8</f>
        <v>0</v>
      </c>
      <c r="K65" s="106" t="e">
        <f>'コスト（ルート3）'!K8</f>
        <v>#DIV/0!</v>
      </c>
      <c r="L65" s="106" t="e">
        <f t="shared" si="17"/>
        <v>#DIV/0!</v>
      </c>
      <c r="M65" s="106">
        <f>'コスト（ルート1）'!M8</f>
        <v>0</v>
      </c>
      <c r="N65" s="106" t="e">
        <f>'コスト（ルート1）'!N8</f>
        <v>#DIV/0!</v>
      </c>
      <c r="O65" s="106" t="e">
        <f t="shared" si="18"/>
        <v>#DIV/0!</v>
      </c>
      <c r="P65" s="106">
        <f>'コスト（ルート2）'!M8</f>
        <v>0</v>
      </c>
      <c r="Q65" s="106" t="e">
        <f>'コスト（ルート2）'!N8</f>
        <v>#DIV/0!</v>
      </c>
      <c r="R65" s="106" t="e">
        <f t="shared" si="19"/>
        <v>#DIV/0!</v>
      </c>
      <c r="S65" s="106">
        <f>'コスト（ルート3）'!M8</f>
        <v>0</v>
      </c>
      <c r="T65" s="106" t="e">
        <f>'コスト（ルート3）'!N8</f>
        <v>#DIV/0!</v>
      </c>
      <c r="U65" s="106" t="e">
        <f t="shared" si="20"/>
        <v>#DIV/0!</v>
      </c>
    </row>
    <row r="66" spans="2:21">
      <c r="B66" s="97"/>
      <c r="C66" s="98" t="s">
        <v>86</v>
      </c>
      <c r="D66" s="106">
        <f>'コスト（ルート1）'!J9</f>
        <v>0</v>
      </c>
      <c r="E66" s="106">
        <f>'コスト（ルート1）'!K9</f>
        <v>0</v>
      </c>
      <c r="F66" s="106">
        <f t="shared" si="15"/>
        <v>0</v>
      </c>
      <c r="G66" s="106">
        <f>'コスト（ルート2）'!J9</f>
        <v>0</v>
      </c>
      <c r="H66" s="106">
        <f>'コスト（ルート2）'!K9</f>
        <v>0</v>
      </c>
      <c r="I66" s="106">
        <f t="shared" si="16"/>
        <v>0</v>
      </c>
      <c r="J66" s="106">
        <f>'コスト（ルート3）'!J9</f>
        <v>0</v>
      </c>
      <c r="K66" s="106">
        <f>'コスト（ルート3）'!K9</f>
        <v>0</v>
      </c>
      <c r="L66" s="106">
        <f t="shared" si="17"/>
        <v>0</v>
      </c>
      <c r="M66" s="106">
        <f>'コスト（ルート1）'!M9</f>
        <v>0</v>
      </c>
      <c r="N66" s="106" t="e">
        <f>'コスト（ルート1）'!N9</f>
        <v>#DIV/0!</v>
      </c>
      <c r="O66" s="106" t="e">
        <f t="shared" si="18"/>
        <v>#DIV/0!</v>
      </c>
      <c r="P66" s="106">
        <f>'コスト（ルート2）'!M9</f>
        <v>0</v>
      </c>
      <c r="Q66" s="106" t="e">
        <f>'コスト（ルート2）'!N9</f>
        <v>#DIV/0!</v>
      </c>
      <c r="R66" s="106" t="e">
        <f t="shared" si="19"/>
        <v>#DIV/0!</v>
      </c>
      <c r="S66" s="106">
        <f>'コスト（ルート3）'!M9</f>
        <v>0</v>
      </c>
      <c r="T66" s="106" t="e">
        <f>'コスト（ルート3）'!N9</f>
        <v>#DIV/0!</v>
      </c>
      <c r="U66" s="106" t="e">
        <f t="shared" si="20"/>
        <v>#DIV/0!</v>
      </c>
    </row>
    <row r="67" spans="2:21">
      <c r="B67" s="97"/>
      <c r="C67" s="98" t="s">
        <v>71</v>
      </c>
      <c r="D67" s="106">
        <f>'コスト（ルート1）'!J10</f>
        <v>0</v>
      </c>
      <c r="E67" s="106">
        <f>'コスト（ルート1）'!K10</f>
        <v>0</v>
      </c>
      <c r="F67" s="106">
        <f t="shared" si="15"/>
        <v>0</v>
      </c>
      <c r="G67" s="106">
        <f>'コスト（ルート2）'!J10</f>
        <v>0</v>
      </c>
      <c r="H67" s="106">
        <f>'コスト（ルート2）'!K10</f>
        <v>0</v>
      </c>
      <c r="I67" s="106">
        <f t="shared" si="16"/>
        <v>0</v>
      </c>
      <c r="J67" s="106">
        <f>'コスト（ルート3）'!J10</f>
        <v>0</v>
      </c>
      <c r="K67" s="106">
        <f>'コスト（ルート3）'!K10</f>
        <v>0</v>
      </c>
      <c r="L67" s="106">
        <f t="shared" si="17"/>
        <v>0</v>
      </c>
      <c r="M67" s="106">
        <f>'コスト（ルート1）'!M10</f>
        <v>0</v>
      </c>
      <c r="N67" s="106">
        <f>'コスト（ルート1）'!N10</f>
        <v>0</v>
      </c>
      <c r="O67" s="106">
        <f t="shared" si="18"/>
        <v>0</v>
      </c>
      <c r="P67" s="106">
        <f>'コスト（ルート2）'!M10</f>
        <v>0</v>
      </c>
      <c r="Q67" s="106">
        <f>'コスト（ルート2）'!N10</f>
        <v>0</v>
      </c>
      <c r="R67" s="106">
        <f t="shared" si="19"/>
        <v>0</v>
      </c>
      <c r="S67" s="106">
        <f>'コスト（ルート3）'!M10</f>
        <v>0</v>
      </c>
      <c r="T67" s="106">
        <f>'コスト（ルート3）'!N10</f>
        <v>0</v>
      </c>
      <c r="U67" s="106">
        <f t="shared" si="20"/>
        <v>0</v>
      </c>
    </row>
    <row r="68" spans="2:21">
      <c r="B68" s="97"/>
      <c r="C68" s="100" t="s">
        <v>72</v>
      </c>
      <c r="D68" s="106">
        <f>'コスト（ルート1）'!J11</f>
        <v>0</v>
      </c>
      <c r="E68" s="106">
        <f>'コスト（ルート1）'!K11</f>
        <v>0</v>
      </c>
      <c r="F68" s="106">
        <f t="shared" si="15"/>
        <v>0</v>
      </c>
      <c r="G68" s="106">
        <f>'コスト（ルート2）'!J11</f>
        <v>0</v>
      </c>
      <c r="H68" s="106">
        <f>'コスト（ルート2）'!K11</f>
        <v>0</v>
      </c>
      <c r="I68" s="106">
        <f t="shared" si="16"/>
        <v>0</v>
      </c>
      <c r="J68" s="106">
        <f>'コスト（ルート3）'!J11</f>
        <v>0</v>
      </c>
      <c r="K68" s="106">
        <f>'コスト（ルート3）'!K11</f>
        <v>0</v>
      </c>
      <c r="L68" s="106">
        <f t="shared" si="17"/>
        <v>0</v>
      </c>
      <c r="M68" s="106">
        <f>'コスト（ルート1）'!M11</f>
        <v>0</v>
      </c>
      <c r="N68" s="106" t="e">
        <f>'コスト（ルート1）'!N11</f>
        <v>#DIV/0!</v>
      </c>
      <c r="O68" s="106" t="e">
        <f t="shared" si="18"/>
        <v>#DIV/0!</v>
      </c>
      <c r="P68" s="106">
        <f>'コスト（ルート2）'!M11</f>
        <v>0</v>
      </c>
      <c r="Q68" s="106" t="e">
        <f>'コスト（ルート2）'!N11</f>
        <v>#DIV/0!</v>
      </c>
      <c r="R68" s="106" t="e">
        <f t="shared" si="19"/>
        <v>#DIV/0!</v>
      </c>
      <c r="S68" s="106">
        <f>'コスト（ルート3）'!M11</f>
        <v>0</v>
      </c>
      <c r="T68" s="106" t="e">
        <f>'コスト（ルート3）'!N11</f>
        <v>#DIV/0!</v>
      </c>
      <c r="U68" s="106" t="e">
        <f t="shared" si="20"/>
        <v>#DIV/0!</v>
      </c>
    </row>
    <row r="69" spans="2:21">
      <c r="B69" s="97"/>
      <c r="C69" s="98" t="s">
        <v>79</v>
      </c>
      <c r="D69" s="106" t="e">
        <f>'コスト（ルート1）'!J12</f>
        <v>#DIV/0!</v>
      </c>
      <c r="E69" s="106" t="e">
        <f>'コスト（ルート1）'!K12</f>
        <v>#DIV/0!</v>
      </c>
      <c r="F69" s="106" t="e">
        <f t="shared" si="15"/>
        <v>#DIV/0!</v>
      </c>
      <c r="G69" s="106" t="e">
        <f>'コスト（ルート2）'!J12</f>
        <v>#DIV/0!</v>
      </c>
      <c r="H69" s="106" t="e">
        <f>'コスト（ルート2）'!K12</f>
        <v>#DIV/0!</v>
      </c>
      <c r="I69" s="106" t="e">
        <f t="shared" si="16"/>
        <v>#DIV/0!</v>
      </c>
      <c r="J69" s="106" t="e">
        <f>'コスト（ルート3）'!J12</f>
        <v>#DIV/0!</v>
      </c>
      <c r="K69" s="106" t="e">
        <f>'コスト（ルート3）'!K12</f>
        <v>#DIV/0!</v>
      </c>
      <c r="L69" s="106" t="e">
        <f t="shared" si="17"/>
        <v>#DIV/0!</v>
      </c>
      <c r="M69" s="106" t="e">
        <f>'コスト（ルート1）'!M12</f>
        <v>#DIV/0!</v>
      </c>
      <c r="N69" s="106" t="e">
        <f>'コスト（ルート1）'!N12</f>
        <v>#DIV/0!</v>
      </c>
      <c r="O69" s="106" t="e">
        <f t="shared" si="18"/>
        <v>#DIV/0!</v>
      </c>
      <c r="P69" s="106" t="e">
        <f>'コスト（ルート2）'!M12</f>
        <v>#DIV/0!</v>
      </c>
      <c r="Q69" s="106" t="e">
        <f>'コスト（ルート2）'!N12</f>
        <v>#DIV/0!</v>
      </c>
      <c r="R69" s="106" t="e">
        <f t="shared" si="19"/>
        <v>#DIV/0!</v>
      </c>
      <c r="S69" s="106" t="e">
        <f>'コスト（ルート3）'!M12</f>
        <v>#DIV/0!</v>
      </c>
      <c r="T69" s="106" t="e">
        <f>'コスト（ルート3）'!N12</f>
        <v>#DIV/0!</v>
      </c>
      <c r="U69" s="106" t="e">
        <f t="shared" si="20"/>
        <v>#DIV/0!</v>
      </c>
    </row>
    <row r="70" spans="2:21">
      <c r="B70" s="97"/>
      <c r="C70" s="101" t="s">
        <v>80</v>
      </c>
      <c r="D70" s="110">
        <f>'コスト（ルート1）'!J13</f>
        <v>0</v>
      </c>
      <c r="E70" s="110">
        <f>'コスト（ルート1）'!K13</f>
        <v>0</v>
      </c>
      <c r="F70" s="110">
        <f t="shared" si="15"/>
        <v>0</v>
      </c>
      <c r="G70" s="110">
        <f>'コスト（ルート2）'!J13</f>
        <v>0</v>
      </c>
      <c r="H70" s="110">
        <f>'コスト（ルート2）'!K13</f>
        <v>0</v>
      </c>
      <c r="I70" s="110">
        <f t="shared" si="16"/>
        <v>0</v>
      </c>
      <c r="J70" s="110">
        <f>'コスト（ルート3）'!J13</f>
        <v>0</v>
      </c>
      <c r="K70" s="110">
        <f>'コスト（ルート3）'!K13</f>
        <v>0</v>
      </c>
      <c r="L70" s="110">
        <f t="shared" si="17"/>
        <v>0</v>
      </c>
      <c r="M70" s="110">
        <f>'コスト（ルート1）'!M13</f>
        <v>0</v>
      </c>
      <c r="N70" s="110" t="e">
        <f>'コスト（ルート1）'!N13</f>
        <v>#DIV/0!</v>
      </c>
      <c r="O70" s="110" t="e">
        <f t="shared" si="18"/>
        <v>#DIV/0!</v>
      </c>
      <c r="P70" s="110">
        <f>'コスト（ルート2）'!M13</f>
        <v>0</v>
      </c>
      <c r="Q70" s="110" t="e">
        <f>'コスト（ルート2）'!N13</f>
        <v>#DIV/0!</v>
      </c>
      <c r="R70" s="110" t="e">
        <f t="shared" si="19"/>
        <v>#DIV/0!</v>
      </c>
      <c r="S70" s="110">
        <f>'コスト（ルート3）'!M13</f>
        <v>0</v>
      </c>
      <c r="T70" s="110" t="e">
        <f>'コスト（ルート3）'!N13</f>
        <v>#DIV/0!</v>
      </c>
      <c r="U70" s="110" t="e">
        <f t="shared" si="20"/>
        <v>#DIV/0!</v>
      </c>
    </row>
    <row r="71" spans="2:21">
      <c r="B71" s="112"/>
      <c r="C71" s="114" t="s">
        <v>87</v>
      </c>
      <c r="D71" s="109" t="e">
        <f>SUM(D63:D70)</f>
        <v>#DIV/0!</v>
      </c>
      <c r="E71" s="109" t="e">
        <f>SUM(E63:E70)</f>
        <v>#DIV/0!</v>
      </c>
      <c r="F71" s="109" t="e">
        <f>D71+E71</f>
        <v>#DIV/0!</v>
      </c>
      <c r="G71" s="109" t="e">
        <f>SUM(G63:G70)</f>
        <v>#DIV/0!</v>
      </c>
      <c r="H71" s="109" t="e">
        <f t="shared" ref="H71" si="21">SUM(H63:H70)</f>
        <v>#DIV/0!</v>
      </c>
      <c r="I71" s="109" t="e">
        <f>G71+H71</f>
        <v>#DIV/0!</v>
      </c>
      <c r="J71" s="109" t="e">
        <f>SUM(J63:J70)</f>
        <v>#DIV/0!</v>
      </c>
      <c r="K71" s="109" t="e">
        <f>SUM(K63:K70)</f>
        <v>#DIV/0!</v>
      </c>
      <c r="L71" s="109" t="e">
        <f>J71+K71</f>
        <v>#DIV/0!</v>
      </c>
      <c r="M71" s="109" t="e">
        <f>SUM(M63:M70)</f>
        <v>#DIV/0!</v>
      </c>
      <c r="N71" s="109" t="e">
        <f t="shared" ref="N71" si="22">SUM(N63:N70)</f>
        <v>#DIV/0!</v>
      </c>
      <c r="O71" s="109" t="e">
        <f>M71+N71</f>
        <v>#DIV/0!</v>
      </c>
      <c r="P71" s="109" t="e">
        <f>SUM(P63:P70)</f>
        <v>#DIV/0!</v>
      </c>
      <c r="Q71" s="109" t="e">
        <f t="shared" ref="Q71:T71" si="23">SUM(Q63:Q70)</f>
        <v>#DIV/0!</v>
      </c>
      <c r="R71" s="109" t="e">
        <f>P71+Q71</f>
        <v>#DIV/0!</v>
      </c>
      <c r="S71" s="109" t="e">
        <f t="shared" si="23"/>
        <v>#DIV/0!</v>
      </c>
      <c r="T71" s="109" t="e">
        <f t="shared" si="23"/>
        <v>#DIV/0!</v>
      </c>
      <c r="U71" s="109" t="e">
        <f>S71+T71</f>
        <v>#DIV/0!</v>
      </c>
    </row>
    <row r="100" spans="1:16" ht="19.5">
      <c r="A100" s="77" t="s">
        <v>88</v>
      </c>
    </row>
    <row r="102" spans="1:16">
      <c r="B102" s="80"/>
      <c r="C102" s="81"/>
      <c r="D102" s="82" t="s">
        <v>52</v>
      </c>
      <c r="E102" s="83"/>
      <c r="F102" s="83"/>
      <c r="G102" s="83"/>
      <c r="H102" s="111"/>
      <c r="I102" s="133"/>
      <c r="J102" s="82" t="s">
        <v>53</v>
      </c>
      <c r="K102" s="83"/>
      <c r="L102" s="83"/>
      <c r="M102" s="83"/>
      <c r="N102" s="86"/>
      <c r="O102" s="83"/>
      <c r="P102" s="134"/>
    </row>
    <row r="103" spans="1:16">
      <c r="B103" s="87"/>
      <c r="C103" s="88"/>
      <c r="D103" s="427" t="s">
        <v>60</v>
      </c>
      <c r="E103" s="429"/>
      <c r="F103" s="427" t="s">
        <v>61</v>
      </c>
      <c r="G103" s="428"/>
      <c r="H103" s="427" t="s">
        <v>62</v>
      </c>
      <c r="I103" s="429"/>
      <c r="J103" s="427" t="s">
        <v>64</v>
      </c>
      <c r="K103" s="428"/>
      <c r="L103" s="427" t="s">
        <v>65</v>
      </c>
      <c r="M103" s="429"/>
      <c r="N103" s="427" t="s">
        <v>66</v>
      </c>
      <c r="O103" s="430"/>
      <c r="P103" s="134"/>
    </row>
    <row r="104" spans="1:16">
      <c r="B104" s="91"/>
      <c r="C104" s="92"/>
      <c r="D104" s="132" t="s">
        <v>89</v>
      </c>
      <c r="E104" s="90" t="s">
        <v>24</v>
      </c>
      <c r="F104" s="132" t="s">
        <v>89</v>
      </c>
      <c r="G104" s="90" t="s">
        <v>24</v>
      </c>
      <c r="H104" s="132" t="s">
        <v>89</v>
      </c>
      <c r="I104" s="90" t="s">
        <v>24</v>
      </c>
      <c r="J104" s="132" t="s">
        <v>89</v>
      </c>
      <c r="K104" s="90" t="s">
        <v>24</v>
      </c>
      <c r="L104" s="132" t="s">
        <v>89</v>
      </c>
      <c r="M104" s="90" t="s">
        <v>24</v>
      </c>
      <c r="N104" s="132" t="s">
        <v>89</v>
      </c>
      <c r="O104" s="90" t="s">
        <v>24</v>
      </c>
    </row>
    <row r="105" spans="1:16">
      <c r="B105" s="431"/>
      <c r="C105" s="95" t="s">
        <v>67</v>
      </c>
      <c r="D105" s="105">
        <f t="shared" ref="D105:D112" si="24">F22</f>
        <v>0</v>
      </c>
      <c r="E105" s="135"/>
      <c r="F105" s="105">
        <f t="shared" ref="F105:F112" si="25">I22</f>
        <v>0</v>
      </c>
      <c r="G105" s="135"/>
      <c r="H105" s="105">
        <f t="shared" ref="H105:H112" si="26">L22</f>
        <v>0</v>
      </c>
      <c r="I105" s="135"/>
      <c r="J105" s="105" t="e">
        <f t="shared" ref="J105:J112" si="27">O22</f>
        <v>#DIV/0!</v>
      </c>
      <c r="K105" s="135"/>
      <c r="L105" s="105" t="e">
        <f t="shared" ref="L105:L112" si="28">R22</f>
        <v>#DIV/0!</v>
      </c>
      <c r="M105" s="135"/>
      <c r="N105" s="105" t="e">
        <f t="shared" ref="N105:N112" si="29">U22</f>
        <v>#DIV/0!</v>
      </c>
      <c r="O105" s="135"/>
    </row>
    <row r="106" spans="1:16">
      <c r="B106" s="432"/>
      <c r="C106" s="98" t="s">
        <v>68</v>
      </c>
      <c r="D106" s="106" t="e">
        <f t="shared" si="24"/>
        <v>#DIV/0!</v>
      </c>
      <c r="E106" s="136"/>
      <c r="F106" s="106" t="e">
        <f t="shared" si="25"/>
        <v>#DIV/0!</v>
      </c>
      <c r="G106" s="136"/>
      <c r="H106" s="106" t="e">
        <f t="shared" si="26"/>
        <v>#DIV/0!</v>
      </c>
      <c r="I106" s="136"/>
      <c r="J106" s="106" t="e">
        <f t="shared" si="27"/>
        <v>#DIV/0!</v>
      </c>
      <c r="K106" s="136"/>
      <c r="L106" s="106" t="e">
        <f t="shared" si="28"/>
        <v>#DIV/0!</v>
      </c>
      <c r="M106" s="136"/>
      <c r="N106" s="106" t="e">
        <f t="shared" si="29"/>
        <v>#DIV/0!</v>
      </c>
      <c r="O106" s="136"/>
    </row>
    <row r="107" spans="1:16">
      <c r="B107" s="432"/>
      <c r="C107" s="98" t="s">
        <v>69</v>
      </c>
      <c r="D107" s="106" t="e">
        <f t="shared" si="24"/>
        <v>#DIV/0!</v>
      </c>
      <c r="E107" s="136"/>
      <c r="F107" s="106" t="e">
        <f t="shared" si="25"/>
        <v>#DIV/0!</v>
      </c>
      <c r="G107" s="136"/>
      <c r="H107" s="106" t="e">
        <f t="shared" si="26"/>
        <v>#DIV/0!</v>
      </c>
      <c r="I107" s="136"/>
      <c r="J107" s="106" t="e">
        <f t="shared" si="27"/>
        <v>#DIV/0!</v>
      </c>
      <c r="K107" s="136"/>
      <c r="L107" s="106" t="e">
        <f t="shared" si="28"/>
        <v>#DIV/0!</v>
      </c>
      <c r="M107" s="136"/>
      <c r="N107" s="106" t="e">
        <f t="shared" si="29"/>
        <v>#DIV/0!</v>
      </c>
      <c r="O107" s="136"/>
    </row>
    <row r="108" spans="1:16">
      <c r="B108" s="432"/>
      <c r="C108" s="98" t="s">
        <v>86</v>
      </c>
      <c r="D108" s="106">
        <f t="shared" si="24"/>
        <v>0</v>
      </c>
      <c r="E108" s="136"/>
      <c r="F108" s="106">
        <f t="shared" si="25"/>
        <v>0</v>
      </c>
      <c r="G108" s="136"/>
      <c r="H108" s="106">
        <f t="shared" si="26"/>
        <v>0</v>
      </c>
      <c r="I108" s="136"/>
      <c r="J108" s="106" t="e">
        <f t="shared" si="27"/>
        <v>#DIV/0!</v>
      </c>
      <c r="K108" s="136"/>
      <c r="L108" s="106" t="e">
        <f t="shared" si="28"/>
        <v>#DIV/0!</v>
      </c>
      <c r="M108" s="136"/>
      <c r="N108" s="106" t="e">
        <f t="shared" si="29"/>
        <v>#DIV/0!</v>
      </c>
      <c r="O108" s="136"/>
    </row>
    <row r="109" spans="1:16">
      <c r="B109" s="432"/>
      <c r="C109" s="98" t="s">
        <v>71</v>
      </c>
      <c r="D109" s="106">
        <f t="shared" si="24"/>
        <v>0</v>
      </c>
      <c r="E109" s="136"/>
      <c r="F109" s="106">
        <f t="shared" si="25"/>
        <v>0</v>
      </c>
      <c r="G109" s="136"/>
      <c r="H109" s="106">
        <f t="shared" si="26"/>
        <v>0</v>
      </c>
      <c r="I109" s="136"/>
      <c r="J109" s="106" t="e">
        <f t="shared" si="27"/>
        <v>#DIV/0!</v>
      </c>
      <c r="K109" s="136"/>
      <c r="L109" s="106" t="e">
        <f t="shared" si="28"/>
        <v>#DIV/0!</v>
      </c>
      <c r="M109" s="136"/>
      <c r="N109" s="106" t="e">
        <f t="shared" si="29"/>
        <v>#DIV/0!</v>
      </c>
      <c r="O109" s="136"/>
    </row>
    <row r="110" spans="1:16">
      <c r="B110" s="432"/>
      <c r="C110" s="100" t="s">
        <v>72</v>
      </c>
      <c r="D110" s="106" t="e">
        <f t="shared" si="24"/>
        <v>#DIV/0!</v>
      </c>
      <c r="E110" s="136"/>
      <c r="F110" s="106" t="e">
        <f t="shared" si="25"/>
        <v>#DIV/0!</v>
      </c>
      <c r="G110" s="136"/>
      <c r="H110" s="106" t="e">
        <f t="shared" si="26"/>
        <v>#DIV/0!</v>
      </c>
      <c r="I110" s="136"/>
      <c r="J110" s="106" t="e">
        <f t="shared" si="27"/>
        <v>#DIV/0!</v>
      </c>
      <c r="K110" s="136"/>
      <c r="L110" s="106" t="e">
        <f t="shared" si="28"/>
        <v>#DIV/0!</v>
      </c>
      <c r="M110" s="136"/>
      <c r="N110" s="106" t="e">
        <f t="shared" si="29"/>
        <v>#DIV/0!</v>
      </c>
      <c r="O110" s="136"/>
    </row>
    <row r="111" spans="1:16">
      <c r="B111" s="432"/>
      <c r="C111" s="98" t="s">
        <v>79</v>
      </c>
      <c r="D111" s="106">
        <f t="shared" si="24"/>
        <v>0</v>
      </c>
      <c r="E111" s="136"/>
      <c r="F111" s="106">
        <f t="shared" si="25"/>
        <v>0</v>
      </c>
      <c r="G111" s="136"/>
      <c r="H111" s="106">
        <f t="shared" si="26"/>
        <v>0</v>
      </c>
      <c r="I111" s="136"/>
      <c r="J111" s="106" t="e">
        <f t="shared" si="27"/>
        <v>#DIV/0!</v>
      </c>
      <c r="K111" s="136"/>
      <c r="L111" s="106" t="e">
        <f t="shared" si="28"/>
        <v>#DIV/0!</v>
      </c>
      <c r="M111" s="136"/>
      <c r="N111" s="106" t="e">
        <f t="shared" si="29"/>
        <v>#DIV/0!</v>
      </c>
      <c r="O111" s="136"/>
    </row>
    <row r="112" spans="1:16">
      <c r="B112" s="432"/>
      <c r="C112" s="101" t="s">
        <v>80</v>
      </c>
      <c r="D112" s="110" t="e">
        <f t="shared" si="24"/>
        <v>#DIV/0!</v>
      </c>
      <c r="E112" s="108"/>
      <c r="F112" s="110" t="e">
        <f t="shared" si="25"/>
        <v>#DIV/0!</v>
      </c>
      <c r="G112" s="108"/>
      <c r="H112" s="110" t="e">
        <f t="shared" si="26"/>
        <v>#DIV/0!</v>
      </c>
      <c r="I112" s="108"/>
      <c r="J112" s="110" t="e">
        <f t="shared" si="27"/>
        <v>#DIV/0!</v>
      </c>
      <c r="K112" s="108"/>
      <c r="L112" s="110" t="e">
        <f t="shared" si="28"/>
        <v>#DIV/0!</v>
      </c>
      <c r="M112" s="108"/>
      <c r="N112" s="110" t="e">
        <f t="shared" si="29"/>
        <v>#DIV/0!</v>
      </c>
      <c r="O112" s="108"/>
    </row>
    <row r="113" spans="2:15">
      <c r="B113" s="433"/>
      <c r="C113" s="114" t="s">
        <v>90</v>
      </c>
      <c r="D113" s="109" t="e">
        <f>F31</f>
        <v>#DIV/0!</v>
      </c>
      <c r="E113" s="137"/>
      <c r="F113" s="109" t="e">
        <f>I31</f>
        <v>#DIV/0!</v>
      </c>
      <c r="G113" s="137"/>
      <c r="H113" s="109" t="e">
        <f>L31</f>
        <v>#DIV/0!</v>
      </c>
      <c r="I113" s="137"/>
      <c r="J113" s="109" t="e">
        <f>O31</f>
        <v>#DIV/0!</v>
      </c>
      <c r="K113" s="137"/>
      <c r="L113" s="109" t="e">
        <f>R31</f>
        <v>#DIV/0!</v>
      </c>
      <c r="M113" s="137"/>
      <c r="N113" s="109" t="e">
        <f>U31</f>
        <v>#DIV/0!</v>
      </c>
      <c r="O113" s="137"/>
    </row>
    <row r="114" spans="2:15">
      <c r="B114" s="94"/>
      <c r="C114" s="95" t="s">
        <v>67</v>
      </c>
      <c r="D114" s="135"/>
      <c r="E114" s="105">
        <f>F63</f>
        <v>0</v>
      </c>
      <c r="F114" s="135"/>
      <c r="G114" s="105">
        <f>I63</f>
        <v>0</v>
      </c>
      <c r="H114" s="135"/>
      <c r="I114" s="105">
        <f>L63</f>
        <v>0</v>
      </c>
      <c r="J114" s="135"/>
      <c r="K114" s="105" t="e">
        <f>O63</f>
        <v>#DIV/0!</v>
      </c>
      <c r="L114" s="135"/>
      <c r="M114" s="105" t="e">
        <f>R63</f>
        <v>#DIV/0!</v>
      </c>
      <c r="N114" s="135"/>
      <c r="O114" s="105" t="e">
        <f>U63</f>
        <v>#DIV/0!</v>
      </c>
    </row>
    <row r="115" spans="2:15">
      <c r="B115" s="97"/>
      <c r="C115" s="98" t="s">
        <v>68</v>
      </c>
      <c r="D115" s="136"/>
      <c r="E115" s="106">
        <f t="shared" ref="E115:E121" si="30">F64</f>
        <v>0</v>
      </c>
      <c r="F115" s="136"/>
      <c r="G115" s="106">
        <f t="shared" ref="G115:G121" si="31">I64</f>
        <v>0</v>
      </c>
      <c r="H115" s="136"/>
      <c r="I115" s="106">
        <f t="shared" ref="I115:I121" si="32">L64</f>
        <v>0</v>
      </c>
      <c r="J115" s="136"/>
      <c r="K115" s="106">
        <f t="shared" ref="K115:K121" si="33">O64</f>
        <v>0</v>
      </c>
      <c r="L115" s="136"/>
      <c r="M115" s="106">
        <f t="shared" ref="M115:M121" si="34">R64</f>
        <v>0</v>
      </c>
      <c r="N115" s="136"/>
      <c r="O115" s="106">
        <f t="shared" ref="O115:O121" si="35">U64</f>
        <v>0</v>
      </c>
    </row>
    <row r="116" spans="2:15">
      <c r="B116" s="97"/>
      <c r="C116" s="98" t="s">
        <v>69</v>
      </c>
      <c r="D116" s="136"/>
      <c r="E116" s="106" t="e">
        <f t="shared" si="30"/>
        <v>#DIV/0!</v>
      </c>
      <c r="F116" s="136"/>
      <c r="G116" s="106" t="e">
        <f t="shared" si="31"/>
        <v>#DIV/0!</v>
      </c>
      <c r="H116" s="136"/>
      <c r="I116" s="106" t="e">
        <f t="shared" si="32"/>
        <v>#DIV/0!</v>
      </c>
      <c r="J116" s="136"/>
      <c r="K116" s="106" t="e">
        <f t="shared" si="33"/>
        <v>#DIV/0!</v>
      </c>
      <c r="L116" s="136"/>
      <c r="M116" s="106" t="e">
        <f t="shared" si="34"/>
        <v>#DIV/0!</v>
      </c>
      <c r="N116" s="136"/>
      <c r="O116" s="106" t="e">
        <f t="shared" si="35"/>
        <v>#DIV/0!</v>
      </c>
    </row>
    <row r="117" spans="2:15">
      <c r="B117" s="97"/>
      <c r="C117" s="98" t="s">
        <v>86</v>
      </c>
      <c r="D117" s="136"/>
      <c r="E117" s="106">
        <f t="shared" si="30"/>
        <v>0</v>
      </c>
      <c r="F117" s="136"/>
      <c r="G117" s="106">
        <f t="shared" si="31"/>
        <v>0</v>
      </c>
      <c r="H117" s="136"/>
      <c r="I117" s="106">
        <f t="shared" si="32"/>
        <v>0</v>
      </c>
      <c r="J117" s="136"/>
      <c r="K117" s="106" t="e">
        <f t="shared" si="33"/>
        <v>#DIV/0!</v>
      </c>
      <c r="L117" s="136"/>
      <c r="M117" s="106" t="e">
        <f t="shared" si="34"/>
        <v>#DIV/0!</v>
      </c>
      <c r="N117" s="136"/>
      <c r="O117" s="106" t="e">
        <f t="shared" si="35"/>
        <v>#DIV/0!</v>
      </c>
    </row>
    <row r="118" spans="2:15">
      <c r="B118" s="97"/>
      <c r="C118" s="98" t="s">
        <v>71</v>
      </c>
      <c r="D118" s="136"/>
      <c r="E118" s="106">
        <f t="shared" si="30"/>
        <v>0</v>
      </c>
      <c r="F118" s="136"/>
      <c r="G118" s="106">
        <f t="shared" si="31"/>
        <v>0</v>
      </c>
      <c r="H118" s="136"/>
      <c r="I118" s="106">
        <f t="shared" si="32"/>
        <v>0</v>
      </c>
      <c r="J118" s="136"/>
      <c r="K118" s="106">
        <f t="shared" si="33"/>
        <v>0</v>
      </c>
      <c r="L118" s="136"/>
      <c r="M118" s="106">
        <f t="shared" si="34"/>
        <v>0</v>
      </c>
      <c r="N118" s="136"/>
      <c r="O118" s="106">
        <f t="shared" si="35"/>
        <v>0</v>
      </c>
    </row>
    <row r="119" spans="2:15">
      <c r="B119" s="97"/>
      <c r="C119" s="100" t="s">
        <v>72</v>
      </c>
      <c r="D119" s="136"/>
      <c r="E119" s="106">
        <f t="shared" si="30"/>
        <v>0</v>
      </c>
      <c r="F119" s="136"/>
      <c r="G119" s="106">
        <f t="shared" si="31"/>
        <v>0</v>
      </c>
      <c r="H119" s="136"/>
      <c r="I119" s="106">
        <f t="shared" si="32"/>
        <v>0</v>
      </c>
      <c r="J119" s="136"/>
      <c r="K119" s="106" t="e">
        <f t="shared" si="33"/>
        <v>#DIV/0!</v>
      </c>
      <c r="L119" s="136"/>
      <c r="M119" s="106" t="e">
        <f t="shared" si="34"/>
        <v>#DIV/0!</v>
      </c>
      <c r="N119" s="136"/>
      <c r="O119" s="106" t="e">
        <f t="shared" si="35"/>
        <v>#DIV/0!</v>
      </c>
    </row>
    <row r="120" spans="2:15">
      <c r="B120" s="97"/>
      <c r="C120" s="98" t="s">
        <v>79</v>
      </c>
      <c r="D120" s="136"/>
      <c r="E120" s="106" t="e">
        <f t="shared" si="30"/>
        <v>#DIV/0!</v>
      </c>
      <c r="F120" s="136"/>
      <c r="G120" s="106" t="e">
        <f t="shared" si="31"/>
        <v>#DIV/0!</v>
      </c>
      <c r="H120" s="136"/>
      <c r="I120" s="106" t="e">
        <f t="shared" si="32"/>
        <v>#DIV/0!</v>
      </c>
      <c r="J120" s="136"/>
      <c r="K120" s="106" t="e">
        <f t="shared" si="33"/>
        <v>#DIV/0!</v>
      </c>
      <c r="L120" s="136"/>
      <c r="M120" s="106" t="e">
        <f t="shared" si="34"/>
        <v>#DIV/0!</v>
      </c>
      <c r="N120" s="136"/>
      <c r="O120" s="106" t="e">
        <f t="shared" si="35"/>
        <v>#DIV/0!</v>
      </c>
    </row>
    <row r="121" spans="2:15">
      <c r="B121" s="97"/>
      <c r="C121" s="101" t="s">
        <v>80</v>
      </c>
      <c r="D121" s="108"/>
      <c r="E121" s="106">
        <f t="shared" si="30"/>
        <v>0</v>
      </c>
      <c r="F121" s="108"/>
      <c r="G121" s="106">
        <f t="shared" si="31"/>
        <v>0</v>
      </c>
      <c r="H121" s="108"/>
      <c r="I121" s="106">
        <f t="shared" si="32"/>
        <v>0</v>
      </c>
      <c r="J121" s="108"/>
      <c r="K121" s="110" t="e">
        <f t="shared" si="33"/>
        <v>#DIV/0!</v>
      </c>
      <c r="L121" s="108"/>
      <c r="M121" s="110" t="e">
        <f t="shared" si="34"/>
        <v>#DIV/0!</v>
      </c>
      <c r="N121" s="108"/>
      <c r="O121" s="110" t="e">
        <f t="shared" si="35"/>
        <v>#DIV/0!</v>
      </c>
    </row>
    <row r="122" spans="2:15">
      <c r="B122" s="112"/>
      <c r="C122" s="114" t="s">
        <v>90</v>
      </c>
      <c r="D122" s="137"/>
      <c r="E122" s="109" t="e">
        <f>F71</f>
        <v>#DIV/0!</v>
      </c>
      <c r="F122" s="137"/>
      <c r="G122" s="109" t="e">
        <f>I71</f>
        <v>#DIV/0!</v>
      </c>
      <c r="H122" s="137"/>
      <c r="I122" s="109" t="e">
        <f>L71</f>
        <v>#DIV/0!</v>
      </c>
      <c r="J122" s="137"/>
      <c r="K122" s="109" t="e">
        <f>O71</f>
        <v>#DIV/0!</v>
      </c>
      <c r="L122" s="137"/>
      <c r="M122" s="109" t="e">
        <f>R71</f>
        <v>#DIV/0!</v>
      </c>
      <c r="N122" s="137"/>
      <c r="O122" s="109" t="e">
        <f>U71</f>
        <v>#DIV/0!</v>
      </c>
    </row>
  </sheetData>
  <mergeCells count="31">
    <mergeCell ref="B105:B113"/>
    <mergeCell ref="D103:E103"/>
    <mergeCell ref="F103:G103"/>
    <mergeCell ref="H103:I103"/>
    <mergeCell ref="J103:K103"/>
    <mergeCell ref="L103:M103"/>
    <mergeCell ref="N103:O103"/>
    <mergeCell ref="S6:T6"/>
    <mergeCell ref="G6:H6"/>
    <mergeCell ref="J6:K6"/>
    <mergeCell ref="M6:N6"/>
    <mergeCell ref="P6:Q6"/>
    <mergeCell ref="AF20:AG20"/>
    <mergeCell ref="AI20:AJ20"/>
    <mergeCell ref="AL20:AM20"/>
    <mergeCell ref="AO20:AP20"/>
    <mergeCell ref="AR20:AS20"/>
    <mergeCell ref="D61:E61"/>
    <mergeCell ref="D20:E20"/>
    <mergeCell ref="D6:E6"/>
    <mergeCell ref="AC20:AD20"/>
    <mergeCell ref="S61:T61"/>
    <mergeCell ref="G20:H20"/>
    <mergeCell ref="J20:K20"/>
    <mergeCell ref="M20:N20"/>
    <mergeCell ref="P20:Q20"/>
    <mergeCell ref="S20:T20"/>
    <mergeCell ref="G61:H61"/>
    <mergeCell ref="J61:K61"/>
    <mergeCell ref="M61:N61"/>
    <mergeCell ref="P61:Q61"/>
  </mergeCells>
  <phoneticPr fontId="2"/>
  <pageMargins left="0.7" right="0.7" top="0.75" bottom="0.75" header="0.3" footer="0.3"/>
  <pageSetup paperSize="9"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0D8B4-15A7-47AB-B340-3FCE3BD6CAF1}">
  <sheetPr>
    <tabColor theme="3"/>
  </sheetPr>
  <dimension ref="A1"/>
  <sheetViews>
    <sheetView workbookViewId="0">
      <selection activeCell="K29" sqref="K29"/>
    </sheetView>
  </sheetViews>
  <sheetFormatPr defaultRowHeight="14.25"/>
  <sheetData>
    <row r="1" spans="1:1">
      <c r="A1" s="308"/>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40A0E-F7E1-45E5-86AB-FCDC8FC7BAD9}">
  <sheetPr>
    <pageSetUpPr fitToPage="1"/>
  </sheetPr>
  <dimension ref="A1:M83"/>
  <sheetViews>
    <sheetView topLeftCell="A5" zoomScaleNormal="100" workbookViewId="0">
      <selection activeCell="F39" sqref="F39"/>
    </sheetView>
  </sheetViews>
  <sheetFormatPr defaultColWidth="9" defaultRowHeight="12.75"/>
  <cols>
    <col min="1" max="1" width="2.5703125" style="69" customWidth="1"/>
    <col min="2" max="2" width="4.42578125" style="69" customWidth="1"/>
    <col min="3" max="3" width="5.42578125" style="69" customWidth="1"/>
    <col min="4" max="4" width="22.85546875" style="68" bestFit="1" customWidth="1"/>
    <col min="5" max="5" width="10.42578125" style="68" bestFit="1" customWidth="1"/>
    <col min="6" max="6" width="59.42578125" style="69" customWidth="1"/>
    <col min="7" max="7" width="9.140625" style="68" bestFit="1" customWidth="1"/>
    <col min="8" max="8" width="9" style="68"/>
    <col min="9" max="9" width="9.42578125" style="68" bestFit="1" customWidth="1"/>
    <col min="10" max="10" width="37" style="68" bestFit="1" customWidth="1"/>
    <col min="11" max="11" width="9.28515625" style="69" customWidth="1"/>
    <col min="12" max="12" width="248" style="69" bestFit="1" customWidth="1"/>
    <col min="13" max="16384" width="9" style="69"/>
  </cols>
  <sheetData>
    <row r="1" spans="1:13" ht="18">
      <c r="A1" s="269" t="s">
        <v>91</v>
      </c>
      <c r="B1" s="1"/>
      <c r="C1" s="1"/>
      <c r="K1" s="68"/>
      <c r="M1" s="69" t="s">
        <v>92</v>
      </c>
    </row>
    <row r="2" spans="1:13" ht="15.75">
      <c r="B2" s="2"/>
      <c r="C2" s="2"/>
      <c r="F2" s="2"/>
      <c r="K2" s="70"/>
      <c r="M2" s="69" t="s">
        <v>92</v>
      </c>
    </row>
    <row r="3" spans="1:13" ht="16.5" thickBot="1">
      <c r="B3" s="270"/>
      <c r="C3" s="270"/>
      <c r="D3" s="271"/>
      <c r="E3" s="271"/>
      <c r="F3" s="273"/>
      <c r="G3" s="272"/>
      <c r="H3" s="70"/>
      <c r="I3" s="434" t="s">
        <v>93</v>
      </c>
      <c r="J3" s="435"/>
      <c r="K3" s="436" t="s">
        <v>94</v>
      </c>
      <c r="L3" s="436"/>
      <c r="M3" s="69" t="s">
        <v>92</v>
      </c>
    </row>
    <row r="4" spans="1:13" ht="14.25" customHeight="1">
      <c r="B4" s="160" t="s">
        <v>95</v>
      </c>
      <c r="C4" s="196" t="s">
        <v>96</v>
      </c>
      <c r="D4" s="160" t="s">
        <v>97</v>
      </c>
      <c r="E4" s="196" t="s">
        <v>98</v>
      </c>
      <c r="F4" s="125" t="s">
        <v>99</v>
      </c>
      <c r="G4" s="141" t="s">
        <v>100</v>
      </c>
      <c r="H4" s="147" t="s">
        <v>101</v>
      </c>
      <c r="I4" s="146" t="s">
        <v>102</v>
      </c>
      <c r="J4" s="139" t="s">
        <v>103</v>
      </c>
      <c r="K4" s="125" t="s">
        <v>104</v>
      </c>
      <c r="L4" s="161" t="s">
        <v>105</v>
      </c>
    </row>
    <row r="5" spans="1:13" ht="12.75" customHeight="1">
      <c r="B5" s="71">
        <v>1</v>
      </c>
      <c r="C5" s="200" t="s">
        <v>18</v>
      </c>
      <c r="D5" s="71" t="s">
        <v>106</v>
      </c>
      <c r="E5" s="197" t="s">
        <v>107</v>
      </c>
      <c r="F5" s="72" t="s">
        <v>108</v>
      </c>
      <c r="G5" s="142" t="s">
        <v>109</v>
      </c>
      <c r="H5" s="150">
        <f t="shared" ref="H5:H30" si="0">IF($I5="",$K5,$I5)</f>
        <v>0</v>
      </c>
      <c r="I5" s="151"/>
      <c r="J5" s="72"/>
      <c r="K5" s="157"/>
      <c r="L5" s="162" t="s">
        <v>110</v>
      </c>
      <c r="M5" s="69" t="s">
        <v>92</v>
      </c>
    </row>
    <row r="6" spans="1:13" ht="12.75" customHeight="1">
      <c r="B6" s="71">
        <f t="shared" ref="B6:B72" si="1">B5+1</f>
        <v>2</v>
      </c>
      <c r="C6" s="198" t="s">
        <v>18</v>
      </c>
      <c r="D6" s="71" t="s">
        <v>106</v>
      </c>
      <c r="E6" s="198" t="s">
        <v>107</v>
      </c>
      <c r="F6" s="159" t="s">
        <v>111</v>
      </c>
      <c r="G6" s="143" t="s">
        <v>112</v>
      </c>
      <c r="H6" s="150">
        <f t="shared" si="0"/>
        <v>9</v>
      </c>
      <c r="I6" s="152"/>
      <c r="J6" s="149"/>
      <c r="K6" s="148">
        <v>9</v>
      </c>
      <c r="L6" s="165" t="s">
        <v>113</v>
      </c>
      <c r="M6" s="69" t="s">
        <v>92</v>
      </c>
    </row>
    <row r="7" spans="1:13" ht="12.75" customHeight="1">
      <c r="B7" s="71">
        <f t="shared" si="1"/>
        <v>3</v>
      </c>
      <c r="C7" s="198" t="s">
        <v>18</v>
      </c>
      <c r="D7" s="71" t="s">
        <v>106</v>
      </c>
      <c r="E7" s="198" t="s">
        <v>107</v>
      </c>
      <c r="F7" s="73" t="s">
        <v>114</v>
      </c>
      <c r="G7" s="143" t="s">
        <v>109</v>
      </c>
      <c r="H7" s="150">
        <f t="shared" si="0"/>
        <v>0</v>
      </c>
      <c r="I7" s="152"/>
      <c r="J7" s="73"/>
      <c r="K7" s="163"/>
      <c r="L7" s="149" t="s">
        <v>115</v>
      </c>
      <c r="M7" s="69" t="s">
        <v>92</v>
      </c>
    </row>
    <row r="8" spans="1:13" ht="12.75" customHeight="1">
      <c r="B8" s="71">
        <f t="shared" si="1"/>
        <v>4</v>
      </c>
      <c r="C8" s="198" t="s">
        <v>18</v>
      </c>
      <c r="D8" s="186" t="s">
        <v>116</v>
      </c>
      <c r="E8" s="198" t="s">
        <v>107</v>
      </c>
      <c r="F8" s="159" t="s">
        <v>117</v>
      </c>
      <c r="G8" s="143" t="s">
        <v>112</v>
      </c>
      <c r="H8" s="150">
        <f t="shared" si="0"/>
        <v>16.7</v>
      </c>
      <c r="I8" s="152"/>
      <c r="J8" s="73"/>
      <c r="K8" s="148">
        <v>16.7</v>
      </c>
      <c r="L8" s="164" t="s">
        <v>118</v>
      </c>
      <c r="M8" s="69" t="s">
        <v>92</v>
      </c>
    </row>
    <row r="9" spans="1:13" ht="12.75" customHeight="1">
      <c r="B9" s="71">
        <f t="shared" si="1"/>
        <v>5</v>
      </c>
      <c r="C9" s="198" t="s">
        <v>18</v>
      </c>
      <c r="D9" s="209" t="s">
        <v>119</v>
      </c>
      <c r="E9" s="198" t="s">
        <v>107</v>
      </c>
      <c r="F9" s="4" t="s">
        <v>120</v>
      </c>
      <c r="G9" s="143" t="s">
        <v>112</v>
      </c>
      <c r="H9" s="155">
        <f t="shared" si="0"/>
        <v>55</v>
      </c>
      <c r="I9" s="152"/>
      <c r="J9" s="189" t="s">
        <v>121</v>
      </c>
      <c r="K9" s="264">
        <v>55</v>
      </c>
      <c r="L9" s="189" t="s">
        <v>122</v>
      </c>
      <c r="M9" s="69" t="s">
        <v>92</v>
      </c>
    </row>
    <row r="10" spans="1:13" ht="12.75" customHeight="1">
      <c r="B10" s="71">
        <f t="shared" si="1"/>
        <v>6</v>
      </c>
      <c r="C10" s="198" t="s">
        <v>18</v>
      </c>
      <c r="D10" s="198" t="s">
        <v>123</v>
      </c>
      <c r="E10" s="198" t="s">
        <v>124</v>
      </c>
      <c r="F10" s="73" t="s">
        <v>125</v>
      </c>
      <c r="G10" s="143" t="s">
        <v>112</v>
      </c>
      <c r="H10" s="150">
        <f t="shared" si="0"/>
        <v>3</v>
      </c>
      <c r="I10" s="152"/>
      <c r="J10" s="73"/>
      <c r="K10" s="264">
        <v>3</v>
      </c>
      <c r="L10" s="265" t="s">
        <v>126</v>
      </c>
      <c r="M10" s="69" t="s">
        <v>92</v>
      </c>
    </row>
    <row r="11" spans="1:13" ht="12.75" customHeight="1">
      <c r="B11" s="71">
        <f t="shared" si="1"/>
        <v>7</v>
      </c>
      <c r="C11" s="198" t="s">
        <v>18</v>
      </c>
      <c r="D11" s="71" t="s">
        <v>106</v>
      </c>
      <c r="E11" s="198" t="s">
        <v>127</v>
      </c>
      <c r="F11" s="149" t="s">
        <v>128</v>
      </c>
      <c r="G11" s="143" t="s">
        <v>129</v>
      </c>
      <c r="H11" s="150">
        <f t="shared" si="0"/>
        <v>0</v>
      </c>
      <c r="I11" s="152"/>
      <c r="J11" s="73"/>
      <c r="K11" s="238"/>
      <c r="L11" s="267" t="s">
        <v>130</v>
      </c>
    </row>
    <row r="12" spans="1:13" ht="12.75" customHeight="1">
      <c r="B12" s="71">
        <f t="shared" si="1"/>
        <v>8</v>
      </c>
      <c r="C12" s="198" t="s">
        <v>18</v>
      </c>
      <c r="D12" s="71" t="s">
        <v>106</v>
      </c>
      <c r="E12" s="198" t="s">
        <v>127</v>
      </c>
      <c r="F12" s="159" t="s">
        <v>131</v>
      </c>
      <c r="G12" s="143" t="s">
        <v>112</v>
      </c>
      <c r="H12" s="150">
        <f t="shared" si="0"/>
        <v>0</v>
      </c>
      <c r="I12" s="152"/>
      <c r="J12" s="73"/>
      <c r="K12" s="148"/>
      <c r="L12" s="149" t="s">
        <v>132</v>
      </c>
      <c r="M12" s="69" t="s">
        <v>92</v>
      </c>
    </row>
    <row r="13" spans="1:13" ht="12.75" customHeight="1">
      <c r="B13" s="71">
        <f t="shared" si="1"/>
        <v>9</v>
      </c>
      <c r="C13" s="198" t="s">
        <v>18</v>
      </c>
      <c r="D13" s="71" t="s">
        <v>106</v>
      </c>
      <c r="E13" s="198" t="s">
        <v>127</v>
      </c>
      <c r="F13" s="159" t="s">
        <v>133</v>
      </c>
      <c r="G13" s="143" t="s">
        <v>112</v>
      </c>
      <c r="H13" s="150">
        <f t="shared" si="0"/>
        <v>0</v>
      </c>
      <c r="I13" s="152"/>
      <c r="J13" s="73"/>
      <c r="K13" s="148"/>
      <c r="L13" s="149" t="s">
        <v>132</v>
      </c>
      <c r="M13" s="69" t="s">
        <v>92</v>
      </c>
    </row>
    <row r="14" spans="1:13" ht="12.75" customHeight="1">
      <c r="B14" s="71">
        <f t="shared" si="1"/>
        <v>10</v>
      </c>
      <c r="C14" s="198" t="s">
        <v>18</v>
      </c>
      <c r="D14" s="186" t="s">
        <v>116</v>
      </c>
      <c r="E14" s="198" t="s">
        <v>127</v>
      </c>
      <c r="F14" s="276" t="s">
        <v>134</v>
      </c>
      <c r="G14" s="143" t="s">
        <v>112</v>
      </c>
      <c r="H14" s="155" t="e">
        <f t="shared" si="0"/>
        <v>#DIV/0!</v>
      </c>
      <c r="I14" s="156"/>
      <c r="J14" s="73"/>
      <c r="K14" s="237" t="e">
        <f>'仮定値算定シート（ルート1）'!G12</f>
        <v>#DIV/0!</v>
      </c>
      <c r="L14" s="267" t="s">
        <v>130</v>
      </c>
      <c r="M14" s="69" t="s">
        <v>92</v>
      </c>
    </row>
    <row r="15" spans="1:13" ht="12.75" customHeight="1">
      <c r="B15" s="71">
        <f t="shared" si="1"/>
        <v>11</v>
      </c>
      <c r="C15" s="198" t="s">
        <v>18</v>
      </c>
      <c r="D15" s="186" t="s">
        <v>116</v>
      </c>
      <c r="E15" s="198" t="s">
        <v>127</v>
      </c>
      <c r="F15" s="276" t="s">
        <v>135</v>
      </c>
      <c r="G15" s="143" t="s">
        <v>112</v>
      </c>
      <c r="H15" s="155" t="e">
        <f t="shared" si="0"/>
        <v>#DIV/0!</v>
      </c>
      <c r="I15" s="156"/>
      <c r="J15" s="73"/>
      <c r="K15" s="237" t="e">
        <f>'仮定値算定シート（ルート1）'!G16</f>
        <v>#DIV/0!</v>
      </c>
      <c r="L15" s="267" t="s">
        <v>130</v>
      </c>
      <c r="M15" s="69" t="s">
        <v>92</v>
      </c>
    </row>
    <row r="16" spans="1:13" ht="12.75" customHeight="1">
      <c r="B16" s="71">
        <f t="shared" si="1"/>
        <v>12</v>
      </c>
      <c r="C16" s="198" t="s">
        <v>18</v>
      </c>
      <c r="D16" s="209" t="s">
        <v>119</v>
      </c>
      <c r="E16" s="198" t="s">
        <v>127</v>
      </c>
      <c r="F16" s="276" t="s">
        <v>136</v>
      </c>
      <c r="G16" s="143" t="s">
        <v>112</v>
      </c>
      <c r="H16" s="155">
        <f t="shared" si="0"/>
        <v>55</v>
      </c>
      <c r="I16" s="156"/>
      <c r="J16" s="189" t="s">
        <v>137</v>
      </c>
      <c r="K16" s="264">
        <v>55</v>
      </c>
      <c r="L16" s="189" t="s">
        <v>138</v>
      </c>
      <c r="M16" s="69" t="s">
        <v>92</v>
      </c>
    </row>
    <row r="17" spans="2:13" ht="12.75" customHeight="1">
      <c r="B17" s="71">
        <f t="shared" si="1"/>
        <v>13</v>
      </c>
      <c r="C17" s="71" t="s">
        <v>21</v>
      </c>
      <c r="D17" s="71" t="s">
        <v>106</v>
      </c>
      <c r="E17" s="198" t="s">
        <v>107</v>
      </c>
      <c r="F17" s="73" t="s">
        <v>139</v>
      </c>
      <c r="G17" s="143" t="s">
        <v>140</v>
      </c>
      <c r="H17" s="150">
        <f t="shared" si="0"/>
        <v>0</v>
      </c>
      <c r="I17" s="152"/>
      <c r="J17" s="73"/>
      <c r="K17" s="163"/>
      <c r="L17" s="175" t="s">
        <v>141</v>
      </c>
      <c r="M17" s="69" t="s">
        <v>92</v>
      </c>
    </row>
    <row r="18" spans="2:13" ht="12.75" customHeight="1">
      <c r="B18" s="71">
        <f t="shared" si="1"/>
        <v>14</v>
      </c>
      <c r="C18" s="71" t="s">
        <v>21</v>
      </c>
      <c r="D18" s="71" t="s">
        <v>106</v>
      </c>
      <c r="E18" s="198" t="s">
        <v>107</v>
      </c>
      <c r="F18" s="159" t="s">
        <v>142</v>
      </c>
      <c r="G18" s="143" t="s">
        <v>143</v>
      </c>
      <c r="H18" s="150">
        <f t="shared" si="0"/>
        <v>0</v>
      </c>
      <c r="I18" s="152"/>
      <c r="J18" s="73"/>
      <c r="K18" s="163"/>
      <c r="L18" s="175" t="s">
        <v>144</v>
      </c>
      <c r="M18" s="69" t="s">
        <v>92</v>
      </c>
    </row>
    <row r="19" spans="2:13" ht="12.75" customHeight="1">
      <c r="B19" s="71">
        <f t="shared" si="1"/>
        <v>15</v>
      </c>
      <c r="C19" s="71" t="s">
        <v>21</v>
      </c>
      <c r="D19" s="71" t="s">
        <v>106</v>
      </c>
      <c r="E19" s="198" t="s">
        <v>127</v>
      </c>
      <c r="F19" s="73" t="s">
        <v>145</v>
      </c>
      <c r="G19" s="143" t="s">
        <v>143</v>
      </c>
      <c r="H19" s="150">
        <f t="shared" si="0"/>
        <v>0</v>
      </c>
      <c r="I19" s="152"/>
      <c r="J19" s="73"/>
      <c r="K19" s="163"/>
      <c r="L19" s="175" t="s">
        <v>146</v>
      </c>
      <c r="M19" s="69" t="s">
        <v>92</v>
      </c>
    </row>
    <row r="20" spans="2:13" ht="12.75" customHeight="1">
      <c r="B20" s="71">
        <f t="shared" si="1"/>
        <v>16</v>
      </c>
      <c r="C20" s="71" t="s">
        <v>21</v>
      </c>
      <c r="D20" s="74" t="s">
        <v>106</v>
      </c>
      <c r="E20" s="199" t="s">
        <v>127</v>
      </c>
      <c r="F20" s="73" t="s">
        <v>147</v>
      </c>
      <c r="G20" s="143" t="s">
        <v>143</v>
      </c>
      <c r="H20" s="150">
        <f t="shared" si="0"/>
        <v>0</v>
      </c>
      <c r="I20" s="152"/>
      <c r="J20" s="73"/>
      <c r="K20" s="163"/>
      <c r="L20" s="159" t="s">
        <v>148</v>
      </c>
      <c r="M20" s="69" t="s">
        <v>92</v>
      </c>
    </row>
    <row r="21" spans="2:13" ht="12.75" customHeight="1">
      <c r="B21" s="71">
        <f t="shared" si="1"/>
        <v>17</v>
      </c>
      <c r="C21" s="71" t="s">
        <v>21</v>
      </c>
      <c r="D21" s="71" t="s">
        <v>106</v>
      </c>
      <c r="E21" s="266" t="s">
        <v>124</v>
      </c>
      <c r="F21" s="267" t="s">
        <v>149</v>
      </c>
      <c r="G21" s="144" t="s">
        <v>150</v>
      </c>
      <c r="H21" s="268">
        <f t="shared" si="0"/>
        <v>10.35</v>
      </c>
      <c r="I21" s="154"/>
      <c r="J21" s="3"/>
      <c r="K21" s="204">
        <v>10.35</v>
      </c>
      <c r="L21" s="267" t="s">
        <v>151</v>
      </c>
      <c r="M21" s="69" t="s">
        <v>92</v>
      </c>
    </row>
    <row r="22" spans="2:13" ht="12.75" customHeight="1">
      <c r="B22" s="71">
        <f t="shared" si="1"/>
        <v>18</v>
      </c>
      <c r="C22" s="71" t="s">
        <v>21</v>
      </c>
      <c r="D22" s="71" t="s">
        <v>106</v>
      </c>
      <c r="E22" s="198" t="s">
        <v>124</v>
      </c>
      <c r="F22" s="176" t="s">
        <v>152</v>
      </c>
      <c r="G22" s="143" t="s">
        <v>153</v>
      </c>
      <c r="H22" s="178">
        <f t="shared" si="0"/>
        <v>2.62</v>
      </c>
      <c r="I22" s="152"/>
      <c r="J22" s="73"/>
      <c r="K22" s="179">
        <v>2.62</v>
      </c>
      <c r="L22" s="175" t="s">
        <v>154</v>
      </c>
      <c r="M22" s="69" t="s">
        <v>92</v>
      </c>
    </row>
    <row r="23" spans="2:13" ht="12.75" customHeight="1">
      <c r="B23" s="71">
        <f t="shared" si="1"/>
        <v>19</v>
      </c>
      <c r="C23" s="71" t="s">
        <v>21</v>
      </c>
      <c r="D23" s="186" t="s">
        <v>116</v>
      </c>
      <c r="E23" s="186" t="s">
        <v>107</v>
      </c>
      <c r="F23" s="187" t="s">
        <v>155</v>
      </c>
      <c r="G23" s="144" t="s">
        <v>156</v>
      </c>
      <c r="H23" s="153" t="e">
        <f t="shared" si="0"/>
        <v>#DIV/0!</v>
      </c>
      <c r="I23" s="154"/>
      <c r="J23" s="3"/>
      <c r="K23" s="158" t="e">
        <f>'仮定値算定シート（ルート1）'!G40</f>
        <v>#DIV/0!</v>
      </c>
      <c r="L23" s="277" t="s">
        <v>130</v>
      </c>
      <c r="M23" s="69" t="s">
        <v>92</v>
      </c>
    </row>
    <row r="24" spans="2:13" ht="12.75" customHeight="1">
      <c r="B24" s="71">
        <f t="shared" si="1"/>
        <v>20</v>
      </c>
      <c r="C24" s="71" t="s">
        <v>21</v>
      </c>
      <c r="D24" s="186" t="s">
        <v>116</v>
      </c>
      <c r="E24" s="186" t="s">
        <v>107</v>
      </c>
      <c r="F24" s="187" t="s">
        <v>157</v>
      </c>
      <c r="G24" s="144" t="s">
        <v>156</v>
      </c>
      <c r="H24" s="153" t="e">
        <f t="shared" si="0"/>
        <v>#DIV/0!</v>
      </c>
      <c r="I24" s="154"/>
      <c r="J24" s="3"/>
      <c r="K24" s="158" t="e">
        <f>'仮定値算定シート（ルート1）'!G64</f>
        <v>#DIV/0!</v>
      </c>
      <c r="L24" s="277" t="s">
        <v>130</v>
      </c>
      <c r="M24" s="69" t="s">
        <v>92</v>
      </c>
    </row>
    <row r="25" spans="2:13" ht="12.75" customHeight="1">
      <c r="B25" s="71">
        <f t="shared" si="1"/>
        <v>21</v>
      </c>
      <c r="C25" s="71" t="s">
        <v>21</v>
      </c>
      <c r="D25" s="188" t="s">
        <v>116</v>
      </c>
      <c r="E25" s="188" t="s">
        <v>124</v>
      </c>
      <c r="F25" s="189" t="s">
        <v>158</v>
      </c>
      <c r="G25" s="193" t="s">
        <v>159</v>
      </c>
      <c r="H25" s="191">
        <f t="shared" si="0"/>
        <v>4.2900000000000002E-4</v>
      </c>
      <c r="I25" s="324"/>
      <c r="J25" s="4"/>
      <c r="K25" s="190">
        <v>4.2900000000000002E-4</v>
      </c>
      <c r="L25" s="195" t="s">
        <v>160</v>
      </c>
      <c r="M25" s="69" t="s">
        <v>92</v>
      </c>
    </row>
    <row r="26" spans="2:13" ht="12.75" customHeight="1">
      <c r="B26" s="71">
        <f t="shared" si="1"/>
        <v>22</v>
      </c>
      <c r="C26" s="71" t="s">
        <v>21</v>
      </c>
      <c r="D26" s="210" t="s">
        <v>161</v>
      </c>
      <c r="E26" s="200" t="s">
        <v>124</v>
      </c>
      <c r="F26" s="175" t="s">
        <v>162</v>
      </c>
      <c r="G26" s="145" t="s">
        <v>163</v>
      </c>
      <c r="H26" s="201">
        <f t="shared" si="0"/>
        <v>6</v>
      </c>
      <c r="I26" s="202"/>
      <c r="J26" s="4"/>
      <c r="K26" s="203">
        <v>6</v>
      </c>
      <c r="L26" s="165" t="s">
        <v>164</v>
      </c>
      <c r="M26" s="69" t="s">
        <v>92</v>
      </c>
    </row>
    <row r="27" spans="2:13" ht="12.75" customHeight="1">
      <c r="B27" s="71">
        <f t="shared" si="1"/>
        <v>23</v>
      </c>
      <c r="C27" s="71" t="s">
        <v>21</v>
      </c>
      <c r="D27" s="71" t="s">
        <v>161</v>
      </c>
      <c r="E27" s="200" t="s">
        <v>107</v>
      </c>
      <c r="F27" s="175" t="s">
        <v>165</v>
      </c>
      <c r="G27" s="145" t="s">
        <v>166</v>
      </c>
      <c r="H27" s="201">
        <f t="shared" si="0"/>
        <v>0</v>
      </c>
      <c r="I27" s="156"/>
      <c r="J27" s="4"/>
      <c r="K27" s="208"/>
      <c r="L27" s="187" t="s">
        <v>167</v>
      </c>
      <c r="M27" s="69" t="s">
        <v>92</v>
      </c>
    </row>
    <row r="28" spans="2:13" ht="12.75" customHeight="1">
      <c r="B28" s="71">
        <f t="shared" si="1"/>
        <v>24</v>
      </c>
      <c r="C28" s="71" t="s">
        <v>21</v>
      </c>
      <c r="D28" s="71" t="s">
        <v>161</v>
      </c>
      <c r="E28" s="200" t="s">
        <v>127</v>
      </c>
      <c r="F28" s="175" t="s">
        <v>168</v>
      </c>
      <c r="G28" s="145" t="s">
        <v>166</v>
      </c>
      <c r="H28" s="201">
        <f t="shared" si="0"/>
        <v>0</v>
      </c>
      <c r="I28" s="156"/>
      <c r="J28" s="4"/>
      <c r="K28" s="208"/>
      <c r="L28" s="187" t="s">
        <v>167</v>
      </c>
      <c r="M28" s="69" t="s">
        <v>92</v>
      </c>
    </row>
    <row r="29" spans="2:13" ht="12.75" customHeight="1">
      <c r="B29" s="71">
        <f t="shared" si="1"/>
        <v>25</v>
      </c>
      <c r="C29" s="71" t="s">
        <v>21</v>
      </c>
      <c r="D29" s="71" t="s">
        <v>161</v>
      </c>
      <c r="E29" s="200" t="s">
        <v>124</v>
      </c>
      <c r="F29" s="75" t="s">
        <v>169</v>
      </c>
      <c r="G29" s="194" t="s">
        <v>170</v>
      </c>
      <c r="H29" s="201">
        <f t="shared" si="0"/>
        <v>4.1500000000000004</v>
      </c>
      <c r="I29" s="156"/>
      <c r="J29" s="4"/>
      <c r="K29" s="204">
        <v>4.1500000000000004</v>
      </c>
      <c r="L29" s="3" t="s">
        <v>171</v>
      </c>
      <c r="M29" s="69" t="s">
        <v>92</v>
      </c>
    </row>
    <row r="30" spans="2:13" ht="12.75" customHeight="1">
      <c r="B30" s="71">
        <f t="shared" si="1"/>
        <v>26</v>
      </c>
      <c r="C30" s="71" t="s">
        <v>21</v>
      </c>
      <c r="D30" s="71" t="s">
        <v>161</v>
      </c>
      <c r="E30" s="198" t="s">
        <v>124</v>
      </c>
      <c r="F30" s="73" t="s">
        <v>172</v>
      </c>
      <c r="G30" s="73" t="s">
        <v>173</v>
      </c>
      <c r="H30" s="201">
        <f t="shared" si="0"/>
        <v>2.62</v>
      </c>
      <c r="I30" s="156"/>
      <c r="J30" s="4"/>
      <c r="K30" s="204">
        <v>2.62</v>
      </c>
      <c r="L30" s="3" t="s">
        <v>174</v>
      </c>
      <c r="M30" s="69" t="s">
        <v>92</v>
      </c>
    </row>
    <row r="31" spans="2:13" ht="12.75" customHeight="1">
      <c r="B31" s="71">
        <f t="shared" si="1"/>
        <v>27</v>
      </c>
      <c r="C31" s="71" t="s">
        <v>21</v>
      </c>
      <c r="D31" s="210" t="s">
        <v>175</v>
      </c>
      <c r="E31" s="198" t="s">
        <v>124</v>
      </c>
      <c r="F31" s="189" t="s">
        <v>176</v>
      </c>
      <c r="G31" s="145" t="s">
        <v>177</v>
      </c>
      <c r="H31" s="155">
        <f t="shared" ref="H31:H34" si="2">IF($I31="",$K31,$I31)</f>
        <v>0</v>
      </c>
      <c r="I31" s="156"/>
      <c r="J31" s="4"/>
      <c r="K31" s="208"/>
      <c r="L31" s="175" t="s">
        <v>178</v>
      </c>
      <c r="M31" s="69" t="s">
        <v>92</v>
      </c>
    </row>
    <row r="32" spans="2:13" ht="12.75" customHeight="1">
      <c r="B32" s="71">
        <f t="shared" si="1"/>
        <v>28</v>
      </c>
      <c r="C32" s="71" t="s">
        <v>21</v>
      </c>
      <c r="D32" s="210" t="s">
        <v>175</v>
      </c>
      <c r="E32" s="198" t="s">
        <v>124</v>
      </c>
      <c r="F32" s="189" t="s">
        <v>179</v>
      </c>
      <c r="G32" s="145" t="s">
        <v>180</v>
      </c>
      <c r="H32" s="155">
        <f t="shared" si="2"/>
        <v>0</v>
      </c>
      <c r="I32" s="156"/>
      <c r="J32" s="4"/>
      <c r="K32" s="238"/>
      <c r="L32" s="175" t="s">
        <v>181</v>
      </c>
      <c r="M32" s="69" t="s">
        <v>92</v>
      </c>
    </row>
    <row r="33" spans="2:13" ht="12.75" customHeight="1">
      <c r="B33" s="71">
        <f t="shared" si="1"/>
        <v>29</v>
      </c>
      <c r="C33" s="71" t="s">
        <v>21</v>
      </c>
      <c r="D33" s="210" t="s">
        <v>175</v>
      </c>
      <c r="E33" s="200" t="s">
        <v>124</v>
      </c>
      <c r="F33" s="75" t="s">
        <v>169</v>
      </c>
      <c r="G33" s="194" t="s">
        <v>170</v>
      </c>
      <c r="H33" s="201">
        <f t="shared" si="2"/>
        <v>4.1500000000000004</v>
      </c>
      <c r="I33" s="156"/>
      <c r="J33" s="4"/>
      <c r="K33" s="204">
        <v>4.1500000000000004</v>
      </c>
      <c r="L33" s="3" t="s">
        <v>171</v>
      </c>
      <c r="M33" s="69" t="s">
        <v>92</v>
      </c>
    </row>
    <row r="34" spans="2:13" ht="12.75" customHeight="1">
      <c r="B34" s="71">
        <f t="shared" si="1"/>
        <v>30</v>
      </c>
      <c r="C34" s="71" t="s">
        <v>21</v>
      </c>
      <c r="D34" s="210" t="s">
        <v>175</v>
      </c>
      <c r="E34" s="198" t="s">
        <v>124</v>
      </c>
      <c r="F34" s="73" t="s">
        <v>172</v>
      </c>
      <c r="G34" s="73" t="s">
        <v>173</v>
      </c>
      <c r="H34" s="201">
        <f t="shared" si="2"/>
        <v>2.62</v>
      </c>
      <c r="I34" s="156"/>
      <c r="J34" s="4"/>
      <c r="K34" s="204">
        <v>2.62</v>
      </c>
      <c r="L34" s="3" t="s">
        <v>174</v>
      </c>
      <c r="M34" s="69" t="s">
        <v>92</v>
      </c>
    </row>
    <row r="35" spans="2:13" ht="12.75" customHeight="1">
      <c r="B35" s="71">
        <f t="shared" si="1"/>
        <v>31</v>
      </c>
      <c r="C35" s="71" t="s">
        <v>21</v>
      </c>
      <c r="D35" s="188" t="s">
        <v>182</v>
      </c>
      <c r="E35" s="198" t="s">
        <v>107</v>
      </c>
      <c r="F35" s="189" t="s">
        <v>183</v>
      </c>
      <c r="G35" s="145" t="s">
        <v>184</v>
      </c>
      <c r="H35" s="201">
        <f t="shared" ref="H35:H58" si="3">IF($I35="",$K35,$I35)</f>
        <v>0</v>
      </c>
      <c r="I35" s="202"/>
      <c r="J35" s="4"/>
      <c r="K35" s="158"/>
      <c r="L35" s="277" t="s">
        <v>130</v>
      </c>
      <c r="M35" s="69" t="s">
        <v>92</v>
      </c>
    </row>
    <row r="36" spans="2:13" ht="12.75" customHeight="1">
      <c r="B36" s="71">
        <f t="shared" si="1"/>
        <v>32</v>
      </c>
      <c r="C36" s="71" t="s">
        <v>21</v>
      </c>
      <c r="D36" s="188" t="s">
        <v>182</v>
      </c>
      <c r="E36" s="198" t="s">
        <v>107</v>
      </c>
      <c r="F36" s="189" t="s">
        <v>185</v>
      </c>
      <c r="G36" s="145" t="s">
        <v>184</v>
      </c>
      <c r="H36" s="201">
        <f t="shared" si="3"/>
        <v>0</v>
      </c>
      <c r="I36" s="202"/>
      <c r="J36" s="231" t="s">
        <v>186</v>
      </c>
      <c r="K36" s="158"/>
      <c r="L36" s="277" t="s">
        <v>187</v>
      </c>
      <c r="M36" s="69" t="s">
        <v>92</v>
      </c>
    </row>
    <row r="37" spans="2:13" ht="12.75" customHeight="1">
      <c r="B37" s="71">
        <f t="shared" si="1"/>
        <v>33</v>
      </c>
      <c r="C37" s="71" t="s">
        <v>21</v>
      </c>
      <c r="D37" s="188" t="s">
        <v>182</v>
      </c>
      <c r="E37" s="198" t="s">
        <v>107</v>
      </c>
      <c r="F37" s="231" t="s">
        <v>188</v>
      </c>
      <c r="G37" s="232" t="s">
        <v>112</v>
      </c>
      <c r="H37" s="201">
        <f t="shared" si="3"/>
        <v>40.4</v>
      </c>
      <c r="I37" s="202"/>
      <c r="J37" s="189" t="s">
        <v>189</v>
      </c>
      <c r="K37" s="279">
        <v>40.4</v>
      </c>
      <c r="L37" s="277" t="s">
        <v>190</v>
      </c>
      <c r="M37" s="69" t="s">
        <v>92</v>
      </c>
    </row>
    <row r="38" spans="2:13" ht="12.75" customHeight="1">
      <c r="B38" s="71">
        <f t="shared" si="1"/>
        <v>34</v>
      </c>
      <c r="C38" s="71" t="s">
        <v>21</v>
      </c>
      <c r="D38" s="188" t="s">
        <v>182</v>
      </c>
      <c r="E38" s="198" t="s">
        <v>127</v>
      </c>
      <c r="F38" s="189" t="s">
        <v>191</v>
      </c>
      <c r="G38" s="145" t="s">
        <v>184</v>
      </c>
      <c r="H38" s="201">
        <f t="shared" si="3"/>
        <v>0</v>
      </c>
      <c r="I38" s="202"/>
      <c r="J38" s="4"/>
      <c r="K38" s="158"/>
      <c r="L38" s="277" t="s">
        <v>130</v>
      </c>
      <c r="M38" s="69" t="s">
        <v>92</v>
      </c>
    </row>
    <row r="39" spans="2:13" ht="12.75" customHeight="1">
      <c r="B39" s="71">
        <f t="shared" si="1"/>
        <v>35</v>
      </c>
      <c r="C39" s="71" t="s">
        <v>21</v>
      </c>
      <c r="D39" s="188" t="s">
        <v>182</v>
      </c>
      <c r="E39" s="198" t="s">
        <v>127</v>
      </c>
      <c r="F39" s="189" t="s">
        <v>192</v>
      </c>
      <c r="G39" s="145" t="s">
        <v>184</v>
      </c>
      <c r="H39" s="201">
        <f t="shared" si="3"/>
        <v>0</v>
      </c>
      <c r="I39" s="202"/>
      <c r="J39" s="231" t="s">
        <v>186</v>
      </c>
      <c r="K39" s="158"/>
      <c r="L39" s="277" t="s">
        <v>187</v>
      </c>
      <c r="M39" s="69" t="s">
        <v>92</v>
      </c>
    </row>
    <row r="40" spans="2:13" ht="12.75" customHeight="1">
      <c r="B40" s="71">
        <f t="shared" si="1"/>
        <v>36</v>
      </c>
      <c r="C40" s="71" t="s">
        <v>21</v>
      </c>
      <c r="D40" s="188" t="s">
        <v>182</v>
      </c>
      <c r="E40" s="198" t="s">
        <v>127</v>
      </c>
      <c r="F40" s="231" t="s">
        <v>193</v>
      </c>
      <c r="G40" s="232" t="s">
        <v>112</v>
      </c>
      <c r="H40" s="201">
        <f t="shared" si="3"/>
        <v>40.4</v>
      </c>
      <c r="I40" s="202"/>
      <c r="J40" s="189" t="s">
        <v>189</v>
      </c>
      <c r="K40" s="279">
        <v>40.4</v>
      </c>
      <c r="L40" s="277" t="s">
        <v>190</v>
      </c>
      <c r="M40" s="69" t="s">
        <v>92</v>
      </c>
    </row>
    <row r="41" spans="2:13" ht="12.75" customHeight="1">
      <c r="B41" s="71">
        <f t="shared" si="1"/>
        <v>37</v>
      </c>
      <c r="C41" s="71" t="s">
        <v>21</v>
      </c>
      <c r="D41" s="71" t="s">
        <v>194</v>
      </c>
      <c r="E41" s="198" t="s">
        <v>107</v>
      </c>
      <c r="F41" s="189" t="s">
        <v>195</v>
      </c>
      <c r="G41" s="145" t="s">
        <v>177</v>
      </c>
      <c r="H41" s="155">
        <f t="shared" si="3"/>
        <v>0</v>
      </c>
      <c r="I41" s="156"/>
      <c r="J41" s="4"/>
      <c r="K41" s="208"/>
      <c r="L41" s="175" t="s">
        <v>110</v>
      </c>
      <c r="M41" s="69" t="s">
        <v>92</v>
      </c>
    </row>
    <row r="42" spans="2:13" ht="12.75" customHeight="1">
      <c r="B42" s="71">
        <f t="shared" si="1"/>
        <v>38</v>
      </c>
      <c r="C42" s="71" t="s">
        <v>21</v>
      </c>
      <c r="D42" s="71" t="s">
        <v>194</v>
      </c>
      <c r="E42" s="198" t="s">
        <v>107</v>
      </c>
      <c r="F42" s="189" t="s">
        <v>196</v>
      </c>
      <c r="G42" s="145" t="s">
        <v>180</v>
      </c>
      <c r="H42" s="155">
        <f t="shared" si="3"/>
        <v>0</v>
      </c>
      <c r="I42" s="156"/>
      <c r="J42" s="4"/>
      <c r="K42" s="208"/>
      <c r="L42" s="175" t="s">
        <v>197</v>
      </c>
      <c r="M42" s="69" t="s">
        <v>92</v>
      </c>
    </row>
    <row r="43" spans="2:13" ht="12.75" customHeight="1">
      <c r="B43" s="71">
        <f t="shared" si="1"/>
        <v>39</v>
      </c>
      <c r="C43" s="71" t="s">
        <v>21</v>
      </c>
      <c r="D43" s="71" t="s">
        <v>194</v>
      </c>
      <c r="E43" s="198" t="s">
        <v>127</v>
      </c>
      <c r="F43" s="189" t="s">
        <v>198</v>
      </c>
      <c r="G43" s="145" t="s">
        <v>177</v>
      </c>
      <c r="H43" s="155">
        <f t="shared" si="3"/>
        <v>0</v>
      </c>
      <c r="I43" s="156"/>
      <c r="J43" s="4"/>
      <c r="K43" s="238"/>
      <c r="L43" s="175" t="s">
        <v>199</v>
      </c>
      <c r="M43" s="69" t="s">
        <v>92</v>
      </c>
    </row>
    <row r="44" spans="2:13" ht="12.75" customHeight="1">
      <c r="B44" s="71">
        <f t="shared" si="1"/>
        <v>40</v>
      </c>
      <c r="C44" s="71" t="s">
        <v>21</v>
      </c>
      <c r="D44" s="71" t="s">
        <v>194</v>
      </c>
      <c r="E44" s="198" t="s">
        <v>127</v>
      </c>
      <c r="F44" s="189" t="s">
        <v>200</v>
      </c>
      <c r="G44" s="145" t="s">
        <v>180</v>
      </c>
      <c r="H44" s="155">
        <f t="shared" si="3"/>
        <v>0</v>
      </c>
      <c r="I44" s="156"/>
      <c r="J44" s="4"/>
      <c r="K44" s="238"/>
      <c r="L44" s="175" t="s">
        <v>201</v>
      </c>
      <c r="M44" s="69" t="s">
        <v>92</v>
      </c>
    </row>
    <row r="45" spans="2:13" ht="12.75" customHeight="1">
      <c r="B45" s="71">
        <f t="shared" si="1"/>
        <v>41</v>
      </c>
      <c r="C45" s="71" t="s">
        <v>21</v>
      </c>
      <c r="D45" s="71" t="s">
        <v>202</v>
      </c>
      <c r="E45" s="200" t="s">
        <v>124</v>
      </c>
      <c r="F45" s="75" t="s">
        <v>169</v>
      </c>
      <c r="G45" s="194" t="s">
        <v>170</v>
      </c>
      <c r="H45" s="201">
        <f t="shared" si="3"/>
        <v>4.1500000000000004</v>
      </c>
      <c r="I45" s="156"/>
      <c r="J45" s="4"/>
      <c r="K45" s="204">
        <v>4.1500000000000004</v>
      </c>
      <c r="L45" s="3" t="s">
        <v>171</v>
      </c>
      <c r="M45" s="69" t="s">
        <v>92</v>
      </c>
    </row>
    <row r="46" spans="2:13" ht="12.75" customHeight="1">
      <c r="B46" s="71">
        <f t="shared" si="1"/>
        <v>42</v>
      </c>
      <c r="C46" s="71" t="s">
        <v>21</v>
      </c>
      <c r="D46" s="71" t="s">
        <v>202</v>
      </c>
      <c r="E46" s="198" t="s">
        <v>124</v>
      </c>
      <c r="F46" s="73" t="s">
        <v>172</v>
      </c>
      <c r="G46" s="73" t="s">
        <v>173</v>
      </c>
      <c r="H46" s="201">
        <f t="shared" si="3"/>
        <v>2.62</v>
      </c>
      <c r="I46" s="156"/>
      <c r="J46" s="4"/>
      <c r="K46" s="204">
        <v>2.62</v>
      </c>
      <c r="L46" s="3" t="s">
        <v>174</v>
      </c>
      <c r="M46" s="69" t="s">
        <v>92</v>
      </c>
    </row>
    <row r="47" spans="2:13" ht="12.75" customHeight="1">
      <c r="B47" s="71">
        <f t="shared" si="1"/>
        <v>43</v>
      </c>
      <c r="C47" s="71" t="s">
        <v>21</v>
      </c>
      <c r="D47" s="188" t="s">
        <v>123</v>
      </c>
      <c r="E47" s="198" t="s">
        <v>124</v>
      </c>
      <c r="F47" s="159" t="s">
        <v>203</v>
      </c>
      <c r="G47" s="145" t="s">
        <v>184</v>
      </c>
      <c r="H47" s="201">
        <f t="shared" si="3"/>
        <v>2.7</v>
      </c>
      <c r="I47" s="202"/>
      <c r="J47" s="4"/>
      <c r="K47" s="204">
        <v>2.7</v>
      </c>
      <c r="L47" s="216" t="s">
        <v>204</v>
      </c>
      <c r="M47" s="69" t="s">
        <v>92</v>
      </c>
    </row>
    <row r="48" spans="2:13" ht="12.75" customHeight="1">
      <c r="B48" s="71">
        <f t="shared" si="1"/>
        <v>44</v>
      </c>
      <c r="C48" s="71" t="s">
        <v>21</v>
      </c>
      <c r="D48" s="188" t="s">
        <v>123</v>
      </c>
      <c r="E48" s="198" t="s">
        <v>124</v>
      </c>
      <c r="F48" s="159" t="s">
        <v>205</v>
      </c>
      <c r="G48" s="145" t="s">
        <v>184</v>
      </c>
      <c r="H48" s="201">
        <f t="shared" si="3"/>
        <v>2.7</v>
      </c>
      <c r="I48" s="202"/>
      <c r="J48" s="4"/>
      <c r="K48" s="204">
        <v>2.7</v>
      </c>
      <c r="L48" s="216" t="s">
        <v>204</v>
      </c>
      <c r="M48" s="69" t="s">
        <v>92</v>
      </c>
    </row>
    <row r="49" spans="2:13" ht="12.75" customHeight="1">
      <c r="B49" s="71">
        <f t="shared" si="1"/>
        <v>45</v>
      </c>
      <c r="C49" s="71" t="s">
        <v>21</v>
      </c>
      <c r="D49" s="188" t="s">
        <v>123</v>
      </c>
      <c r="E49" s="198" t="s">
        <v>124</v>
      </c>
      <c r="F49" s="159" t="s">
        <v>206</v>
      </c>
      <c r="G49" s="145" t="s">
        <v>184</v>
      </c>
      <c r="H49" s="201">
        <f t="shared" si="3"/>
        <v>2.7</v>
      </c>
      <c r="I49" s="202"/>
      <c r="J49" s="4"/>
      <c r="K49" s="204">
        <v>2.7</v>
      </c>
      <c r="L49" s="216" t="s">
        <v>204</v>
      </c>
      <c r="M49" s="69" t="s">
        <v>92</v>
      </c>
    </row>
    <row r="50" spans="2:13" ht="12.75" customHeight="1">
      <c r="B50" s="71">
        <f t="shared" si="1"/>
        <v>46</v>
      </c>
      <c r="C50" s="71" t="s">
        <v>21</v>
      </c>
      <c r="D50" s="71" t="s">
        <v>207</v>
      </c>
      <c r="E50" s="198" t="s">
        <v>124</v>
      </c>
      <c r="F50" s="189" t="s">
        <v>208</v>
      </c>
      <c r="G50" s="145" t="s">
        <v>177</v>
      </c>
      <c r="H50" s="155">
        <f t="shared" si="3"/>
        <v>0</v>
      </c>
      <c r="I50" s="156"/>
      <c r="J50" s="4"/>
      <c r="K50" s="208"/>
      <c r="L50" s="175" t="s">
        <v>197</v>
      </c>
      <c r="M50" s="69" t="s">
        <v>92</v>
      </c>
    </row>
    <row r="51" spans="2:13" ht="12.75" customHeight="1">
      <c r="B51" s="71">
        <f t="shared" si="1"/>
        <v>47</v>
      </c>
      <c r="C51" s="71" t="s">
        <v>21</v>
      </c>
      <c r="D51" s="71" t="s">
        <v>207</v>
      </c>
      <c r="E51" s="198" t="s">
        <v>124</v>
      </c>
      <c r="F51" s="189" t="s">
        <v>209</v>
      </c>
      <c r="G51" s="145" t="s">
        <v>180</v>
      </c>
      <c r="H51" s="155">
        <f t="shared" si="3"/>
        <v>0</v>
      </c>
      <c r="I51" s="156"/>
      <c r="J51" s="4"/>
      <c r="K51" s="208"/>
      <c r="L51" s="175" t="s">
        <v>197</v>
      </c>
      <c r="M51" s="69" t="s">
        <v>92</v>
      </c>
    </row>
    <row r="52" spans="2:13" ht="12.75" customHeight="1">
      <c r="B52" s="71">
        <f t="shared" si="1"/>
        <v>48</v>
      </c>
      <c r="C52" s="71" t="s">
        <v>21</v>
      </c>
      <c r="D52" s="71" t="s">
        <v>207</v>
      </c>
      <c r="E52" s="198" t="s">
        <v>107</v>
      </c>
      <c r="F52" s="189" t="s">
        <v>210</v>
      </c>
      <c r="G52" s="145" t="s">
        <v>177</v>
      </c>
      <c r="H52" s="155">
        <f t="shared" si="3"/>
        <v>0</v>
      </c>
      <c r="I52" s="156"/>
      <c r="J52" s="4"/>
      <c r="K52" s="208"/>
      <c r="L52" s="175" t="s">
        <v>197</v>
      </c>
      <c r="M52" s="69" t="s">
        <v>92</v>
      </c>
    </row>
    <row r="53" spans="2:13" ht="12.75" customHeight="1">
      <c r="B53" s="71">
        <f t="shared" si="1"/>
        <v>49</v>
      </c>
      <c r="C53" s="71" t="s">
        <v>21</v>
      </c>
      <c r="D53" s="71" t="s">
        <v>207</v>
      </c>
      <c r="E53" s="198" t="s">
        <v>107</v>
      </c>
      <c r="F53" s="189" t="s">
        <v>211</v>
      </c>
      <c r="G53" s="145" t="s">
        <v>180</v>
      </c>
      <c r="H53" s="155">
        <f t="shared" si="3"/>
        <v>0</v>
      </c>
      <c r="I53" s="156"/>
      <c r="J53" s="4"/>
      <c r="K53" s="208"/>
      <c r="L53" s="175" t="s">
        <v>197</v>
      </c>
      <c r="M53" s="69" t="s">
        <v>92</v>
      </c>
    </row>
    <row r="54" spans="2:13" ht="12.75" customHeight="1">
      <c r="B54" s="71">
        <f t="shared" si="1"/>
        <v>50</v>
      </c>
      <c r="C54" s="71" t="s">
        <v>21</v>
      </c>
      <c r="D54" s="71" t="s">
        <v>207</v>
      </c>
      <c r="E54" s="198" t="s">
        <v>127</v>
      </c>
      <c r="F54" s="189" t="s">
        <v>212</v>
      </c>
      <c r="G54" s="145" t="s">
        <v>177</v>
      </c>
      <c r="H54" s="155">
        <f t="shared" si="3"/>
        <v>0</v>
      </c>
      <c r="I54" s="156"/>
      <c r="J54" s="4"/>
      <c r="K54" s="208"/>
      <c r="L54" s="175" t="s">
        <v>197</v>
      </c>
      <c r="M54" s="69" t="s">
        <v>92</v>
      </c>
    </row>
    <row r="55" spans="2:13" ht="12.75" customHeight="1">
      <c r="B55" s="71">
        <f t="shared" si="1"/>
        <v>51</v>
      </c>
      <c r="C55" s="71" t="s">
        <v>21</v>
      </c>
      <c r="D55" s="71" t="s">
        <v>207</v>
      </c>
      <c r="E55" s="198" t="s">
        <v>127</v>
      </c>
      <c r="F55" s="189" t="s">
        <v>213</v>
      </c>
      <c r="G55" s="145" t="s">
        <v>180</v>
      </c>
      <c r="H55" s="155">
        <f t="shared" si="3"/>
        <v>0</v>
      </c>
      <c r="I55" s="156"/>
      <c r="J55" s="4"/>
      <c r="K55" s="208"/>
      <c r="L55" s="175" t="s">
        <v>197</v>
      </c>
      <c r="M55" s="69" t="s">
        <v>92</v>
      </c>
    </row>
    <row r="56" spans="2:13" ht="12.75" customHeight="1">
      <c r="B56" s="71">
        <f t="shared" si="1"/>
        <v>52</v>
      </c>
      <c r="C56" s="71" t="s">
        <v>21</v>
      </c>
      <c r="D56" s="71" t="s">
        <v>207</v>
      </c>
      <c r="E56" s="200" t="s">
        <v>124</v>
      </c>
      <c r="F56" s="175" t="s">
        <v>214</v>
      </c>
      <c r="G56" s="194" t="s">
        <v>170</v>
      </c>
      <c r="H56" s="201">
        <f t="shared" si="3"/>
        <v>4.1500000000000004</v>
      </c>
      <c r="I56" s="156"/>
      <c r="J56" s="4"/>
      <c r="K56" s="204">
        <v>4.1500000000000004</v>
      </c>
      <c r="L56" s="3" t="s">
        <v>171</v>
      </c>
      <c r="M56" s="69" t="s">
        <v>92</v>
      </c>
    </row>
    <row r="57" spans="2:13" ht="12.75" customHeight="1">
      <c r="B57" s="71">
        <f t="shared" si="1"/>
        <v>53</v>
      </c>
      <c r="C57" s="71" t="s">
        <v>21</v>
      </c>
      <c r="D57" s="71" t="s">
        <v>207</v>
      </c>
      <c r="E57" s="200" t="s">
        <v>124</v>
      </c>
      <c r="F57" s="175" t="s">
        <v>215</v>
      </c>
      <c r="G57" s="194" t="s">
        <v>170</v>
      </c>
      <c r="H57" s="201">
        <f t="shared" si="3"/>
        <v>4.1500000000000004</v>
      </c>
      <c r="I57" s="156"/>
      <c r="J57" s="4"/>
      <c r="K57" s="204">
        <v>4.1500000000000004</v>
      </c>
      <c r="L57" s="3" t="s">
        <v>171</v>
      </c>
      <c r="M57" s="69" t="s">
        <v>92</v>
      </c>
    </row>
    <row r="58" spans="2:13" ht="12.75" customHeight="1">
      <c r="B58" s="71">
        <f t="shared" si="1"/>
        <v>54</v>
      </c>
      <c r="C58" s="71" t="s">
        <v>21</v>
      </c>
      <c r="D58" s="71" t="s">
        <v>207</v>
      </c>
      <c r="E58" s="198" t="s">
        <v>124</v>
      </c>
      <c r="F58" s="73" t="s">
        <v>172</v>
      </c>
      <c r="G58" s="73" t="s">
        <v>173</v>
      </c>
      <c r="H58" s="201">
        <f t="shared" si="3"/>
        <v>2.62</v>
      </c>
      <c r="I58" s="156"/>
      <c r="J58" s="4"/>
      <c r="K58" s="204">
        <v>2.62</v>
      </c>
      <c r="L58" s="3" t="s">
        <v>174</v>
      </c>
      <c r="M58" s="69" t="s">
        <v>92</v>
      </c>
    </row>
    <row r="59" spans="2:13" ht="12.75" customHeight="1">
      <c r="B59" s="71">
        <f t="shared" si="1"/>
        <v>55</v>
      </c>
      <c r="C59" s="198" t="s">
        <v>24</v>
      </c>
      <c r="D59" s="71" t="s">
        <v>106</v>
      </c>
      <c r="E59" s="198" t="s">
        <v>124</v>
      </c>
      <c r="F59" s="231" t="s">
        <v>216</v>
      </c>
      <c r="G59" s="232" t="s">
        <v>217</v>
      </c>
      <c r="H59" s="155">
        <f t="shared" ref="H59:H79" si="4">IF($I59="",$K59,$I59)</f>
        <v>0</v>
      </c>
      <c r="I59" s="156"/>
      <c r="J59" s="4"/>
      <c r="K59" s="208"/>
      <c r="L59" s="175" t="s">
        <v>218</v>
      </c>
      <c r="M59" s="69" t="s">
        <v>92</v>
      </c>
    </row>
    <row r="60" spans="2:13" ht="12.75" customHeight="1">
      <c r="B60" s="71">
        <f t="shared" si="1"/>
        <v>56</v>
      </c>
      <c r="C60" s="198" t="s">
        <v>24</v>
      </c>
      <c r="D60" s="71" t="s">
        <v>106</v>
      </c>
      <c r="E60" s="198" t="s">
        <v>107</v>
      </c>
      <c r="F60" s="231" t="s">
        <v>219</v>
      </c>
      <c r="G60" s="232" t="s">
        <v>217</v>
      </c>
      <c r="H60" s="155">
        <f t="shared" si="4"/>
        <v>0</v>
      </c>
      <c r="I60" s="156"/>
      <c r="J60" s="4"/>
      <c r="K60" s="208"/>
      <c r="L60" s="175" t="s">
        <v>220</v>
      </c>
      <c r="M60" s="69" t="s">
        <v>92</v>
      </c>
    </row>
    <row r="61" spans="2:13" ht="12.75" customHeight="1">
      <c r="B61" s="71">
        <f t="shared" si="1"/>
        <v>57</v>
      </c>
      <c r="C61" s="198" t="s">
        <v>24</v>
      </c>
      <c r="D61" s="71" t="s">
        <v>106</v>
      </c>
      <c r="E61" s="198" t="s">
        <v>127</v>
      </c>
      <c r="F61" s="231" t="s">
        <v>221</v>
      </c>
      <c r="G61" s="232" t="s">
        <v>217</v>
      </c>
      <c r="H61" s="155">
        <f t="shared" si="4"/>
        <v>0</v>
      </c>
      <c r="I61" s="156"/>
      <c r="J61" s="4"/>
      <c r="K61" s="208"/>
      <c r="L61" s="175" t="s">
        <v>220</v>
      </c>
      <c r="M61" s="69" t="s">
        <v>92</v>
      </c>
    </row>
    <row r="62" spans="2:13" ht="12.75" customHeight="1">
      <c r="B62" s="71">
        <f t="shared" si="1"/>
        <v>58</v>
      </c>
      <c r="C62" s="198" t="s">
        <v>24</v>
      </c>
      <c r="D62" s="186" t="s">
        <v>116</v>
      </c>
      <c r="E62" s="198" t="s">
        <v>107</v>
      </c>
      <c r="F62" s="231" t="s">
        <v>222</v>
      </c>
      <c r="G62" s="145" t="s">
        <v>223</v>
      </c>
      <c r="H62" s="155">
        <f t="shared" si="4"/>
        <v>21786</v>
      </c>
      <c r="I62" s="156"/>
      <c r="J62" s="4"/>
      <c r="K62" s="237">
        <v>21786</v>
      </c>
      <c r="L62" s="267" t="s">
        <v>224</v>
      </c>
      <c r="M62" s="69" t="s">
        <v>92</v>
      </c>
    </row>
    <row r="63" spans="2:13" ht="12.75" customHeight="1">
      <c r="B63" s="71">
        <f t="shared" si="1"/>
        <v>59</v>
      </c>
      <c r="C63" s="198" t="s">
        <v>24</v>
      </c>
      <c r="D63" s="186" t="s">
        <v>116</v>
      </c>
      <c r="E63" s="198" t="s">
        <v>107</v>
      </c>
      <c r="F63" s="231" t="s">
        <v>225</v>
      </c>
      <c r="G63" s="145" t="s">
        <v>226</v>
      </c>
      <c r="H63" s="155">
        <f t="shared" si="4"/>
        <v>0</v>
      </c>
      <c r="I63" s="156"/>
      <c r="J63" s="4"/>
      <c r="K63" s="208"/>
      <c r="L63" s="175" t="s">
        <v>197</v>
      </c>
      <c r="M63" s="69" t="s">
        <v>92</v>
      </c>
    </row>
    <row r="64" spans="2:13" ht="12.75" customHeight="1">
      <c r="B64" s="71">
        <f t="shared" si="1"/>
        <v>60</v>
      </c>
      <c r="C64" s="198" t="s">
        <v>24</v>
      </c>
      <c r="D64" s="186" t="s">
        <v>116</v>
      </c>
      <c r="E64" s="198" t="s">
        <v>127</v>
      </c>
      <c r="F64" s="231" t="s">
        <v>227</v>
      </c>
      <c r="G64" s="145" t="s">
        <v>223</v>
      </c>
      <c r="H64" s="155">
        <f t="shared" si="4"/>
        <v>0</v>
      </c>
      <c r="I64" s="156"/>
      <c r="J64" s="4"/>
      <c r="K64" s="208"/>
      <c r="L64" s="175" t="s">
        <v>197</v>
      </c>
      <c r="M64" s="69" t="s">
        <v>92</v>
      </c>
    </row>
    <row r="65" spans="2:13" ht="12.75" customHeight="1">
      <c r="B65" s="71">
        <f t="shared" si="1"/>
        <v>61</v>
      </c>
      <c r="C65" s="198" t="s">
        <v>24</v>
      </c>
      <c r="D65" s="186" t="s">
        <v>116</v>
      </c>
      <c r="E65" s="198" t="s">
        <v>127</v>
      </c>
      <c r="F65" s="231" t="s">
        <v>228</v>
      </c>
      <c r="G65" s="145" t="s">
        <v>226</v>
      </c>
      <c r="H65" s="155">
        <f t="shared" si="4"/>
        <v>0</v>
      </c>
      <c r="I65" s="156"/>
      <c r="J65" s="4"/>
      <c r="K65" s="208"/>
      <c r="L65" s="175" t="s">
        <v>197</v>
      </c>
      <c r="M65" s="69" t="s">
        <v>92</v>
      </c>
    </row>
    <row r="66" spans="2:13" ht="12.75" customHeight="1">
      <c r="B66" s="71">
        <f t="shared" si="1"/>
        <v>62</v>
      </c>
      <c r="C66" s="198" t="s">
        <v>24</v>
      </c>
      <c r="D66" s="186" t="s">
        <v>116</v>
      </c>
      <c r="E66" s="198" t="s">
        <v>107</v>
      </c>
      <c r="F66" s="231" t="s">
        <v>229</v>
      </c>
      <c r="G66" s="145" t="s">
        <v>226</v>
      </c>
      <c r="H66" s="155" t="e">
        <f t="shared" si="4"/>
        <v>#DIV/0!</v>
      </c>
      <c r="I66" s="156"/>
      <c r="J66" s="4"/>
      <c r="K66" s="237" t="e">
        <f>'仮定値算定シート（ルート1）'!G102</f>
        <v>#DIV/0!</v>
      </c>
      <c r="L66" s="267" t="s">
        <v>230</v>
      </c>
      <c r="M66" s="69" t="s">
        <v>92</v>
      </c>
    </row>
    <row r="67" spans="2:13" ht="12.75" customHeight="1">
      <c r="B67" s="71">
        <f t="shared" si="1"/>
        <v>63</v>
      </c>
      <c r="C67" s="198" t="s">
        <v>24</v>
      </c>
      <c r="D67" s="186" t="s">
        <v>116</v>
      </c>
      <c r="E67" s="198" t="s">
        <v>127</v>
      </c>
      <c r="F67" s="231" t="s">
        <v>231</v>
      </c>
      <c r="G67" s="145" t="s">
        <v>226</v>
      </c>
      <c r="H67" s="155" t="e">
        <f t="shared" si="4"/>
        <v>#DIV/0!</v>
      </c>
      <c r="I67" s="156"/>
      <c r="J67" s="4"/>
      <c r="K67" s="237" t="e">
        <f>'仮定値算定シート（ルート1）'!G115</f>
        <v>#DIV/0!</v>
      </c>
      <c r="L67" s="267" t="s">
        <v>230</v>
      </c>
      <c r="M67" s="69" t="s">
        <v>92</v>
      </c>
    </row>
    <row r="68" spans="2:13" ht="12.75" customHeight="1">
      <c r="B68" s="71">
        <f t="shared" si="1"/>
        <v>64</v>
      </c>
      <c r="C68" s="198" t="s">
        <v>24</v>
      </c>
      <c r="D68" s="188" t="s">
        <v>182</v>
      </c>
      <c r="E68" s="198" t="s">
        <v>107</v>
      </c>
      <c r="F68" s="231" t="s">
        <v>232</v>
      </c>
      <c r="G68" s="145" t="s">
        <v>223</v>
      </c>
      <c r="H68" s="155">
        <f t="shared" si="4"/>
        <v>63144</v>
      </c>
      <c r="I68" s="156"/>
      <c r="J68" s="4"/>
      <c r="K68" s="237">
        <v>63144</v>
      </c>
      <c r="L68" s="267" t="s">
        <v>230</v>
      </c>
      <c r="M68" s="69" t="s">
        <v>92</v>
      </c>
    </row>
    <row r="69" spans="2:13" ht="12.75" customHeight="1">
      <c r="B69" s="71">
        <f t="shared" si="1"/>
        <v>65</v>
      </c>
      <c r="C69" s="198" t="s">
        <v>24</v>
      </c>
      <c r="D69" s="188" t="s">
        <v>182</v>
      </c>
      <c r="E69" s="198" t="s">
        <v>124</v>
      </c>
      <c r="F69" s="231" t="s">
        <v>233</v>
      </c>
      <c r="G69" s="143" t="s">
        <v>112</v>
      </c>
      <c r="H69" s="155">
        <f t="shared" si="4"/>
        <v>0</v>
      </c>
      <c r="I69" s="156"/>
      <c r="J69" s="4"/>
      <c r="K69" s="208"/>
      <c r="L69" s="175" t="s">
        <v>234</v>
      </c>
      <c r="M69" s="69" t="s">
        <v>92</v>
      </c>
    </row>
    <row r="70" spans="2:13" ht="12.75" customHeight="1">
      <c r="B70" s="71">
        <f t="shared" si="1"/>
        <v>66</v>
      </c>
      <c r="C70" s="198" t="s">
        <v>24</v>
      </c>
      <c r="D70" s="188" t="s">
        <v>182</v>
      </c>
      <c r="E70" s="198" t="s">
        <v>127</v>
      </c>
      <c r="F70" s="231" t="s">
        <v>235</v>
      </c>
      <c r="G70" s="145" t="s">
        <v>223</v>
      </c>
      <c r="H70" s="155">
        <f t="shared" si="4"/>
        <v>62999</v>
      </c>
      <c r="I70" s="156"/>
      <c r="J70" s="4"/>
      <c r="K70" s="237">
        <v>62999</v>
      </c>
      <c r="L70" s="175" t="s">
        <v>230</v>
      </c>
      <c r="M70" s="69" t="s">
        <v>92</v>
      </c>
    </row>
    <row r="71" spans="2:13" ht="12.75" customHeight="1">
      <c r="B71" s="71">
        <f t="shared" si="1"/>
        <v>67</v>
      </c>
      <c r="C71" s="198" t="s">
        <v>24</v>
      </c>
      <c r="D71" s="188" t="s">
        <v>182</v>
      </c>
      <c r="E71" s="198" t="s">
        <v>127</v>
      </c>
      <c r="F71" s="231" t="s">
        <v>236</v>
      </c>
      <c r="G71" s="145" t="s">
        <v>223</v>
      </c>
      <c r="H71" s="155">
        <f t="shared" si="4"/>
        <v>62999</v>
      </c>
      <c r="I71" s="156"/>
      <c r="J71" s="4"/>
      <c r="K71" s="237">
        <v>62999</v>
      </c>
      <c r="L71" s="175" t="s">
        <v>230</v>
      </c>
      <c r="M71" s="69" t="s">
        <v>92</v>
      </c>
    </row>
    <row r="72" spans="2:13" ht="12.75" customHeight="1">
      <c r="B72" s="71">
        <f t="shared" si="1"/>
        <v>68</v>
      </c>
      <c r="C72" s="198" t="s">
        <v>24</v>
      </c>
      <c r="D72" s="188" t="s">
        <v>182</v>
      </c>
      <c r="E72" s="198" t="s">
        <v>127</v>
      </c>
      <c r="F72" s="231" t="s">
        <v>237</v>
      </c>
      <c r="G72" s="143" t="s">
        <v>112</v>
      </c>
      <c r="H72" s="155">
        <f t="shared" si="4"/>
        <v>0</v>
      </c>
      <c r="I72" s="156"/>
      <c r="J72" s="4"/>
      <c r="K72" s="208"/>
      <c r="L72" s="175" t="s">
        <v>238</v>
      </c>
      <c r="M72" s="69" t="s">
        <v>92</v>
      </c>
    </row>
    <row r="73" spans="2:13" ht="12.75" customHeight="1">
      <c r="B73" s="71">
        <f t="shared" ref="B73:B79" si="5">B72+1</f>
        <v>69</v>
      </c>
      <c r="C73" s="198" t="s">
        <v>24</v>
      </c>
      <c r="D73" s="188" t="s">
        <v>72</v>
      </c>
      <c r="E73" s="198" t="s">
        <v>124</v>
      </c>
      <c r="F73" s="231" t="s">
        <v>239</v>
      </c>
      <c r="G73" s="145" t="s">
        <v>223</v>
      </c>
      <c r="H73" s="155">
        <f t="shared" si="4"/>
        <v>0</v>
      </c>
      <c r="I73" s="156"/>
      <c r="J73" s="4"/>
      <c r="K73" s="208"/>
      <c r="L73" s="175" t="s">
        <v>178</v>
      </c>
      <c r="M73" s="69" t="s">
        <v>92</v>
      </c>
    </row>
    <row r="74" spans="2:13" ht="12.75" customHeight="1">
      <c r="B74" s="71">
        <f t="shared" si="5"/>
        <v>70</v>
      </c>
      <c r="C74" s="198" t="s">
        <v>24</v>
      </c>
      <c r="D74" s="71" t="s">
        <v>207</v>
      </c>
      <c r="E74" s="198" t="s">
        <v>107</v>
      </c>
      <c r="F74" s="231" t="s">
        <v>240</v>
      </c>
      <c r="G74" s="145" t="s">
        <v>226</v>
      </c>
      <c r="H74" s="155" t="e">
        <f t="shared" si="4"/>
        <v>#DIV/0!</v>
      </c>
      <c r="I74" s="156"/>
      <c r="J74" s="4"/>
      <c r="K74" s="237" t="e">
        <f>'仮定値算定シート（ルート1）'!G143</f>
        <v>#DIV/0!</v>
      </c>
      <c r="L74" s="267" t="s">
        <v>230</v>
      </c>
      <c r="M74" s="69" t="s">
        <v>92</v>
      </c>
    </row>
    <row r="75" spans="2:13" ht="12.75" customHeight="1">
      <c r="B75" s="71">
        <f t="shared" si="5"/>
        <v>71</v>
      </c>
      <c r="C75" s="198" t="s">
        <v>24</v>
      </c>
      <c r="D75" s="71" t="s">
        <v>207</v>
      </c>
      <c r="E75" s="198" t="s">
        <v>107</v>
      </c>
      <c r="F75" s="231" t="s">
        <v>241</v>
      </c>
      <c r="G75" s="145" t="s">
        <v>226</v>
      </c>
      <c r="H75" s="155" t="e">
        <f t="shared" si="4"/>
        <v>#DIV/0!</v>
      </c>
      <c r="I75" s="156"/>
      <c r="J75" s="4"/>
      <c r="K75" s="237" t="e">
        <f>'仮定値算定シート（ルート1）'!G156</f>
        <v>#DIV/0!</v>
      </c>
      <c r="L75" s="267" t="s">
        <v>230</v>
      </c>
      <c r="M75" s="69" t="s">
        <v>92</v>
      </c>
    </row>
    <row r="76" spans="2:13" ht="12.75" customHeight="1">
      <c r="B76" s="71">
        <f t="shared" si="5"/>
        <v>72</v>
      </c>
      <c r="C76" s="198" t="s">
        <v>24</v>
      </c>
      <c r="D76" s="71" t="s">
        <v>207</v>
      </c>
      <c r="E76" s="198" t="s">
        <v>127</v>
      </c>
      <c r="F76" s="231" t="s">
        <v>242</v>
      </c>
      <c r="G76" s="145" t="s">
        <v>226</v>
      </c>
      <c r="H76" s="155" t="e">
        <f t="shared" si="4"/>
        <v>#DIV/0!</v>
      </c>
      <c r="I76" s="156"/>
      <c r="J76" s="4"/>
      <c r="K76" s="237" t="e">
        <f>'仮定値算定シート（ルート1）'!G169</f>
        <v>#DIV/0!</v>
      </c>
      <c r="L76" s="267" t="s">
        <v>230</v>
      </c>
      <c r="M76" s="69" t="s">
        <v>92</v>
      </c>
    </row>
    <row r="77" spans="2:13" ht="12.75" customHeight="1">
      <c r="B77" s="71">
        <f t="shared" si="5"/>
        <v>73</v>
      </c>
      <c r="C77" s="198" t="s">
        <v>24</v>
      </c>
      <c r="D77" s="71" t="s">
        <v>207</v>
      </c>
      <c r="E77" s="198" t="s">
        <v>127</v>
      </c>
      <c r="F77" s="231" t="s">
        <v>243</v>
      </c>
      <c r="G77" s="145" t="s">
        <v>226</v>
      </c>
      <c r="H77" s="155" t="e">
        <f t="shared" si="4"/>
        <v>#DIV/0!</v>
      </c>
      <c r="I77" s="156"/>
      <c r="J77" s="4"/>
      <c r="K77" s="237" t="e">
        <f>'仮定値算定シート（ルート1）'!G182</f>
        <v>#DIV/0!</v>
      </c>
      <c r="L77" s="267" t="s">
        <v>230</v>
      </c>
      <c r="M77" s="69" t="s">
        <v>92</v>
      </c>
    </row>
    <row r="78" spans="2:13" ht="12.75" customHeight="1">
      <c r="B78" s="71">
        <f t="shared" si="5"/>
        <v>74</v>
      </c>
      <c r="C78" s="198" t="s">
        <v>24</v>
      </c>
      <c r="D78" s="186" t="s">
        <v>80</v>
      </c>
      <c r="E78" s="198" t="s">
        <v>107</v>
      </c>
      <c r="F78" s="231" t="s">
        <v>244</v>
      </c>
      <c r="G78" s="145" t="s">
        <v>226</v>
      </c>
      <c r="H78" s="155">
        <f t="shared" si="4"/>
        <v>0</v>
      </c>
      <c r="I78" s="156"/>
      <c r="J78" s="4"/>
      <c r="K78" s="208"/>
      <c r="L78" s="175" t="s">
        <v>178</v>
      </c>
      <c r="M78" s="69" t="s">
        <v>92</v>
      </c>
    </row>
    <row r="79" spans="2:13" ht="12.75" customHeight="1" thickBot="1">
      <c r="B79" s="387">
        <f t="shared" si="5"/>
        <v>75</v>
      </c>
      <c r="C79" s="255" t="s">
        <v>24</v>
      </c>
      <c r="D79" s="256" t="s">
        <v>80</v>
      </c>
      <c r="E79" s="255" t="s">
        <v>127</v>
      </c>
      <c r="F79" s="257" t="s">
        <v>245</v>
      </c>
      <c r="G79" s="258" t="s">
        <v>226</v>
      </c>
      <c r="H79" s="259">
        <f t="shared" si="4"/>
        <v>0</v>
      </c>
      <c r="I79" s="260"/>
      <c r="J79" s="261"/>
      <c r="K79" s="262"/>
      <c r="L79" s="263" t="s">
        <v>178</v>
      </c>
      <c r="M79" s="69" t="s">
        <v>92</v>
      </c>
    </row>
    <row r="81" spans="1:13">
      <c r="A81" s="69" t="s">
        <v>92</v>
      </c>
      <c r="D81" s="68" t="s">
        <v>92</v>
      </c>
      <c r="F81" s="69" t="s">
        <v>92</v>
      </c>
      <c r="G81" s="68" t="s">
        <v>92</v>
      </c>
      <c r="K81" s="69" t="s">
        <v>92</v>
      </c>
      <c r="L81" s="69" t="s">
        <v>92</v>
      </c>
      <c r="M81" s="69" t="s">
        <v>92</v>
      </c>
    </row>
    <row r="82" spans="1:13">
      <c r="H82" s="140"/>
    </row>
    <row r="83" spans="1:13">
      <c r="H83" s="140"/>
    </row>
  </sheetData>
  <mergeCells count="2">
    <mergeCell ref="I3:J3"/>
    <mergeCell ref="K3:L3"/>
  </mergeCells>
  <phoneticPr fontId="2"/>
  <pageMargins left="0.74803149606299213" right="0.74803149606299213" top="0.98425196850393704" bottom="0.98425196850393704" header="0.51181102362204722" footer="0.51181102362204722"/>
  <pageSetup paperSize="8" scale="8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A0BF2-B8B2-4F0B-AB71-065BBD3EBC02}">
  <dimension ref="A1:P44"/>
  <sheetViews>
    <sheetView topLeftCell="A3" workbookViewId="0">
      <selection activeCell="K38" sqref="K38"/>
    </sheetView>
  </sheetViews>
  <sheetFormatPr defaultColWidth="9" defaultRowHeight="14.25"/>
  <cols>
    <col min="1" max="1" width="2.5703125" style="6" customWidth="1"/>
    <col min="2" max="2" width="4.5703125" style="6" customWidth="1"/>
    <col min="3" max="6" width="2.5703125" style="6" customWidth="1"/>
    <col min="7" max="7" width="43.85546875" style="6" customWidth="1"/>
    <col min="8" max="8" width="10.5703125" style="6" customWidth="1"/>
    <col min="9" max="9" width="2.7109375" style="6" customWidth="1"/>
    <col min="10" max="11" width="14.42578125" style="6" customWidth="1"/>
    <col min="12" max="12" width="2.85546875" style="6" customWidth="1"/>
    <col min="13" max="14" width="14.42578125" style="6" customWidth="1"/>
    <col min="15" max="15" width="2.7109375" style="6" customWidth="1"/>
    <col min="16" max="16" width="82.5703125" style="6" bestFit="1" customWidth="1"/>
    <col min="17" max="16384" width="9" style="6"/>
  </cols>
  <sheetData>
    <row r="1" spans="1:16" ht="18">
      <c r="A1" s="116" t="s">
        <v>18</v>
      </c>
      <c r="B1" s="5"/>
      <c r="C1" s="5"/>
      <c r="D1" s="5"/>
      <c r="E1" s="5"/>
    </row>
    <row r="2" spans="1:16" ht="15" thickBot="1"/>
    <row r="3" spans="1:16" ht="15">
      <c r="F3" s="36" t="s">
        <v>246</v>
      </c>
      <c r="G3" s="37"/>
      <c r="H3" s="38"/>
      <c r="J3" s="437" t="s">
        <v>247</v>
      </c>
      <c r="K3" s="438"/>
      <c r="L3" s="127"/>
      <c r="M3" s="437" t="s">
        <v>248</v>
      </c>
      <c r="N3" s="438"/>
      <c r="O3" s="39"/>
    </row>
    <row r="4" spans="1:16" ht="15">
      <c r="F4" s="40" t="s">
        <v>249</v>
      </c>
      <c r="G4" s="41"/>
      <c r="H4" s="42"/>
      <c r="J4" s="43" t="s">
        <v>250</v>
      </c>
      <c r="K4" s="126" t="s">
        <v>251</v>
      </c>
      <c r="L4" s="127"/>
      <c r="M4" s="43" t="s">
        <v>250</v>
      </c>
      <c r="N4" s="126" t="s">
        <v>252</v>
      </c>
      <c r="O4" s="39"/>
    </row>
    <row r="5" spans="1:16">
      <c r="F5" s="47"/>
      <c r="G5" s="48" t="s">
        <v>253</v>
      </c>
      <c r="H5" s="46" t="s">
        <v>254</v>
      </c>
      <c r="J5" s="49">
        <f>J27</f>
        <v>0</v>
      </c>
      <c r="K5" s="129">
        <f>K27</f>
        <v>0</v>
      </c>
      <c r="M5" s="49">
        <f>M21</f>
        <v>0</v>
      </c>
      <c r="N5" s="129">
        <f>N27</f>
        <v>0</v>
      </c>
    </row>
    <row r="6" spans="1:16">
      <c r="F6" s="47"/>
      <c r="G6" s="50" t="s">
        <v>255</v>
      </c>
      <c r="H6" s="51" t="s">
        <v>254</v>
      </c>
      <c r="J6" s="52"/>
      <c r="K6" s="129">
        <f>K28</f>
        <v>0</v>
      </c>
      <c r="M6" s="52"/>
      <c r="N6" s="129">
        <f>N28</f>
        <v>0</v>
      </c>
    </row>
    <row r="7" spans="1:16">
      <c r="F7" s="47"/>
      <c r="G7" s="50" t="s">
        <v>256</v>
      </c>
      <c r="H7" s="51" t="s">
        <v>254</v>
      </c>
      <c r="J7" s="52"/>
      <c r="K7" s="129">
        <f>K33</f>
        <v>0</v>
      </c>
      <c r="M7" s="52"/>
      <c r="N7" s="129" t="e">
        <f>N33</f>
        <v>#DIV/0!</v>
      </c>
    </row>
    <row r="8" spans="1:16">
      <c r="F8" s="47"/>
      <c r="G8" s="50" t="s">
        <v>257</v>
      </c>
      <c r="H8" s="51" t="s">
        <v>254</v>
      </c>
      <c r="J8" s="52"/>
      <c r="K8" s="129">
        <f>K34</f>
        <v>0</v>
      </c>
      <c r="M8" s="52"/>
      <c r="N8" s="129" t="e">
        <f>N34</f>
        <v>#DIV/0!</v>
      </c>
    </row>
    <row r="9" spans="1:16">
      <c r="F9" s="47"/>
      <c r="G9" s="168" t="s">
        <v>258</v>
      </c>
      <c r="H9" s="51" t="s">
        <v>254</v>
      </c>
      <c r="J9" s="52"/>
      <c r="K9" s="129">
        <f>K38</f>
        <v>0</v>
      </c>
      <c r="M9" s="52"/>
      <c r="N9" s="129" t="e">
        <f>N38</f>
        <v>#DIV/0!</v>
      </c>
    </row>
    <row r="10" spans="1:16">
      <c r="F10" s="47"/>
      <c r="G10" s="50" t="s">
        <v>259</v>
      </c>
      <c r="H10" s="51" t="s">
        <v>254</v>
      </c>
      <c r="J10" s="52"/>
      <c r="K10" s="129">
        <f>K39</f>
        <v>0</v>
      </c>
      <c r="M10" s="52"/>
      <c r="N10" s="129" t="e">
        <f>N39</f>
        <v>#DIV/0!</v>
      </c>
    </row>
    <row r="11" spans="1:16">
      <c r="F11" s="47"/>
      <c r="G11" s="169" t="s">
        <v>260</v>
      </c>
      <c r="H11" s="51" t="s">
        <v>254</v>
      </c>
      <c r="J11" s="49">
        <f>J40</f>
        <v>0</v>
      </c>
      <c r="K11" s="129">
        <f>K40</f>
        <v>0</v>
      </c>
      <c r="M11" s="49">
        <f>M40</f>
        <v>0</v>
      </c>
      <c r="N11" s="129" t="e">
        <f>N40</f>
        <v>#DIV/0!</v>
      </c>
    </row>
    <row r="12" spans="1:16">
      <c r="F12" s="47"/>
      <c r="G12" s="169" t="s">
        <v>261</v>
      </c>
      <c r="H12" s="51" t="s">
        <v>254</v>
      </c>
      <c r="J12" s="52"/>
      <c r="K12" s="129">
        <f>K39</f>
        <v>0</v>
      </c>
      <c r="M12" s="52"/>
      <c r="N12" s="129" t="e">
        <f>N39</f>
        <v>#DIV/0!</v>
      </c>
    </row>
    <row r="13" spans="1:16" ht="15" thickBot="1">
      <c r="F13" s="53"/>
      <c r="G13" s="170" t="s">
        <v>262</v>
      </c>
      <c r="H13" s="55" t="s">
        <v>254</v>
      </c>
      <c r="I13" s="171"/>
      <c r="J13" s="56">
        <f>J43</f>
        <v>0</v>
      </c>
      <c r="K13" s="130">
        <f>K42+K43</f>
        <v>0</v>
      </c>
      <c r="L13" s="171"/>
      <c r="M13" s="56">
        <f>M43</f>
        <v>0</v>
      </c>
      <c r="N13" s="130" t="e">
        <f>N42+N43</f>
        <v>#DIV/0!</v>
      </c>
    </row>
    <row r="15" spans="1:16">
      <c r="B15" s="6" t="s">
        <v>263</v>
      </c>
    </row>
    <row r="16" spans="1:16">
      <c r="B16" s="9" t="s">
        <v>8</v>
      </c>
      <c r="C16" s="10" t="s">
        <v>264</v>
      </c>
      <c r="D16" s="11"/>
      <c r="E16" s="10" t="s">
        <v>265</v>
      </c>
      <c r="F16" s="12"/>
      <c r="G16" s="11"/>
      <c r="H16" s="9" t="s">
        <v>266</v>
      </c>
      <c r="J16" s="128" t="s">
        <v>58</v>
      </c>
      <c r="K16" s="9" t="s">
        <v>267</v>
      </c>
      <c r="M16" s="9" t="s">
        <v>268</v>
      </c>
      <c r="N16" s="9" t="s">
        <v>269</v>
      </c>
      <c r="P16" s="9" t="s">
        <v>270</v>
      </c>
    </row>
    <row r="17" spans="2:16" ht="14.25" customHeight="1">
      <c r="B17" s="13">
        <v>1</v>
      </c>
      <c r="C17" s="14"/>
      <c r="D17" s="14"/>
      <c r="E17" s="14"/>
      <c r="F17" s="120" t="s">
        <v>271</v>
      </c>
      <c r="G17" s="28"/>
      <c r="H17" s="7" t="s">
        <v>272</v>
      </c>
      <c r="J17" s="182">
        <f>'パラメータ（ルート1）'!$H$5</f>
        <v>0</v>
      </c>
      <c r="K17" s="63"/>
      <c r="L17" s="317"/>
      <c r="M17" s="63"/>
      <c r="N17" s="63"/>
      <c r="P17" s="7"/>
    </row>
    <row r="18" spans="2:16" ht="14.25" customHeight="1">
      <c r="B18" s="13">
        <f>B17+1</f>
        <v>2</v>
      </c>
      <c r="C18" s="14"/>
      <c r="D18" s="14"/>
      <c r="E18" s="14"/>
      <c r="F18" s="119" t="s">
        <v>273</v>
      </c>
      <c r="G18" s="21"/>
      <c r="H18" s="24" t="s">
        <v>274</v>
      </c>
      <c r="J18" s="318">
        <f>'パラメータ（ルート1）'!$H$6</f>
        <v>9</v>
      </c>
      <c r="K18" s="62"/>
      <c r="L18" s="317"/>
      <c r="M18" s="62"/>
      <c r="N18" s="62"/>
      <c r="P18" s="24"/>
    </row>
    <row r="19" spans="2:16" ht="14.25" customHeight="1">
      <c r="B19" s="13">
        <f t="shared" ref="B19:B43" si="0">B18+1</f>
        <v>3</v>
      </c>
      <c r="C19" s="14"/>
      <c r="D19" s="14"/>
      <c r="E19" s="119" t="s">
        <v>275</v>
      </c>
      <c r="F19" s="119"/>
      <c r="G19" s="21"/>
      <c r="H19" s="24" t="s">
        <v>276</v>
      </c>
      <c r="J19" s="23">
        <f>J17*J18/100</f>
        <v>0</v>
      </c>
      <c r="K19" s="62"/>
      <c r="L19" s="317"/>
      <c r="M19" s="62"/>
      <c r="N19" s="62"/>
      <c r="P19" s="24"/>
    </row>
    <row r="20" spans="2:16" ht="14.25" customHeight="1">
      <c r="B20" s="13">
        <f t="shared" si="0"/>
        <v>4</v>
      </c>
      <c r="C20" s="14"/>
      <c r="D20" s="14"/>
      <c r="E20" s="121" t="s">
        <v>277</v>
      </c>
      <c r="F20" s="7"/>
      <c r="G20" s="28"/>
      <c r="H20" s="7" t="s">
        <v>278</v>
      </c>
      <c r="J20" s="63"/>
      <c r="K20" s="8">
        <f>'パラメータ（ルート1）'!$H$7</f>
        <v>0</v>
      </c>
      <c r="L20" s="317"/>
      <c r="M20" s="63"/>
      <c r="N20" s="63"/>
      <c r="P20" s="7"/>
    </row>
    <row r="21" spans="2:16" ht="14.25" customHeight="1">
      <c r="B21" s="13">
        <f>B20+1</f>
        <v>5</v>
      </c>
      <c r="C21" s="14"/>
      <c r="D21" s="14"/>
      <c r="E21" s="119" t="s">
        <v>279</v>
      </c>
      <c r="F21" s="24"/>
      <c r="G21" s="21"/>
      <c r="H21" s="24" t="s">
        <v>276</v>
      </c>
      <c r="J21" s="62"/>
      <c r="K21" s="62"/>
      <c r="L21" s="317"/>
      <c r="M21" s="318">
        <f>$J$27-($N$22-$K$20)</f>
        <v>0</v>
      </c>
      <c r="N21" s="62"/>
      <c r="P21" s="24"/>
    </row>
    <row r="22" spans="2:16" ht="14.25" customHeight="1">
      <c r="B22" s="13">
        <f t="shared" si="0"/>
        <v>6</v>
      </c>
      <c r="C22" s="14"/>
      <c r="D22" s="14"/>
      <c r="E22" s="121" t="s">
        <v>280</v>
      </c>
      <c r="F22" s="7"/>
      <c r="G22" s="28"/>
      <c r="H22" s="24" t="s">
        <v>276</v>
      </c>
      <c r="J22" s="62"/>
      <c r="K22" s="62"/>
      <c r="L22" s="317"/>
      <c r="M22" s="62"/>
      <c r="N22" s="318">
        <f>'パラメータ（ルート1）'!$H$11</f>
        <v>0</v>
      </c>
      <c r="P22" s="24"/>
    </row>
    <row r="23" spans="2:16" ht="14.25" customHeight="1">
      <c r="B23" s="13">
        <f t="shared" si="0"/>
        <v>7</v>
      </c>
      <c r="C23" s="14"/>
      <c r="D23" s="14"/>
      <c r="E23" s="14"/>
      <c r="F23" s="124" t="s">
        <v>281</v>
      </c>
      <c r="G23" s="167"/>
      <c r="H23" s="7" t="s">
        <v>282</v>
      </c>
      <c r="J23" s="319"/>
      <c r="K23" s="60"/>
      <c r="L23" s="317"/>
      <c r="M23" s="60"/>
      <c r="N23" s="182">
        <f>'パラメータ（ルート1）'!$H$12</f>
        <v>0</v>
      </c>
      <c r="P23" s="24"/>
    </row>
    <row r="24" spans="2:16" ht="14.25" customHeight="1">
      <c r="B24" s="13">
        <f t="shared" si="0"/>
        <v>8</v>
      </c>
      <c r="C24" s="14"/>
      <c r="D24" s="14"/>
      <c r="E24" s="14"/>
      <c r="F24" s="180" t="s">
        <v>283</v>
      </c>
      <c r="G24" s="180"/>
      <c r="H24" s="7" t="s">
        <v>282</v>
      </c>
      <c r="J24" s="63"/>
      <c r="K24" s="63"/>
      <c r="L24" s="317"/>
      <c r="M24" s="63"/>
      <c r="N24" s="320">
        <f>'パラメータ（ルート1）'!$H$13</f>
        <v>0</v>
      </c>
      <c r="P24" s="24"/>
    </row>
    <row r="25" spans="2:16" ht="14.25" customHeight="1">
      <c r="B25" s="13">
        <f t="shared" si="0"/>
        <v>9</v>
      </c>
      <c r="C25" s="14"/>
      <c r="D25" s="14"/>
      <c r="E25" s="14"/>
      <c r="F25" s="120" t="s">
        <v>284</v>
      </c>
      <c r="G25" s="181"/>
      <c r="H25" s="15" t="s">
        <v>276</v>
      </c>
      <c r="J25" s="63"/>
      <c r="K25" s="63"/>
      <c r="L25" s="317"/>
      <c r="M25" s="319"/>
      <c r="N25" s="182">
        <f>$N$22*$N$23/100</f>
        <v>0</v>
      </c>
      <c r="P25" s="24"/>
    </row>
    <row r="26" spans="2:16" ht="14.25" customHeight="1">
      <c r="B26" s="13">
        <f t="shared" si="0"/>
        <v>10</v>
      </c>
      <c r="C26" s="14"/>
      <c r="D26" s="14"/>
      <c r="E26" s="24"/>
      <c r="F26" s="119" t="s">
        <v>285</v>
      </c>
      <c r="G26" s="120"/>
      <c r="H26" s="7" t="s">
        <v>276</v>
      </c>
      <c r="J26" s="63"/>
      <c r="K26" s="62"/>
      <c r="L26" s="317"/>
      <c r="M26" s="63"/>
      <c r="N26" s="182">
        <f>$N$22*$N$24/100</f>
        <v>0</v>
      </c>
      <c r="P26" s="24"/>
    </row>
    <row r="27" spans="2:16" ht="14.25" customHeight="1">
      <c r="B27" s="13">
        <f t="shared" si="0"/>
        <v>11</v>
      </c>
      <c r="C27" s="14"/>
      <c r="D27" s="117" t="s">
        <v>286</v>
      </c>
      <c r="E27" s="32"/>
      <c r="F27" s="32"/>
      <c r="G27" s="32"/>
      <c r="H27" s="122" t="s">
        <v>287</v>
      </c>
      <c r="J27" s="166">
        <f>J17*J18/100</f>
        <v>0</v>
      </c>
      <c r="K27" s="166">
        <f>K20</f>
        <v>0</v>
      </c>
      <c r="L27" s="317"/>
      <c r="M27" s="166">
        <f>M21</f>
        <v>0</v>
      </c>
      <c r="N27" s="166">
        <f>N22</f>
        <v>0</v>
      </c>
      <c r="P27" s="120" t="s">
        <v>288</v>
      </c>
    </row>
    <row r="28" spans="2:16" ht="14.25" customHeight="1">
      <c r="B28" s="13">
        <f t="shared" si="0"/>
        <v>12</v>
      </c>
      <c r="C28" s="14"/>
      <c r="D28" s="117" t="s">
        <v>289</v>
      </c>
      <c r="E28" s="32"/>
      <c r="F28" s="32"/>
      <c r="G28" s="32"/>
      <c r="H28" s="122" t="s">
        <v>287</v>
      </c>
      <c r="J28" s="321"/>
      <c r="K28" s="166">
        <f>K27</f>
        <v>0</v>
      </c>
      <c r="L28" s="317"/>
      <c r="M28" s="321"/>
      <c r="N28" s="166">
        <f>N27</f>
        <v>0</v>
      </c>
      <c r="P28" s="123"/>
    </row>
    <row r="29" spans="2:16" ht="14.25" customHeight="1">
      <c r="B29" s="13">
        <f t="shared" si="0"/>
        <v>13</v>
      </c>
      <c r="C29" s="14"/>
      <c r="D29" s="14"/>
      <c r="E29" s="239"/>
      <c r="F29" s="121" t="s">
        <v>290</v>
      </c>
      <c r="G29" s="124"/>
      <c r="H29" s="24" t="s">
        <v>274</v>
      </c>
      <c r="J29" s="62"/>
      <c r="K29" s="318">
        <f>'パラメータ（ルート1）'!$H$8</f>
        <v>16.7</v>
      </c>
      <c r="L29" s="317"/>
      <c r="M29" s="62"/>
      <c r="N29" s="318" t="e">
        <f>'パラメータ（ルート1）'!$H$14</f>
        <v>#DIV/0!</v>
      </c>
      <c r="P29" s="24"/>
    </row>
    <row r="30" spans="2:16" ht="14.25" customHeight="1">
      <c r="B30" s="13">
        <f t="shared" si="0"/>
        <v>14</v>
      </c>
      <c r="C30" s="14"/>
      <c r="D30" s="14"/>
      <c r="E30" s="119" t="s">
        <v>291</v>
      </c>
      <c r="F30" s="7"/>
      <c r="G30" s="124"/>
      <c r="H30" s="7" t="s">
        <v>276</v>
      </c>
      <c r="J30" s="62"/>
      <c r="K30" s="318">
        <f>K28*(1-(K29/100))</f>
        <v>0</v>
      </c>
      <c r="L30" s="317"/>
      <c r="M30" s="62"/>
      <c r="N30" s="318" t="e">
        <f>N25*(1-(N29/100))</f>
        <v>#DIV/0!</v>
      </c>
      <c r="P30" s="24"/>
    </row>
    <row r="31" spans="2:16" ht="14.25" customHeight="1">
      <c r="B31" s="13">
        <f t="shared" si="0"/>
        <v>15</v>
      </c>
      <c r="C31" s="14"/>
      <c r="D31" s="14"/>
      <c r="E31" s="239"/>
      <c r="F31" s="121" t="s">
        <v>292</v>
      </c>
      <c r="G31" s="124"/>
      <c r="H31" s="24" t="s">
        <v>274</v>
      </c>
      <c r="J31" s="62"/>
      <c r="K31" s="62"/>
      <c r="L31" s="317"/>
      <c r="M31" s="62"/>
      <c r="N31" s="318" t="e">
        <f>'パラメータ（ルート1）'!$H$15</f>
        <v>#DIV/0!</v>
      </c>
      <c r="P31" s="24"/>
    </row>
    <row r="32" spans="2:16" ht="14.25" customHeight="1">
      <c r="B32" s="13">
        <f t="shared" si="0"/>
        <v>16</v>
      </c>
      <c r="C32" s="14"/>
      <c r="D32" s="14"/>
      <c r="E32" s="119" t="s">
        <v>293</v>
      </c>
      <c r="F32" s="7"/>
      <c r="G32" s="124"/>
      <c r="H32" s="7" t="s">
        <v>276</v>
      </c>
      <c r="J32" s="62"/>
      <c r="K32" s="62"/>
      <c r="L32" s="317"/>
      <c r="M32" s="62"/>
      <c r="N32" s="318" t="e">
        <f>N26*(1-(N31/100))</f>
        <v>#DIV/0!</v>
      </c>
      <c r="P32" s="24"/>
    </row>
    <row r="33" spans="2:16" ht="14.25" customHeight="1">
      <c r="B33" s="13">
        <f t="shared" si="0"/>
        <v>17</v>
      </c>
      <c r="C33" s="14"/>
      <c r="D33" s="117" t="s">
        <v>294</v>
      </c>
      <c r="E33" s="32"/>
      <c r="F33" s="32"/>
      <c r="G33" s="32"/>
      <c r="H33" s="122" t="s">
        <v>287</v>
      </c>
      <c r="J33" s="321"/>
      <c r="K33" s="166">
        <f>K30</f>
        <v>0</v>
      </c>
      <c r="L33" s="317"/>
      <c r="M33" s="321"/>
      <c r="N33" s="166" t="e">
        <f>N30+N32</f>
        <v>#DIV/0!</v>
      </c>
      <c r="P33" s="123"/>
    </row>
    <row r="34" spans="2:16" ht="14.25" customHeight="1">
      <c r="B34" s="13">
        <f t="shared" si="0"/>
        <v>18</v>
      </c>
      <c r="C34" s="14"/>
      <c r="D34" s="117" t="s">
        <v>295</v>
      </c>
      <c r="E34" s="32"/>
      <c r="F34" s="32"/>
      <c r="G34" s="32"/>
      <c r="H34" s="122" t="s">
        <v>287</v>
      </c>
      <c r="J34" s="321"/>
      <c r="K34" s="166">
        <f>K28*K29/100</f>
        <v>0</v>
      </c>
      <c r="L34" s="317"/>
      <c r="M34" s="321"/>
      <c r="N34" s="166" t="e">
        <f>(N25*N29/100)+(N26*N31/100)</f>
        <v>#DIV/0!</v>
      </c>
      <c r="P34" s="123"/>
    </row>
    <row r="35" spans="2:16" ht="14.25" customHeight="1">
      <c r="B35" s="13">
        <f t="shared" si="0"/>
        <v>19</v>
      </c>
      <c r="C35" s="14"/>
      <c r="D35" s="14"/>
      <c r="E35" s="183" t="s">
        <v>296</v>
      </c>
      <c r="F35" s="28"/>
      <c r="G35" s="17"/>
      <c r="H35" s="7" t="s">
        <v>276</v>
      </c>
      <c r="J35" s="63"/>
      <c r="K35" s="182">
        <f>K33</f>
        <v>0</v>
      </c>
      <c r="L35" s="317"/>
      <c r="M35" s="63"/>
      <c r="N35" s="182" t="e">
        <f>N30</f>
        <v>#DIV/0!</v>
      </c>
      <c r="P35" s="16"/>
    </row>
    <row r="36" spans="2:16" ht="14.25" customHeight="1">
      <c r="B36" s="13">
        <f t="shared" si="0"/>
        <v>20</v>
      </c>
      <c r="C36" s="14"/>
      <c r="D36" s="14"/>
      <c r="E36" s="183" t="s">
        <v>297</v>
      </c>
      <c r="F36" s="28"/>
      <c r="G36" s="18"/>
      <c r="H36" s="7" t="s">
        <v>276</v>
      </c>
      <c r="J36" s="63"/>
      <c r="K36" s="185"/>
      <c r="L36" s="317"/>
      <c r="M36" s="63"/>
      <c r="N36" s="182" t="e">
        <f>N32</f>
        <v>#DIV/0!</v>
      </c>
      <c r="P36" s="27"/>
    </row>
    <row r="37" spans="2:16" ht="14.25" customHeight="1">
      <c r="B37" s="13">
        <f t="shared" si="0"/>
        <v>21</v>
      </c>
      <c r="C37" s="14"/>
      <c r="D37" s="14"/>
      <c r="E37" s="184" t="s">
        <v>298</v>
      </c>
      <c r="F37" s="21"/>
      <c r="G37" s="22"/>
      <c r="H37" s="24" t="s">
        <v>274</v>
      </c>
      <c r="J37" s="62"/>
      <c r="K37" s="318">
        <f>'パラメータ（ルート1）'!$H$9</f>
        <v>55</v>
      </c>
      <c r="L37" s="317"/>
      <c r="M37" s="62"/>
      <c r="N37" s="318">
        <f>'パラメータ（ルート1）'!$H$16</f>
        <v>55</v>
      </c>
      <c r="P37" s="24"/>
    </row>
    <row r="38" spans="2:16" ht="14.25" customHeight="1">
      <c r="B38" s="13">
        <f t="shared" si="0"/>
        <v>22</v>
      </c>
      <c r="C38" s="14"/>
      <c r="D38" s="117" t="s">
        <v>299</v>
      </c>
      <c r="E38" s="32"/>
      <c r="F38" s="32"/>
      <c r="G38" s="32"/>
      <c r="H38" s="122" t="s">
        <v>287</v>
      </c>
      <c r="J38" s="321"/>
      <c r="K38" s="166">
        <f>K33*(1-(K37/100))</f>
        <v>0</v>
      </c>
      <c r="L38" s="317"/>
      <c r="M38" s="321"/>
      <c r="N38" s="166" t="e">
        <f>N33*(1-(N37/100))</f>
        <v>#DIV/0!</v>
      </c>
      <c r="P38" s="123"/>
    </row>
    <row r="39" spans="2:16" ht="14.25" customHeight="1">
      <c r="B39" s="13">
        <f t="shared" si="0"/>
        <v>23</v>
      </c>
      <c r="C39" s="14"/>
      <c r="D39" s="117" t="s">
        <v>300</v>
      </c>
      <c r="E39" s="32"/>
      <c r="F39" s="32"/>
      <c r="G39" s="32"/>
      <c r="H39" s="122" t="s">
        <v>287</v>
      </c>
      <c r="J39" s="321"/>
      <c r="K39" s="166">
        <f>K33*K37/100</f>
        <v>0</v>
      </c>
      <c r="L39" s="317"/>
      <c r="M39" s="321"/>
      <c r="N39" s="166" t="e">
        <f>N33*N37/100</f>
        <v>#DIV/0!</v>
      </c>
      <c r="P39" s="123"/>
    </row>
    <row r="40" spans="2:16" ht="14.25" customHeight="1">
      <c r="B40" s="13">
        <f t="shared" si="0"/>
        <v>24</v>
      </c>
      <c r="C40" s="14"/>
      <c r="D40" s="117" t="s">
        <v>301</v>
      </c>
      <c r="E40" s="32"/>
      <c r="F40" s="32"/>
      <c r="G40" s="32"/>
      <c r="H40" s="122" t="s">
        <v>287</v>
      </c>
      <c r="J40" s="166">
        <f>J27</f>
        <v>0</v>
      </c>
      <c r="K40" s="166">
        <f>K34</f>
        <v>0</v>
      </c>
      <c r="L40" s="317"/>
      <c r="M40" s="166">
        <f>M27</f>
        <v>0</v>
      </c>
      <c r="N40" s="166" t="e">
        <f>N34</f>
        <v>#DIV/0!</v>
      </c>
      <c r="P40" s="123"/>
    </row>
    <row r="41" spans="2:16" ht="14.25" customHeight="1">
      <c r="B41" s="13">
        <f t="shared" si="0"/>
        <v>25</v>
      </c>
      <c r="C41" s="14"/>
      <c r="D41" s="14"/>
      <c r="E41" s="167" t="s">
        <v>302</v>
      </c>
      <c r="F41" s="28"/>
      <c r="G41" s="18"/>
      <c r="H41" s="16" t="s">
        <v>274</v>
      </c>
      <c r="J41" s="26">
        <f>'パラメータ（ルート1）'!$H$10</f>
        <v>3</v>
      </c>
      <c r="K41" s="322">
        <f>'パラメータ（ルート1）'!$H$10</f>
        <v>3</v>
      </c>
      <c r="L41" s="317"/>
      <c r="M41" s="26">
        <f>'パラメータ（ルート1）'!$H$10</f>
        <v>3</v>
      </c>
      <c r="N41" s="322">
        <f>'パラメータ（ルート1）'!$H$10</f>
        <v>3</v>
      </c>
      <c r="P41" s="16"/>
    </row>
    <row r="42" spans="2:16" ht="14.25" customHeight="1">
      <c r="B42" s="13">
        <f t="shared" si="0"/>
        <v>26</v>
      </c>
      <c r="C42" s="14"/>
      <c r="D42" s="117" t="s">
        <v>303</v>
      </c>
      <c r="E42" s="32"/>
      <c r="F42" s="32"/>
      <c r="G42" s="32"/>
      <c r="H42" s="122" t="s">
        <v>287</v>
      </c>
      <c r="J42" s="323"/>
      <c r="K42" s="166">
        <f>K39*K41/100</f>
        <v>0</v>
      </c>
      <c r="L42" s="317"/>
      <c r="M42" s="321"/>
      <c r="N42" s="166" t="e">
        <f>N39*N41/100</f>
        <v>#DIV/0!</v>
      </c>
      <c r="P42" s="123"/>
    </row>
    <row r="43" spans="2:16" ht="14.25" customHeight="1">
      <c r="B43" s="13">
        <f t="shared" si="0"/>
        <v>27</v>
      </c>
      <c r="C43" s="14"/>
      <c r="D43" s="117" t="s">
        <v>304</v>
      </c>
      <c r="E43" s="32"/>
      <c r="F43" s="32"/>
      <c r="G43" s="32"/>
      <c r="H43" s="122" t="s">
        <v>287</v>
      </c>
      <c r="J43" s="166">
        <f>J40*J41/100</f>
        <v>0</v>
      </c>
      <c r="K43" s="166">
        <f>K40*K41/100</f>
        <v>0</v>
      </c>
      <c r="L43" s="317"/>
      <c r="M43" s="166">
        <f>M40*M41/100</f>
        <v>0</v>
      </c>
      <c r="N43" s="166" t="e">
        <f>N40*N41/100</f>
        <v>#DIV/0!</v>
      </c>
      <c r="P43" s="123"/>
    </row>
    <row r="44" spans="2:16">
      <c r="C44" s="29"/>
    </row>
  </sheetData>
  <mergeCells count="2">
    <mergeCell ref="M3:N3"/>
    <mergeCell ref="J3:K3"/>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F351A-7234-48CE-A4AD-B3701EEE5003}">
  <dimension ref="A1:P71"/>
  <sheetViews>
    <sheetView topLeftCell="A6" workbookViewId="0">
      <selection activeCell="K39" sqref="K39"/>
    </sheetView>
  </sheetViews>
  <sheetFormatPr defaultColWidth="9" defaultRowHeight="14.25"/>
  <cols>
    <col min="1" max="1" width="2.85546875" style="6" customWidth="1"/>
    <col min="2" max="2" width="4.5703125" style="6" customWidth="1"/>
    <col min="3" max="6" width="2.5703125" style="6" customWidth="1"/>
    <col min="7" max="7" width="50.140625" style="6" customWidth="1"/>
    <col min="8" max="8" width="10.5703125" style="6" customWidth="1"/>
    <col min="9" max="9" width="2.7109375" style="6" customWidth="1"/>
    <col min="10" max="10" width="14.42578125" style="6" customWidth="1"/>
    <col min="11" max="11" width="14.5703125" style="6" customWidth="1"/>
    <col min="12" max="12" width="2.85546875" style="6" customWidth="1"/>
    <col min="13" max="13" width="14.5703125" style="6" customWidth="1"/>
    <col min="14" max="14" width="14.28515625" style="6" customWidth="1"/>
    <col min="15" max="15" width="2.85546875" style="6" customWidth="1"/>
    <col min="16" max="16" width="49" style="6" customWidth="1"/>
    <col min="17" max="16384" width="9" style="6"/>
  </cols>
  <sheetData>
    <row r="1" spans="1:14" ht="18">
      <c r="A1" s="5" t="s">
        <v>305</v>
      </c>
      <c r="B1" s="5"/>
      <c r="C1" s="5"/>
    </row>
    <row r="2" spans="1:14" ht="15" thickBot="1"/>
    <row r="3" spans="1:14" ht="15">
      <c r="F3" s="36" t="s">
        <v>246</v>
      </c>
      <c r="G3" s="37"/>
      <c r="H3" s="38"/>
      <c r="J3" s="437" t="s">
        <v>247</v>
      </c>
      <c r="K3" s="438"/>
      <c r="L3" s="127"/>
      <c r="M3" s="437" t="s">
        <v>248</v>
      </c>
      <c r="N3" s="438"/>
    </row>
    <row r="4" spans="1:14" ht="15">
      <c r="F4" s="40" t="s">
        <v>249</v>
      </c>
      <c r="G4" s="41"/>
      <c r="H4" s="42"/>
      <c r="J4" s="43" t="s">
        <v>250</v>
      </c>
      <c r="K4" s="126" t="s">
        <v>251</v>
      </c>
      <c r="L4" s="127"/>
      <c r="M4" s="43" t="s">
        <v>250</v>
      </c>
      <c r="N4" s="126" t="s">
        <v>252</v>
      </c>
    </row>
    <row r="5" spans="1:14" ht="15">
      <c r="F5" s="44" t="s">
        <v>306</v>
      </c>
      <c r="G5" s="45"/>
      <c r="H5" s="46" t="s">
        <v>307</v>
      </c>
      <c r="J5" s="224" t="e">
        <f>J$69</f>
        <v>#DIV/0!</v>
      </c>
      <c r="K5" s="225" t="e">
        <f t="shared" ref="K5:N5" si="0">K$69</f>
        <v>#DIV/0!</v>
      </c>
      <c r="M5" s="224" t="e">
        <f t="shared" si="0"/>
        <v>#DIV/0!</v>
      </c>
      <c r="N5" s="225" t="e">
        <f t="shared" si="0"/>
        <v>#DIV/0!</v>
      </c>
    </row>
    <row r="6" spans="1:14">
      <c r="F6" s="47"/>
      <c r="G6" s="48" t="s">
        <v>308</v>
      </c>
      <c r="H6" s="46" t="s">
        <v>307</v>
      </c>
      <c r="J6" s="227">
        <f>J23</f>
        <v>0</v>
      </c>
      <c r="K6" s="226">
        <f>K23</f>
        <v>0</v>
      </c>
      <c r="M6" s="227" t="e">
        <f>M23</f>
        <v>#DIV/0!</v>
      </c>
      <c r="N6" s="226">
        <f>N23</f>
        <v>0</v>
      </c>
    </row>
    <row r="7" spans="1:14">
      <c r="F7" s="47"/>
      <c r="G7" s="50" t="s">
        <v>309</v>
      </c>
      <c r="H7" s="51" t="s">
        <v>307</v>
      </c>
      <c r="J7" s="228"/>
      <c r="K7" s="226" t="e">
        <f>K26</f>
        <v>#DIV/0!</v>
      </c>
      <c r="M7" s="228"/>
      <c r="N7" s="226" t="e">
        <f>N26</f>
        <v>#DIV/0!</v>
      </c>
    </row>
    <row r="8" spans="1:14">
      <c r="F8" s="47"/>
      <c r="G8" s="50" t="s">
        <v>310</v>
      </c>
      <c r="H8" s="51" t="s">
        <v>307</v>
      </c>
      <c r="J8" s="228"/>
      <c r="K8" s="226" t="e">
        <f>K30+K34</f>
        <v>#DIV/0!</v>
      </c>
      <c r="M8" s="228"/>
      <c r="N8" s="226" t="e">
        <f>N30+N34</f>
        <v>#DIV/0!</v>
      </c>
    </row>
    <row r="9" spans="1:14">
      <c r="F9" s="47"/>
      <c r="G9" s="50" t="s">
        <v>311</v>
      </c>
      <c r="H9" s="51" t="s">
        <v>307</v>
      </c>
      <c r="J9" s="228"/>
      <c r="K9" s="226">
        <f>K37</f>
        <v>0</v>
      </c>
      <c r="M9" s="228"/>
      <c r="N9" s="226" t="e">
        <f>N37</f>
        <v>#DIV/0!</v>
      </c>
    </row>
    <row r="10" spans="1:14">
      <c r="F10" s="47"/>
      <c r="G10" s="50" t="s">
        <v>312</v>
      </c>
      <c r="H10" s="51" t="s">
        <v>307</v>
      </c>
      <c r="J10" s="228"/>
      <c r="K10" s="226">
        <f>K41</f>
        <v>0</v>
      </c>
      <c r="M10" s="228"/>
      <c r="N10" s="226" t="e">
        <f>N41</f>
        <v>#DIV/0!</v>
      </c>
    </row>
    <row r="11" spans="1:14">
      <c r="F11" s="47"/>
      <c r="G11" s="50" t="s">
        <v>313</v>
      </c>
      <c r="H11" s="51" t="s">
        <v>307</v>
      </c>
      <c r="J11" s="228"/>
      <c r="K11" s="226" t="e">
        <f>K45</f>
        <v>#DIV/0!</v>
      </c>
      <c r="M11" s="228"/>
      <c r="N11" s="226" t="e">
        <f>N45</f>
        <v>#DIV/0!</v>
      </c>
    </row>
    <row r="12" spans="1:14">
      <c r="F12" s="47"/>
      <c r="G12" s="309" t="s">
        <v>314</v>
      </c>
      <c r="H12" s="51" t="s">
        <v>307</v>
      </c>
      <c r="J12" s="227">
        <f>J55</f>
        <v>0</v>
      </c>
      <c r="K12" s="226">
        <f>K55</f>
        <v>0</v>
      </c>
      <c r="M12" s="227">
        <f>M55</f>
        <v>0</v>
      </c>
      <c r="N12" s="226" t="e">
        <f>N55</f>
        <v>#DIV/0!</v>
      </c>
    </row>
    <row r="13" spans="1:14">
      <c r="F13" s="47"/>
      <c r="G13" s="50" t="s">
        <v>315</v>
      </c>
      <c r="H13" s="51" t="s">
        <v>307</v>
      </c>
      <c r="J13" s="227" t="e">
        <f>J68</f>
        <v>#DIV/0!</v>
      </c>
      <c r="K13" s="226" t="e">
        <f>K68</f>
        <v>#DIV/0!</v>
      </c>
      <c r="M13" s="227" t="e">
        <f>M68</f>
        <v>#DIV/0!</v>
      </c>
      <c r="N13" s="226" t="e">
        <f>N68</f>
        <v>#DIV/0!</v>
      </c>
    </row>
    <row r="14" spans="1:14" ht="15" thickBot="1">
      <c r="F14" s="53"/>
      <c r="G14" s="54" t="s">
        <v>316</v>
      </c>
      <c r="H14" s="55" t="s">
        <v>307</v>
      </c>
      <c r="J14" s="221"/>
      <c r="K14" s="222"/>
      <c r="M14" s="221"/>
      <c r="N14" s="222"/>
    </row>
    <row r="15" spans="1:14">
      <c r="K15" s="223"/>
    </row>
    <row r="16" spans="1:14">
      <c r="B16" s="6" t="s">
        <v>263</v>
      </c>
    </row>
    <row r="17" spans="2:16">
      <c r="B17" s="9" t="s">
        <v>8</v>
      </c>
      <c r="C17" s="10" t="s">
        <v>264</v>
      </c>
      <c r="D17" s="11"/>
      <c r="E17" s="10" t="s">
        <v>265</v>
      </c>
      <c r="F17" s="12"/>
      <c r="G17" s="11"/>
      <c r="H17" s="9" t="s">
        <v>266</v>
      </c>
      <c r="J17" s="128" t="s">
        <v>58</v>
      </c>
      <c r="K17" s="9" t="s">
        <v>267</v>
      </c>
      <c r="M17" s="9" t="s">
        <v>268</v>
      </c>
      <c r="N17" s="9" t="s">
        <v>269</v>
      </c>
      <c r="P17" s="9" t="s">
        <v>270</v>
      </c>
    </row>
    <row r="18" spans="2:16">
      <c r="B18" s="13">
        <v>1</v>
      </c>
      <c r="C18" s="14"/>
      <c r="D18" s="14"/>
      <c r="E18" s="177" t="s">
        <v>317</v>
      </c>
      <c r="F18" s="21"/>
      <c r="G18" s="18"/>
      <c r="H18" s="7" t="s">
        <v>318</v>
      </c>
      <c r="J18" s="360">
        <f>'パラメータ（ルート1）'!H17</f>
        <v>0</v>
      </c>
      <c r="K18" s="360">
        <f>'パラメータ（ルート1）'!H18</f>
        <v>0</v>
      </c>
      <c r="L18" s="361"/>
      <c r="M18" s="360">
        <f>'パラメータ（ルート1）'!H19</f>
        <v>0</v>
      </c>
      <c r="N18" s="360">
        <f>'パラメータ（ルート1）'!H20</f>
        <v>0</v>
      </c>
      <c r="P18" s="7"/>
    </row>
    <row r="19" spans="2:16">
      <c r="B19" s="13">
        <f>B18+1</f>
        <v>2</v>
      </c>
      <c r="C19" s="14"/>
      <c r="D19" s="14"/>
      <c r="E19" s="177" t="s">
        <v>319</v>
      </c>
      <c r="F19" s="25"/>
      <c r="G19" s="18"/>
      <c r="H19" s="7" t="s">
        <v>274</v>
      </c>
      <c r="J19" s="360">
        <f>'パラメータ（ルート1）'!H6</f>
        <v>9</v>
      </c>
      <c r="K19" s="362"/>
      <c r="L19" s="361"/>
      <c r="M19" s="360" t="e">
        <f>('数量（ルート1）'!M21/('数量（ルート1）'!J17-('数量（ルート1）'!J19-'数量（ルート1）'!M21)))*100</f>
        <v>#DIV/0!</v>
      </c>
      <c r="N19" s="362"/>
      <c r="P19" s="7"/>
    </row>
    <row r="20" spans="2:16">
      <c r="B20" s="13">
        <f t="shared" ref="B20:B69" si="1">B19+1</f>
        <v>3</v>
      </c>
      <c r="C20" s="14"/>
      <c r="D20" s="14"/>
      <c r="E20" s="177" t="s">
        <v>320</v>
      </c>
      <c r="F20" s="25"/>
      <c r="G20" s="18"/>
      <c r="H20" s="7" t="s">
        <v>318</v>
      </c>
      <c r="J20" s="360">
        <f>J18*J19/100</f>
        <v>0</v>
      </c>
      <c r="K20" s="362"/>
      <c r="L20" s="361"/>
      <c r="M20" s="360" t="e">
        <f>M18*M19/100</f>
        <v>#DIV/0!</v>
      </c>
      <c r="N20" s="362"/>
      <c r="P20" s="7"/>
    </row>
    <row r="21" spans="2:16">
      <c r="B21" s="13">
        <f t="shared" si="1"/>
        <v>4</v>
      </c>
      <c r="C21" s="14"/>
      <c r="D21" s="14"/>
      <c r="E21" s="28" t="s">
        <v>321</v>
      </c>
      <c r="F21" s="17"/>
      <c r="G21" s="18"/>
      <c r="H21" s="7" t="s">
        <v>322</v>
      </c>
      <c r="J21" s="363">
        <f>'パラメータ（ルート1）'!H21</f>
        <v>10.35</v>
      </c>
      <c r="K21" s="363">
        <f>'パラメータ（ルート1）'!H21</f>
        <v>10.35</v>
      </c>
      <c r="L21" s="361"/>
      <c r="M21" s="363">
        <f>'パラメータ（ルート1）'!H21</f>
        <v>10.35</v>
      </c>
      <c r="N21" s="363">
        <f>'パラメータ（ルート1）'!H21</f>
        <v>10.35</v>
      </c>
      <c r="P21" s="7"/>
    </row>
    <row r="22" spans="2:16">
      <c r="B22" s="13">
        <f t="shared" si="1"/>
        <v>5</v>
      </c>
      <c r="C22" s="14"/>
      <c r="D22" s="24"/>
      <c r="E22" s="28" t="s">
        <v>323</v>
      </c>
      <c r="F22" s="17"/>
      <c r="G22" s="18"/>
      <c r="H22" s="7" t="s">
        <v>173</v>
      </c>
      <c r="J22" s="363">
        <f>'パラメータ（ルート1）'!H22</f>
        <v>2.62</v>
      </c>
      <c r="K22" s="363">
        <f>'パラメータ（ルート1）'!H22</f>
        <v>2.62</v>
      </c>
      <c r="L22" s="361"/>
      <c r="M22" s="363">
        <f>'パラメータ（ルート1）'!H22</f>
        <v>2.62</v>
      </c>
      <c r="N22" s="363">
        <f>'パラメータ（ルート1）'!H22</f>
        <v>2.62</v>
      </c>
      <c r="P22" s="7"/>
    </row>
    <row r="23" spans="2:16" ht="15">
      <c r="B23" s="13">
        <f t="shared" si="1"/>
        <v>6</v>
      </c>
      <c r="C23" s="14"/>
      <c r="D23" s="35" t="s">
        <v>324</v>
      </c>
      <c r="E23" s="33"/>
      <c r="F23" s="33"/>
      <c r="G23" s="34"/>
      <c r="H23" s="122" t="s">
        <v>325</v>
      </c>
      <c r="J23" s="364">
        <f>(J20/J21)*J22/1000</f>
        <v>0</v>
      </c>
      <c r="K23" s="364">
        <f>(K18/K21)*K22/1000</f>
        <v>0</v>
      </c>
      <c r="L23" s="361"/>
      <c r="M23" s="364" t="e">
        <f>(M20/M21)*M22/1000</f>
        <v>#DIV/0!</v>
      </c>
      <c r="N23" s="364">
        <f t="shared" ref="N23" si="2">(N18/N21)*N22/1000</f>
        <v>0</v>
      </c>
      <c r="P23" s="7"/>
    </row>
    <row r="24" spans="2:16">
      <c r="B24" s="13">
        <f t="shared" si="1"/>
        <v>7</v>
      </c>
      <c r="C24" s="14"/>
      <c r="D24" s="14"/>
      <c r="E24" s="177" t="s">
        <v>326</v>
      </c>
      <c r="F24" s="25"/>
      <c r="G24" s="18"/>
      <c r="H24" s="31" t="s">
        <v>327</v>
      </c>
      <c r="J24" s="365"/>
      <c r="K24" s="366" t="e">
        <f>'パラメータ（ルート1）'!H23</f>
        <v>#DIV/0!</v>
      </c>
      <c r="L24" s="361"/>
      <c r="M24" s="365"/>
      <c r="N24" s="366" t="e">
        <f>'パラメータ（ルート1）'!H24</f>
        <v>#DIV/0!</v>
      </c>
      <c r="P24" s="31"/>
    </row>
    <row r="25" spans="2:16">
      <c r="B25" s="13">
        <f t="shared" si="1"/>
        <v>8</v>
      </c>
      <c r="C25" s="14"/>
      <c r="D25" s="21"/>
      <c r="E25" s="28" t="s">
        <v>328</v>
      </c>
      <c r="F25" s="17"/>
      <c r="G25" s="25"/>
      <c r="H25" s="7" t="s">
        <v>329</v>
      </c>
      <c r="J25" s="367"/>
      <c r="K25" s="368">
        <f>'パラメータ（ルート1）'!H25</f>
        <v>4.2900000000000002E-4</v>
      </c>
      <c r="L25" s="361"/>
      <c r="M25" s="367"/>
      <c r="N25" s="368">
        <f>'パラメータ（ルート1）'!H25</f>
        <v>4.2900000000000002E-4</v>
      </c>
      <c r="P25" s="31"/>
    </row>
    <row r="26" spans="2:16" ht="15">
      <c r="B26" s="13">
        <f t="shared" si="1"/>
        <v>9</v>
      </c>
      <c r="C26" s="14"/>
      <c r="D26" s="35" t="s">
        <v>330</v>
      </c>
      <c r="E26" s="32"/>
      <c r="F26" s="32"/>
      <c r="G26" s="34"/>
      <c r="H26" s="192" t="s">
        <v>325</v>
      </c>
      <c r="J26" s="369"/>
      <c r="K26" s="370" t="e">
        <f>K24*K25</f>
        <v>#DIV/0!</v>
      </c>
      <c r="L26" s="361"/>
      <c r="M26" s="369"/>
      <c r="N26" s="370" t="e">
        <f>N24*N25</f>
        <v>#DIV/0!</v>
      </c>
      <c r="P26" s="31"/>
    </row>
    <row r="27" spans="2:16">
      <c r="B27" s="13">
        <f t="shared" si="1"/>
        <v>10</v>
      </c>
      <c r="C27" s="14"/>
      <c r="D27" s="15"/>
      <c r="E27" s="443" t="s">
        <v>331</v>
      </c>
      <c r="F27" s="444"/>
      <c r="G27" s="445"/>
      <c r="H27" s="7" t="s">
        <v>318</v>
      </c>
      <c r="J27" s="371"/>
      <c r="K27" s="360">
        <f>('数量（ルート1）'!$K$33/'パラメータ（ルート1）'!$H$26)*'パラメータ（ルート1）'!$H$27</f>
        <v>0</v>
      </c>
      <c r="L27" s="361"/>
      <c r="M27" s="371"/>
      <c r="N27" s="360" t="e">
        <f>('数量（ルート1）'!$N$33/'パラメータ（ルート1）'!$H$26)*'パラメータ（ルート1）'!$H$28</f>
        <v>#DIV/0!</v>
      </c>
      <c r="P27" s="7"/>
    </row>
    <row r="28" spans="2:16">
      <c r="B28" s="13">
        <f t="shared" si="1"/>
        <v>11</v>
      </c>
      <c r="C28" s="14"/>
      <c r="D28" s="15"/>
      <c r="E28" s="443" t="s">
        <v>321</v>
      </c>
      <c r="F28" s="444"/>
      <c r="G28" s="445"/>
      <c r="H28" s="7" t="s">
        <v>322</v>
      </c>
      <c r="J28" s="372"/>
      <c r="K28" s="363">
        <f>'パラメータ（ルート1）'!$H$29</f>
        <v>4.1500000000000004</v>
      </c>
      <c r="L28" s="361"/>
      <c r="M28" s="372"/>
      <c r="N28" s="363">
        <f>'パラメータ（ルート1）'!$H$29</f>
        <v>4.1500000000000004</v>
      </c>
      <c r="P28" s="7"/>
    </row>
    <row r="29" spans="2:16">
      <c r="B29" s="13">
        <f t="shared" si="1"/>
        <v>12</v>
      </c>
      <c r="C29" s="14"/>
      <c r="D29" s="15"/>
      <c r="E29" s="443" t="s">
        <v>323</v>
      </c>
      <c r="F29" s="444"/>
      <c r="G29" s="445"/>
      <c r="H29" s="7" t="s">
        <v>173</v>
      </c>
      <c r="J29" s="372"/>
      <c r="K29" s="363">
        <f>'パラメータ（ルート1）'!$H$30</f>
        <v>2.62</v>
      </c>
      <c r="L29" s="361"/>
      <c r="M29" s="372"/>
      <c r="N29" s="363">
        <f>'パラメータ（ルート1）'!$H$30</f>
        <v>2.62</v>
      </c>
      <c r="P29" s="7"/>
    </row>
    <row r="30" spans="2:16" ht="15">
      <c r="B30" s="13">
        <f t="shared" si="1"/>
        <v>13</v>
      </c>
      <c r="C30" s="14"/>
      <c r="D30" s="215" t="s">
        <v>332</v>
      </c>
      <c r="E30" s="212"/>
      <c r="F30" s="212"/>
      <c r="G30" s="206"/>
      <c r="H30" s="207" t="s">
        <v>333</v>
      </c>
      <c r="J30" s="371"/>
      <c r="K30" s="364">
        <f>($K$27/$K$28)*$K$29/1000</f>
        <v>0</v>
      </c>
      <c r="L30" s="361"/>
      <c r="M30" s="371"/>
      <c r="N30" s="364" t="e">
        <f>($N$27/$N$28)*$N$29/1000</f>
        <v>#DIV/0!</v>
      </c>
      <c r="P30" s="7"/>
    </row>
    <row r="31" spans="2:16">
      <c r="B31" s="13">
        <f t="shared" si="1"/>
        <v>14</v>
      </c>
      <c r="C31" s="14"/>
      <c r="D31" s="15"/>
      <c r="E31" s="443" t="s">
        <v>334</v>
      </c>
      <c r="F31" s="444"/>
      <c r="G31" s="445"/>
      <c r="H31" s="7" t="s">
        <v>318</v>
      </c>
      <c r="J31" s="371"/>
      <c r="K31" s="360" t="e">
        <f>('数量（ルート1）'!$K$34/'パラメータ（ルート1）'!$H$31)*'パラメータ（ルート1）'!$H$32</f>
        <v>#DIV/0!</v>
      </c>
      <c r="L31" s="361"/>
      <c r="M31" s="371"/>
      <c r="N31" s="360" t="e">
        <f>('数量（ルート1）'!$N$34/'パラメータ（ルート1）'!$H$31)*'パラメータ（ルート1）'!$H$32</f>
        <v>#DIV/0!</v>
      </c>
      <c r="P31" s="7"/>
    </row>
    <row r="32" spans="2:16">
      <c r="B32" s="13">
        <f t="shared" si="1"/>
        <v>15</v>
      </c>
      <c r="C32" s="14"/>
      <c r="D32" s="15"/>
      <c r="E32" s="443" t="s">
        <v>321</v>
      </c>
      <c r="F32" s="444"/>
      <c r="G32" s="445"/>
      <c r="H32" s="7" t="s">
        <v>322</v>
      </c>
      <c r="J32" s="372"/>
      <c r="K32" s="363">
        <f>'パラメータ（ルート1）'!$H$33</f>
        <v>4.1500000000000004</v>
      </c>
      <c r="L32" s="361"/>
      <c r="M32" s="372"/>
      <c r="N32" s="363">
        <f>'パラメータ（ルート1）'!$H$33</f>
        <v>4.1500000000000004</v>
      </c>
      <c r="P32" s="7"/>
    </row>
    <row r="33" spans="2:16">
      <c r="B33" s="13">
        <f t="shared" si="1"/>
        <v>16</v>
      </c>
      <c r="C33" s="14"/>
      <c r="D33" s="24"/>
      <c r="E33" s="443" t="s">
        <v>323</v>
      </c>
      <c r="F33" s="444"/>
      <c r="G33" s="445"/>
      <c r="H33" s="7" t="s">
        <v>173</v>
      </c>
      <c r="J33" s="372"/>
      <c r="K33" s="363">
        <f>'パラメータ（ルート1）'!$H$34</f>
        <v>2.62</v>
      </c>
      <c r="L33" s="361"/>
      <c r="M33" s="372"/>
      <c r="N33" s="363">
        <f>'パラメータ（ルート1）'!$H$34</f>
        <v>2.62</v>
      </c>
      <c r="P33" s="7"/>
    </row>
    <row r="34" spans="2:16" ht="15">
      <c r="B34" s="13">
        <f t="shared" si="1"/>
        <v>17</v>
      </c>
      <c r="C34" s="14"/>
      <c r="D34" s="215" t="s">
        <v>335</v>
      </c>
      <c r="E34" s="211"/>
      <c r="F34" s="205"/>
      <c r="G34" s="206"/>
      <c r="H34" s="207" t="s">
        <v>333</v>
      </c>
      <c r="J34" s="371"/>
      <c r="K34" s="364" t="e">
        <f>($K$31/$K$32)*$K$33/1000</f>
        <v>#DIV/0!</v>
      </c>
      <c r="L34" s="361"/>
      <c r="M34" s="371"/>
      <c r="N34" s="364" t="e">
        <f>($N$31/$N$32)*$N$33/1000</f>
        <v>#DIV/0!</v>
      </c>
      <c r="P34" s="7"/>
    </row>
    <row r="35" spans="2:16">
      <c r="B35" s="13">
        <f t="shared" si="1"/>
        <v>18</v>
      </c>
      <c r="C35" s="14"/>
      <c r="D35" s="31"/>
      <c r="E35" s="124" t="s">
        <v>258</v>
      </c>
      <c r="F35" s="28"/>
      <c r="G35" s="7"/>
      <c r="H35" s="7" t="s">
        <v>336</v>
      </c>
      <c r="J35" s="371"/>
      <c r="K35" s="360">
        <f>'数量（ルート1）'!$K$38</f>
        <v>0</v>
      </c>
      <c r="L35" s="361"/>
      <c r="M35" s="371"/>
      <c r="N35" s="360" t="e">
        <f>'数量（ルート1）'!$N$38</f>
        <v>#DIV/0!</v>
      </c>
      <c r="P35" s="7"/>
    </row>
    <row r="36" spans="2:16" ht="14.25" customHeight="1">
      <c r="B36" s="13">
        <f t="shared" si="1"/>
        <v>19</v>
      </c>
      <c r="C36" s="14"/>
      <c r="D36" s="24"/>
      <c r="E36" s="442" t="s">
        <v>337</v>
      </c>
      <c r="F36" s="440"/>
      <c r="G36" s="441"/>
      <c r="H36" s="7" t="s">
        <v>338</v>
      </c>
      <c r="J36" s="371"/>
      <c r="K36" s="363">
        <f>'パラメータ（ルート1）'!$H$35</f>
        <v>0</v>
      </c>
      <c r="L36" s="361"/>
      <c r="M36" s="371"/>
      <c r="N36" s="363">
        <f>'パラメータ（ルート1）'!$H$38</f>
        <v>0</v>
      </c>
      <c r="P36" s="7"/>
    </row>
    <row r="37" spans="2:16" ht="15">
      <c r="B37" s="13">
        <f t="shared" si="1"/>
        <v>20</v>
      </c>
      <c r="C37" s="14"/>
      <c r="D37" s="35" t="s">
        <v>339</v>
      </c>
      <c r="E37" s="32"/>
      <c r="F37" s="32"/>
      <c r="G37" s="213"/>
      <c r="H37" s="207" t="s">
        <v>333</v>
      </c>
      <c r="J37" s="373"/>
      <c r="K37" s="364">
        <f>$K$35*$K$36</f>
        <v>0</v>
      </c>
      <c r="L37" s="361"/>
      <c r="M37" s="373"/>
      <c r="N37" s="364" t="e">
        <f>$N$35*$N$36</f>
        <v>#DIV/0!</v>
      </c>
      <c r="P37" s="7"/>
    </row>
    <row r="38" spans="2:16" ht="14.25" customHeight="1">
      <c r="B38" s="13">
        <f t="shared" si="1"/>
        <v>21</v>
      </c>
      <c r="C38" s="14"/>
      <c r="D38" s="15"/>
      <c r="E38" s="124" t="s">
        <v>258</v>
      </c>
      <c r="F38" s="28"/>
      <c r="G38" s="7"/>
      <c r="H38" s="7" t="s">
        <v>336</v>
      </c>
      <c r="J38" s="371"/>
      <c r="K38" s="360">
        <f>$K$35</f>
        <v>0</v>
      </c>
      <c r="L38" s="361"/>
      <c r="M38" s="371"/>
      <c r="N38" s="360" t="e">
        <f>$N$35</f>
        <v>#DIV/0!</v>
      </c>
      <c r="P38" s="7"/>
    </row>
    <row r="39" spans="2:16" ht="14.25" customHeight="1">
      <c r="B39" s="13">
        <f t="shared" si="1"/>
        <v>22</v>
      </c>
      <c r="C39" s="14"/>
      <c r="D39" s="24"/>
      <c r="E39" s="442" t="s">
        <v>340</v>
      </c>
      <c r="F39" s="440"/>
      <c r="G39" s="441"/>
      <c r="H39" s="7" t="s">
        <v>338</v>
      </c>
      <c r="J39" s="372"/>
      <c r="K39" s="363">
        <f>'パラメータ（ルート1）'!$H$36</f>
        <v>0</v>
      </c>
      <c r="L39" s="361"/>
      <c r="M39" s="372"/>
      <c r="N39" s="363">
        <f>'パラメータ（ルート1）'!$H$39</f>
        <v>0</v>
      </c>
      <c r="P39" s="7"/>
    </row>
    <row r="40" spans="2:16" ht="14.25" customHeight="1">
      <c r="B40" s="13">
        <f t="shared" si="1"/>
        <v>23</v>
      </c>
      <c r="C40" s="14"/>
      <c r="D40" s="24"/>
      <c r="E40" s="439" t="s">
        <v>341</v>
      </c>
      <c r="F40" s="440"/>
      <c r="G40" s="441"/>
      <c r="H40" s="230" t="s">
        <v>342</v>
      </c>
      <c r="J40" s="372"/>
      <c r="K40" s="363">
        <f>'パラメータ（ルート1）'!H37</f>
        <v>40.4</v>
      </c>
      <c r="L40" s="361"/>
      <c r="M40" s="372"/>
      <c r="N40" s="363">
        <f>'パラメータ（ルート1）'!H40</f>
        <v>40.4</v>
      </c>
      <c r="P40" s="7"/>
    </row>
    <row r="41" spans="2:16" ht="15">
      <c r="B41" s="13">
        <f t="shared" si="1"/>
        <v>24</v>
      </c>
      <c r="C41" s="14"/>
      <c r="D41" s="35" t="s">
        <v>343</v>
      </c>
      <c r="E41" s="32"/>
      <c r="F41" s="32"/>
      <c r="G41" s="64"/>
      <c r="H41" s="207" t="s">
        <v>333</v>
      </c>
      <c r="J41" s="373"/>
      <c r="K41" s="374">
        <f>$K$38*$K$39*($K$40/100)</f>
        <v>0</v>
      </c>
      <c r="L41" s="361"/>
      <c r="M41" s="373"/>
      <c r="N41" s="374" t="e">
        <f>$N$38*N39*($N$40/100)</f>
        <v>#DIV/0!</v>
      </c>
      <c r="P41" s="230" t="s">
        <v>344</v>
      </c>
    </row>
    <row r="42" spans="2:16">
      <c r="B42" s="13">
        <f t="shared" si="1"/>
        <v>25</v>
      </c>
      <c r="C42" s="14"/>
      <c r="D42" s="15"/>
      <c r="E42" s="21" t="s">
        <v>331</v>
      </c>
      <c r="F42" s="25"/>
      <c r="G42" s="18"/>
      <c r="H42" s="7" t="s">
        <v>318</v>
      </c>
      <c r="J42" s="371"/>
      <c r="K42" s="360" t="e">
        <f>('数量（ルート1）'!$K$39/'パラメータ（ルート1）'!$H$41)*'パラメータ（ルート1）'!$H$42</f>
        <v>#DIV/0!</v>
      </c>
      <c r="L42" s="361"/>
      <c r="M42" s="371"/>
      <c r="N42" s="360" t="e">
        <f>('数量（ルート1）'!$N$39/'パラメータ（ルート1）'!$H$43)*'パラメータ（ルート1）'!$H$44</f>
        <v>#DIV/0!</v>
      </c>
      <c r="P42" s="7"/>
    </row>
    <row r="43" spans="2:16">
      <c r="B43" s="13">
        <f t="shared" si="1"/>
        <v>26</v>
      </c>
      <c r="C43" s="14"/>
      <c r="D43" s="15"/>
      <c r="E43" s="28" t="s">
        <v>321</v>
      </c>
      <c r="F43" s="17"/>
      <c r="G43" s="18"/>
      <c r="H43" s="7" t="s">
        <v>322</v>
      </c>
      <c r="J43" s="372"/>
      <c r="K43" s="363">
        <f>'パラメータ（ルート1）'!$H$45</f>
        <v>4.1500000000000004</v>
      </c>
      <c r="L43" s="361"/>
      <c r="M43" s="372"/>
      <c r="N43" s="363">
        <f>'パラメータ（ルート1）'!$H$45</f>
        <v>4.1500000000000004</v>
      </c>
      <c r="P43" s="7"/>
    </row>
    <row r="44" spans="2:16">
      <c r="B44" s="13">
        <f t="shared" si="1"/>
        <v>27</v>
      </c>
      <c r="C44" s="14"/>
      <c r="D44" s="24"/>
      <c r="E44" s="28" t="s">
        <v>323</v>
      </c>
      <c r="F44" s="17"/>
      <c r="G44" s="18"/>
      <c r="H44" s="7" t="s">
        <v>173</v>
      </c>
      <c r="J44" s="372"/>
      <c r="K44" s="363">
        <f>'パラメータ（ルート1）'!$H$46</f>
        <v>2.62</v>
      </c>
      <c r="L44" s="361"/>
      <c r="M44" s="372"/>
      <c r="N44" s="363">
        <f>'パラメータ（ルート1）'!$H$46</f>
        <v>2.62</v>
      </c>
      <c r="P44" s="7"/>
    </row>
    <row r="45" spans="2:16" ht="16.5" customHeight="1">
      <c r="B45" s="13">
        <f t="shared" si="1"/>
        <v>28</v>
      </c>
      <c r="C45" s="14"/>
      <c r="D45" s="35" t="s">
        <v>345</v>
      </c>
      <c r="E45" s="32"/>
      <c r="F45" s="32"/>
      <c r="G45" s="64"/>
      <c r="H45" s="207" t="s">
        <v>333</v>
      </c>
      <c r="J45" s="373"/>
      <c r="K45" s="364" t="e">
        <f>($K$42/$K$43)*$K$44/1000</f>
        <v>#DIV/0!</v>
      </c>
      <c r="L45" s="361"/>
      <c r="M45" s="373"/>
      <c r="N45" s="364" t="e">
        <f>($N$42/$N$43)*$N$44/1000</f>
        <v>#DIV/0!</v>
      </c>
      <c r="P45" s="7"/>
    </row>
    <row r="46" spans="2:16">
      <c r="B46" s="13">
        <f t="shared" si="1"/>
        <v>29</v>
      </c>
      <c r="C46" s="14"/>
      <c r="D46" s="14"/>
      <c r="E46" s="214" t="s">
        <v>346</v>
      </c>
      <c r="F46" s="16"/>
      <c r="G46" s="16"/>
      <c r="H46" s="16" t="s">
        <v>336</v>
      </c>
      <c r="J46" s="375">
        <f>'数量（ルート1）'!$J$40</f>
        <v>0</v>
      </c>
      <c r="K46" s="376"/>
      <c r="L46" s="361"/>
      <c r="M46" s="375">
        <f>'数量（ルート1）'!$M$40</f>
        <v>0</v>
      </c>
      <c r="N46" s="376"/>
      <c r="P46" s="7"/>
    </row>
    <row r="47" spans="2:16">
      <c r="B47" s="13">
        <f t="shared" si="1"/>
        <v>30</v>
      </c>
      <c r="C47" s="14"/>
      <c r="D47" s="24"/>
      <c r="E47" s="449" t="s">
        <v>347</v>
      </c>
      <c r="F47" s="444"/>
      <c r="G47" s="445"/>
      <c r="H47" s="7" t="s">
        <v>338</v>
      </c>
      <c r="J47" s="363">
        <f>'パラメータ（ルート1）'!$H$47</f>
        <v>2.7</v>
      </c>
      <c r="K47" s="371"/>
      <c r="L47" s="377"/>
      <c r="M47" s="363">
        <f>'パラメータ（ルート1）'!$H$47</f>
        <v>2.7</v>
      </c>
      <c r="N47" s="371"/>
      <c r="P47" s="16"/>
    </row>
    <row r="48" spans="2:16">
      <c r="B48" s="13">
        <f t="shared" si="1"/>
        <v>31</v>
      </c>
      <c r="C48" s="14"/>
      <c r="D48" s="217" t="s">
        <v>348</v>
      </c>
      <c r="E48" s="59"/>
      <c r="F48" s="32"/>
      <c r="G48" s="213"/>
      <c r="H48" s="218" t="s">
        <v>349</v>
      </c>
      <c r="J48" s="378">
        <f>$J$46*J47</f>
        <v>0</v>
      </c>
      <c r="K48" s="379"/>
      <c r="L48" s="361"/>
      <c r="M48" s="378">
        <f>$M$46*$M$47</f>
        <v>0</v>
      </c>
      <c r="N48" s="379"/>
      <c r="P48" s="24"/>
    </row>
    <row r="49" spans="2:16">
      <c r="B49" s="13">
        <f t="shared" si="1"/>
        <v>32</v>
      </c>
      <c r="C49" s="14"/>
      <c r="D49" s="14"/>
      <c r="E49" s="214" t="s">
        <v>350</v>
      </c>
      <c r="F49" s="16"/>
      <c r="G49" s="16"/>
      <c r="H49" s="16" t="s">
        <v>336</v>
      </c>
      <c r="J49" s="371"/>
      <c r="K49" s="360">
        <f>'数量（ルート1）'!$K$40</f>
        <v>0</v>
      </c>
      <c r="L49" s="361"/>
      <c r="M49" s="371"/>
      <c r="N49" s="360" t="e">
        <f>'数量（ルート1）'!$N$40</f>
        <v>#DIV/0!</v>
      </c>
      <c r="P49" s="7"/>
    </row>
    <row r="50" spans="2:16">
      <c r="B50" s="13">
        <f t="shared" si="1"/>
        <v>33</v>
      </c>
      <c r="C50" s="14"/>
      <c r="D50" s="24"/>
      <c r="E50" s="449" t="s">
        <v>351</v>
      </c>
      <c r="F50" s="444"/>
      <c r="G50" s="445"/>
      <c r="H50" s="7" t="s">
        <v>338</v>
      </c>
      <c r="J50" s="371"/>
      <c r="K50" s="363">
        <f>'パラメータ（ルート1）'!$H$48</f>
        <v>2.7</v>
      </c>
      <c r="L50" s="361"/>
      <c r="M50" s="371"/>
      <c r="N50" s="363">
        <f>'パラメータ（ルート1）'!$H$48</f>
        <v>2.7</v>
      </c>
      <c r="P50" s="16"/>
    </row>
    <row r="51" spans="2:16" ht="14.25" customHeight="1">
      <c r="B51" s="13">
        <f t="shared" si="1"/>
        <v>34</v>
      </c>
      <c r="C51" s="14"/>
      <c r="D51" s="217" t="s">
        <v>352</v>
      </c>
      <c r="E51" s="59"/>
      <c r="F51" s="32"/>
      <c r="G51" s="213"/>
      <c r="H51" s="218" t="s">
        <v>349</v>
      </c>
      <c r="J51" s="379"/>
      <c r="K51" s="378">
        <f>$K$49*K50</f>
        <v>0</v>
      </c>
      <c r="L51" s="361"/>
      <c r="M51" s="379"/>
      <c r="N51" s="378" t="e">
        <f>$N$49*$N$50</f>
        <v>#DIV/0!</v>
      </c>
      <c r="P51" s="24"/>
    </row>
    <row r="52" spans="2:16">
      <c r="B52" s="13">
        <f t="shared" si="1"/>
        <v>35</v>
      </c>
      <c r="C52" s="14"/>
      <c r="D52" s="14"/>
      <c r="E52" s="214" t="s">
        <v>353</v>
      </c>
      <c r="F52" s="16"/>
      <c r="G52" s="16"/>
      <c r="H52" s="16" t="s">
        <v>336</v>
      </c>
      <c r="J52" s="371"/>
      <c r="K52" s="360">
        <f>'数量（ルート1）'!$K$39</f>
        <v>0</v>
      </c>
      <c r="L52" s="361"/>
      <c r="M52" s="371"/>
      <c r="N52" s="360" t="e">
        <f>'数量（ルート1）'!$N$39</f>
        <v>#DIV/0!</v>
      </c>
      <c r="P52" s="7"/>
    </row>
    <row r="53" spans="2:16">
      <c r="B53" s="13">
        <f t="shared" si="1"/>
        <v>36</v>
      </c>
      <c r="C53" s="14"/>
      <c r="D53" s="24"/>
      <c r="E53" s="449" t="s">
        <v>354</v>
      </c>
      <c r="F53" s="444"/>
      <c r="G53" s="445"/>
      <c r="H53" s="7" t="s">
        <v>338</v>
      </c>
      <c r="J53" s="376"/>
      <c r="K53" s="380">
        <f>'パラメータ（ルート1）'!$H$49</f>
        <v>2.7</v>
      </c>
      <c r="L53" s="361"/>
      <c r="M53" s="376"/>
      <c r="N53" s="380">
        <f>'パラメータ（ルート1）'!$H$49</f>
        <v>2.7</v>
      </c>
      <c r="P53" s="16"/>
    </row>
    <row r="54" spans="2:16">
      <c r="B54" s="13">
        <f t="shared" si="1"/>
        <v>37</v>
      </c>
      <c r="C54" s="14"/>
      <c r="D54" s="217" t="s">
        <v>355</v>
      </c>
      <c r="E54" s="59"/>
      <c r="F54" s="32"/>
      <c r="G54" s="213"/>
      <c r="H54" s="218" t="s">
        <v>349</v>
      </c>
      <c r="J54" s="372"/>
      <c r="K54" s="374">
        <f>$K$52*$K$53</f>
        <v>0</v>
      </c>
      <c r="L54" s="361"/>
      <c r="M54" s="372"/>
      <c r="N54" s="374" t="e">
        <f>$N$52*$N$53</f>
        <v>#DIV/0!</v>
      </c>
      <c r="P54" s="7"/>
    </row>
    <row r="55" spans="2:16" ht="15.75" customHeight="1">
      <c r="B55" s="13">
        <f t="shared" si="1"/>
        <v>38</v>
      </c>
      <c r="C55" s="14"/>
      <c r="D55" s="219" t="s">
        <v>356</v>
      </c>
      <c r="E55" s="32"/>
      <c r="F55" s="32"/>
      <c r="G55" s="64"/>
      <c r="H55" s="207" t="s">
        <v>333</v>
      </c>
      <c r="J55" s="364">
        <f>J48</f>
        <v>0</v>
      </c>
      <c r="K55" s="364">
        <f>$K$51+$K$54</f>
        <v>0</v>
      </c>
      <c r="L55" s="361"/>
      <c r="M55" s="364">
        <f>M48</f>
        <v>0</v>
      </c>
      <c r="N55" s="364" t="e">
        <f>$N$51+$N$54</f>
        <v>#DIV/0!</v>
      </c>
      <c r="P55" s="7"/>
    </row>
    <row r="56" spans="2:16" ht="16.5" customHeight="1">
      <c r="B56" s="13">
        <f t="shared" si="1"/>
        <v>39</v>
      </c>
      <c r="C56" s="14"/>
      <c r="D56" s="15"/>
      <c r="E56" s="220" t="s">
        <v>357</v>
      </c>
      <c r="F56" s="25"/>
      <c r="G56" s="18"/>
      <c r="H56" s="7" t="s">
        <v>318</v>
      </c>
      <c r="J56" s="360" t="e">
        <f>('数量（ルート1）'!$J$43/'パラメータ（ルート1）'!$H$50)*'パラメータ（ルート1）'!$H$51</f>
        <v>#DIV/0!</v>
      </c>
      <c r="K56" s="381"/>
      <c r="L56" s="361"/>
      <c r="M56" s="360" t="e">
        <f>('数量（ルート1）'!$M$43/'パラメータ（ルート1）'!$H$50)*'パラメータ（ルート1）'!$H$51</f>
        <v>#DIV/0!</v>
      </c>
      <c r="N56" s="381"/>
      <c r="P56" s="7"/>
    </row>
    <row r="57" spans="2:16">
      <c r="B57" s="13">
        <f t="shared" si="1"/>
        <v>40</v>
      </c>
      <c r="C57" s="14"/>
      <c r="D57" s="15"/>
      <c r="E57" s="28" t="s">
        <v>321</v>
      </c>
      <c r="F57" s="17"/>
      <c r="G57" s="18"/>
      <c r="H57" s="7" t="s">
        <v>322</v>
      </c>
      <c r="J57" s="363">
        <f>'パラメータ（ルート1）'!$H$56</f>
        <v>4.1500000000000004</v>
      </c>
      <c r="K57" s="382"/>
      <c r="L57" s="361"/>
      <c r="M57" s="363">
        <f>'パラメータ（ルート1）'!$H$56</f>
        <v>4.1500000000000004</v>
      </c>
      <c r="N57" s="382"/>
      <c r="P57" s="7"/>
    </row>
    <row r="58" spans="2:16">
      <c r="B58" s="13">
        <f t="shared" si="1"/>
        <v>41</v>
      </c>
      <c r="C58" s="14"/>
      <c r="D58" s="15"/>
      <c r="E58" s="28" t="s">
        <v>323</v>
      </c>
      <c r="F58" s="17"/>
      <c r="G58" s="18"/>
      <c r="H58" s="7" t="s">
        <v>173</v>
      </c>
      <c r="J58" s="363">
        <f>'パラメータ（ルート1）'!$H$58</f>
        <v>2.62</v>
      </c>
      <c r="K58" s="382"/>
      <c r="L58" s="361"/>
      <c r="M58" s="363">
        <f>'パラメータ（ルート1）'!$H$58</f>
        <v>2.62</v>
      </c>
      <c r="N58" s="382"/>
      <c r="P58" s="7"/>
    </row>
    <row r="59" spans="2:16">
      <c r="B59" s="13">
        <f t="shared" si="1"/>
        <v>42</v>
      </c>
      <c r="C59" s="14"/>
      <c r="D59" s="446" t="s">
        <v>358</v>
      </c>
      <c r="E59" s="447"/>
      <c r="F59" s="447"/>
      <c r="G59" s="448"/>
      <c r="H59" s="218" t="s">
        <v>349</v>
      </c>
      <c r="J59" s="374" t="e">
        <f>($J$56/$J$57)*$J$58/1000</f>
        <v>#DIV/0!</v>
      </c>
      <c r="K59" s="381"/>
      <c r="L59" s="361"/>
      <c r="M59" s="374" t="e">
        <f>($M$56/$M$57)*$M$58/1000</f>
        <v>#DIV/0!</v>
      </c>
      <c r="N59" s="381"/>
      <c r="P59" s="7"/>
    </row>
    <row r="60" spans="2:16" ht="15" customHeight="1">
      <c r="B60" s="13">
        <f t="shared" si="1"/>
        <v>43</v>
      </c>
      <c r="C60" s="14"/>
      <c r="D60" s="15"/>
      <c r="E60" s="220" t="s">
        <v>359</v>
      </c>
      <c r="F60" s="25"/>
      <c r="G60" s="18"/>
      <c r="H60" s="7" t="s">
        <v>318</v>
      </c>
      <c r="J60" s="381"/>
      <c r="K60" s="360" t="e">
        <f>('数量（ルート1）'!$K$43/'パラメータ（ルート1）'!$H$50)*'パラメータ（ルート1）'!$H$51</f>
        <v>#DIV/0!</v>
      </c>
      <c r="L60" s="361"/>
      <c r="M60" s="381"/>
      <c r="N60" s="360" t="e">
        <f>('数量（ルート1）'!$N$43/'パラメータ（ルート1）'!$H$50)*'パラメータ（ルート1）'!$H$51</f>
        <v>#DIV/0!</v>
      </c>
      <c r="P60" s="7"/>
    </row>
    <row r="61" spans="2:16">
      <c r="B61" s="13">
        <f t="shared" si="1"/>
        <v>44</v>
      </c>
      <c r="C61" s="14"/>
      <c r="D61" s="15"/>
      <c r="E61" s="28" t="s">
        <v>321</v>
      </c>
      <c r="F61" s="17"/>
      <c r="G61" s="18"/>
      <c r="H61" s="7" t="s">
        <v>322</v>
      </c>
      <c r="J61" s="382"/>
      <c r="K61" s="363">
        <f>'パラメータ（ルート1）'!$H$56</f>
        <v>4.1500000000000004</v>
      </c>
      <c r="L61" s="361"/>
      <c r="M61" s="382"/>
      <c r="N61" s="363">
        <f>'パラメータ（ルート1）'!$H$56</f>
        <v>4.1500000000000004</v>
      </c>
      <c r="P61" s="7"/>
    </row>
    <row r="62" spans="2:16">
      <c r="B62" s="13">
        <f t="shared" si="1"/>
        <v>45</v>
      </c>
      <c r="C62" s="14"/>
      <c r="D62" s="15"/>
      <c r="E62" s="28" t="s">
        <v>323</v>
      </c>
      <c r="F62" s="17"/>
      <c r="G62" s="18"/>
      <c r="H62" s="7" t="s">
        <v>173</v>
      </c>
      <c r="J62" s="382"/>
      <c r="K62" s="363">
        <f>'パラメータ（ルート1）'!$H$58</f>
        <v>2.62</v>
      </c>
      <c r="L62" s="361"/>
      <c r="M62" s="382"/>
      <c r="N62" s="363">
        <f>'パラメータ（ルート1）'!$H$58</f>
        <v>2.62</v>
      </c>
      <c r="P62" s="7"/>
    </row>
    <row r="63" spans="2:16">
      <c r="B63" s="13">
        <f t="shared" si="1"/>
        <v>46</v>
      </c>
      <c r="C63" s="14"/>
      <c r="D63" s="446" t="s">
        <v>360</v>
      </c>
      <c r="E63" s="447"/>
      <c r="F63" s="447"/>
      <c r="G63" s="448"/>
      <c r="H63" s="218" t="s">
        <v>349</v>
      </c>
      <c r="J63" s="381"/>
      <c r="K63" s="374" t="e">
        <f>($K$60/$K$61)*$K$62/1000</f>
        <v>#DIV/0!</v>
      </c>
      <c r="L63" s="361"/>
      <c r="M63" s="381"/>
      <c r="N63" s="374" t="e">
        <f>($N$60/$N$61)*$N$62/1000</f>
        <v>#DIV/0!</v>
      </c>
      <c r="P63" s="7"/>
    </row>
    <row r="64" spans="2:16" ht="15.75" customHeight="1">
      <c r="B64" s="13">
        <f t="shared" si="1"/>
        <v>47</v>
      </c>
      <c r="C64" s="14"/>
      <c r="D64" s="15"/>
      <c r="E64" s="220" t="s">
        <v>361</v>
      </c>
      <c r="F64" s="25"/>
      <c r="G64" s="18"/>
      <c r="H64" s="7" t="s">
        <v>318</v>
      </c>
      <c r="J64" s="381"/>
      <c r="K64" s="360" t="e">
        <f>('数量（ルート1）'!$K$42/'パラメータ（ルート1）'!$H$52)*'パラメータ（ルート1）'!$H$53</f>
        <v>#DIV/0!</v>
      </c>
      <c r="L64" s="361"/>
      <c r="M64" s="381"/>
      <c r="N64" s="360" t="e">
        <f>('数量（ルート1）'!$N$42/'パラメータ（ルート1）'!$H$54)*'パラメータ（ルート1）'!$H$55</f>
        <v>#DIV/0!</v>
      </c>
      <c r="P64" s="7"/>
    </row>
    <row r="65" spans="2:16">
      <c r="B65" s="13">
        <f t="shared" si="1"/>
        <v>48</v>
      </c>
      <c r="C65" s="14"/>
      <c r="D65" s="15"/>
      <c r="E65" s="28" t="s">
        <v>321</v>
      </c>
      <c r="F65" s="17"/>
      <c r="G65" s="18"/>
      <c r="H65" s="7" t="s">
        <v>322</v>
      </c>
      <c r="J65" s="382"/>
      <c r="K65" s="363">
        <f>'パラメータ（ルート1）'!$H$57</f>
        <v>4.1500000000000004</v>
      </c>
      <c r="L65" s="361"/>
      <c r="M65" s="382"/>
      <c r="N65" s="363">
        <f>'パラメータ（ルート1）'!$H$56</f>
        <v>4.1500000000000004</v>
      </c>
      <c r="P65" s="7"/>
    </row>
    <row r="66" spans="2:16">
      <c r="B66" s="13">
        <f t="shared" si="1"/>
        <v>49</v>
      </c>
      <c r="C66" s="14"/>
      <c r="D66" s="15"/>
      <c r="E66" s="28" t="s">
        <v>323</v>
      </c>
      <c r="F66" s="17"/>
      <c r="G66" s="18"/>
      <c r="H66" s="7" t="s">
        <v>173</v>
      </c>
      <c r="J66" s="382"/>
      <c r="K66" s="363">
        <f>'パラメータ（ルート1）'!$H$58</f>
        <v>2.62</v>
      </c>
      <c r="L66" s="361"/>
      <c r="M66" s="382"/>
      <c r="N66" s="363">
        <f>'パラメータ（ルート1）'!$H$58</f>
        <v>2.62</v>
      </c>
      <c r="P66" s="7"/>
    </row>
    <row r="67" spans="2:16">
      <c r="B67" s="13">
        <f t="shared" si="1"/>
        <v>50</v>
      </c>
      <c r="C67" s="14"/>
      <c r="D67" s="446" t="s">
        <v>362</v>
      </c>
      <c r="E67" s="447"/>
      <c r="F67" s="447"/>
      <c r="G67" s="448"/>
      <c r="H67" s="218" t="s">
        <v>349</v>
      </c>
      <c r="J67" s="381"/>
      <c r="K67" s="374" t="e">
        <f>($K$64/$K$65)*$K$66/1000</f>
        <v>#DIV/0!</v>
      </c>
      <c r="L67" s="361"/>
      <c r="M67" s="381"/>
      <c r="N67" s="374" t="e">
        <f>($N$64/$N$65)*$N$66/1000</f>
        <v>#DIV/0!</v>
      </c>
      <c r="P67" s="7"/>
    </row>
    <row r="68" spans="2:16" ht="15">
      <c r="B68" s="13">
        <f t="shared" si="1"/>
        <v>51</v>
      </c>
      <c r="C68" s="14"/>
      <c r="D68" s="35" t="s">
        <v>363</v>
      </c>
      <c r="E68" s="32"/>
      <c r="F68" s="32"/>
      <c r="G68" s="64"/>
      <c r="H68" s="192" t="s">
        <v>364</v>
      </c>
      <c r="J68" s="383" t="e">
        <f>J59</f>
        <v>#DIV/0!</v>
      </c>
      <c r="K68" s="383" t="e">
        <f>$K$63+K67</f>
        <v>#DIV/0!</v>
      </c>
      <c r="L68" s="361"/>
      <c r="M68" s="384" t="e">
        <f>M59</f>
        <v>#DIV/0!</v>
      </c>
      <c r="N68" s="384" t="e">
        <f>$N$63+$N$67</f>
        <v>#DIV/0!</v>
      </c>
      <c r="P68" s="7"/>
    </row>
    <row r="69" spans="2:16" ht="15">
      <c r="B69" s="13">
        <f t="shared" si="1"/>
        <v>52</v>
      </c>
      <c r="C69" s="35" t="s">
        <v>365</v>
      </c>
      <c r="D69" s="212"/>
      <c r="E69" s="212"/>
      <c r="F69" s="212"/>
      <c r="G69" s="206"/>
      <c r="H69" s="192" t="s">
        <v>364</v>
      </c>
      <c r="J69" s="364" t="e">
        <f>J$23+J$26+J$30+J$34+J$37+J$41+J$45+J$55+J$68</f>
        <v>#DIV/0!</v>
      </c>
      <c r="K69" s="364" t="e">
        <f>K$23+K$26+K$30+K$34+K$37+K$41+K$45+K$55+K$68</f>
        <v>#DIV/0!</v>
      </c>
      <c r="L69" s="361"/>
      <c r="M69" s="364" t="e">
        <f>M$23+M$26+M$30+M$34+M$37+M$41+M$45+M$55+M$68</f>
        <v>#DIV/0!</v>
      </c>
      <c r="N69" s="364" t="e">
        <f>N$23+N$26+N$30+N$34+N$37+N$41+N$45+N$55+N$68</f>
        <v>#DIV/0!</v>
      </c>
      <c r="P69" s="7"/>
    </row>
    <row r="71" spans="2:16">
      <c r="J71" s="66"/>
      <c r="K71" s="66"/>
      <c r="M71" s="66"/>
      <c r="N71" s="66"/>
    </row>
  </sheetData>
  <mergeCells count="17">
    <mergeCell ref="D67:G67"/>
    <mergeCell ref="E47:G47"/>
    <mergeCell ref="E50:G50"/>
    <mergeCell ref="E53:G53"/>
    <mergeCell ref="D59:G59"/>
    <mergeCell ref="D63:G63"/>
    <mergeCell ref="E40:G40"/>
    <mergeCell ref="E36:G36"/>
    <mergeCell ref="E39:G39"/>
    <mergeCell ref="J3:K3"/>
    <mergeCell ref="M3:N3"/>
    <mergeCell ref="E27:G27"/>
    <mergeCell ref="E28:G28"/>
    <mergeCell ref="E29:G29"/>
    <mergeCell ref="E31:G31"/>
    <mergeCell ref="E32:G32"/>
    <mergeCell ref="E33:G33"/>
  </mergeCells>
  <phoneticPr fontId="2"/>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A0C74-C965-48D0-BEF0-C3317D63E4C6}">
  <dimension ref="A1:P45"/>
  <sheetViews>
    <sheetView workbookViewId="0">
      <selection activeCell="H31" sqref="G31:H31"/>
    </sheetView>
  </sheetViews>
  <sheetFormatPr defaultColWidth="9" defaultRowHeight="14.25"/>
  <cols>
    <col min="1" max="1" width="2.5703125" style="6" customWidth="1"/>
    <col min="2" max="2" width="4.5703125" style="6" customWidth="1"/>
    <col min="3" max="6" width="2.5703125" style="6" customWidth="1"/>
    <col min="7" max="7" width="44.140625" style="6" customWidth="1"/>
    <col min="8" max="8" width="10.5703125" style="6" customWidth="1"/>
    <col min="9" max="9" width="2.7109375" style="6" customWidth="1"/>
    <col min="10" max="11" width="14.42578125" style="6" customWidth="1"/>
    <col min="12" max="12" width="2.85546875" style="6" customWidth="1"/>
    <col min="13" max="14" width="14.42578125" style="6" customWidth="1"/>
    <col min="15" max="15" width="2.85546875" style="6" customWidth="1"/>
    <col min="16" max="16" width="64.5703125" style="6" bestFit="1" customWidth="1"/>
    <col min="17" max="16384" width="9" style="6"/>
  </cols>
  <sheetData>
    <row r="1" spans="1:16" ht="18">
      <c r="A1" s="116" t="s">
        <v>366</v>
      </c>
      <c r="B1" s="5"/>
      <c r="C1" s="5"/>
    </row>
    <row r="2" spans="1:16" ht="15" thickBot="1"/>
    <row r="3" spans="1:16" ht="15">
      <c r="F3" s="36" t="s">
        <v>246</v>
      </c>
      <c r="G3" s="37"/>
      <c r="H3" s="38"/>
      <c r="J3" s="437" t="s">
        <v>247</v>
      </c>
      <c r="K3" s="438"/>
      <c r="L3" s="127"/>
      <c r="M3" s="437" t="s">
        <v>248</v>
      </c>
      <c r="N3" s="438"/>
      <c r="O3" s="39"/>
    </row>
    <row r="4" spans="1:16" ht="15">
      <c r="F4" s="40" t="s">
        <v>249</v>
      </c>
      <c r="G4" s="41"/>
      <c r="H4" s="42"/>
      <c r="J4" s="43" t="s">
        <v>250</v>
      </c>
      <c r="K4" s="126" t="s">
        <v>251</v>
      </c>
      <c r="L4" s="127"/>
      <c r="M4" s="43" t="s">
        <v>250</v>
      </c>
      <c r="N4" s="126" t="s">
        <v>252</v>
      </c>
      <c r="O4" s="39"/>
    </row>
    <row r="5" spans="1:16" ht="15">
      <c r="F5" s="44" t="s">
        <v>306</v>
      </c>
      <c r="G5" s="45"/>
      <c r="H5" s="46" t="s">
        <v>367</v>
      </c>
      <c r="J5" s="313" t="e">
        <f>J45</f>
        <v>#DIV/0!</v>
      </c>
      <c r="K5" s="314" t="e">
        <f>K45</f>
        <v>#DIV/0!</v>
      </c>
      <c r="M5" s="313" t="e">
        <f>M45</f>
        <v>#DIV/0!</v>
      </c>
      <c r="N5" s="314" t="e">
        <f>N45</f>
        <v>#DIV/0!</v>
      </c>
    </row>
    <row r="6" spans="1:16">
      <c r="F6" s="47"/>
      <c r="G6" s="48" t="s">
        <v>308</v>
      </c>
      <c r="H6" s="46" t="s">
        <v>367</v>
      </c>
      <c r="J6" s="245">
        <f>J20</f>
        <v>0</v>
      </c>
      <c r="K6" s="250">
        <f>K20</f>
        <v>0</v>
      </c>
      <c r="M6" s="245" t="e">
        <f>M20</f>
        <v>#DIV/0!</v>
      </c>
      <c r="N6" s="250">
        <f>N20</f>
        <v>0</v>
      </c>
    </row>
    <row r="7" spans="1:16">
      <c r="F7" s="47"/>
      <c r="G7" s="50" t="s">
        <v>309</v>
      </c>
      <c r="H7" s="51" t="s">
        <v>367</v>
      </c>
      <c r="J7" s="246"/>
      <c r="K7" s="250">
        <f>K24</f>
        <v>0</v>
      </c>
      <c r="M7" s="246"/>
      <c r="N7" s="250">
        <f>N24</f>
        <v>0</v>
      </c>
    </row>
    <row r="8" spans="1:16">
      <c r="F8" s="47"/>
      <c r="G8" s="50" t="s">
        <v>310</v>
      </c>
      <c r="H8" s="51" t="s">
        <v>367</v>
      </c>
      <c r="J8" s="246"/>
      <c r="K8" s="250" t="e">
        <f>K26</f>
        <v>#DIV/0!</v>
      </c>
      <c r="M8" s="246"/>
      <c r="N8" s="250" t="e">
        <f>N26</f>
        <v>#DIV/0!</v>
      </c>
    </row>
    <row r="9" spans="1:16">
      <c r="F9" s="47"/>
      <c r="G9" s="50" t="s">
        <v>311</v>
      </c>
      <c r="H9" s="51" t="s">
        <v>367</v>
      </c>
      <c r="J9" s="246"/>
      <c r="K9" s="250">
        <f>K35</f>
        <v>0</v>
      </c>
      <c r="M9" s="246"/>
      <c r="N9" s="250" t="e">
        <f>N35</f>
        <v>#DIV/0!</v>
      </c>
    </row>
    <row r="10" spans="1:16">
      <c r="F10" s="47"/>
      <c r="G10" s="50" t="s">
        <v>313</v>
      </c>
      <c r="H10" s="51" t="s">
        <v>367</v>
      </c>
      <c r="J10" s="248"/>
      <c r="K10" s="249"/>
      <c r="M10" s="248"/>
      <c r="N10" s="253"/>
    </row>
    <row r="11" spans="1:16">
      <c r="F11" s="47"/>
      <c r="G11" s="50" t="s">
        <v>368</v>
      </c>
      <c r="H11" s="51" t="s">
        <v>367</v>
      </c>
      <c r="J11" s="245">
        <f>J39</f>
        <v>0</v>
      </c>
      <c r="K11" s="250">
        <f>K39</f>
        <v>0</v>
      </c>
      <c r="M11" s="245">
        <f>M39</f>
        <v>0</v>
      </c>
      <c r="N11" s="254" t="e">
        <f>N39</f>
        <v>#DIV/0!</v>
      </c>
      <c r="O11" s="252"/>
    </row>
    <row r="12" spans="1:16">
      <c r="F12" s="47"/>
      <c r="G12" s="50" t="s">
        <v>315</v>
      </c>
      <c r="H12" s="51" t="s">
        <v>367</v>
      </c>
      <c r="J12" s="245" t="e">
        <f>J41</f>
        <v>#DIV/0!</v>
      </c>
      <c r="K12" s="250" t="e">
        <f>K41</f>
        <v>#DIV/0!</v>
      </c>
      <c r="M12" s="245" t="e">
        <f>M41</f>
        <v>#DIV/0!</v>
      </c>
      <c r="N12" s="250" t="e">
        <f>N41</f>
        <v>#DIV/0!</v>
      </c>
    </row>
    <row r="13" spans="1:16" ht="15" thickBot="1">
      <c r="F13" s="53"/>
      <c r="G13" s="54" t="s">
        <v>369</v>
      </c>
      <c r="H13" s="55" t="s">
        <v>367</v>
      </c>
      <c r="J13" s="247">
        <f>J44</f>
        <v>0</v>
      </c>
      <c r="K13" s="251">
        <f>K44</f>
        <v>0</v>
      </c>
      <c r="M13" s="247">
        <f>M44</f>
        <v>0</v>
      </c>
      <c r="N13" s="251" t="e">
        <f>N44</f>
        <v>#DIV/0!</v>
      </c>
    </row>
    <row r="14" spans="1:16">
      <c r="J14" s="66"/>
      <c r="K14" s="66"/>
      <c r="M14" s="66"/>
    </row>
    <row r="15" spans="1:16">
      <c r="B15" s="6" t="s">
        <v>263</v>
      </c>
    </row>
    <row r="16" spans="1:16">
      <c r="B16" s="9" t="s">
        <v>8</v>
      </c>
      <c r="C16" s="10" t="s">
        <v>264</v>
      </c>
      <c r="D16" s="11"/>
      <c r="E16" s="10" t="s">
        <v>265</v>
      </c>
      <c r="F16" s="12"/>
      <c r="G16" s="11"/>
      <c r="H16" s="9" t="s">
        <v>266</v>
      </c>
      <c r="J16" s="128" t="s">
        <v>58</v>
      </c>
      <c r="K16" s="9" t="s">
        <v>267</v>
      </c>
      <c r="M16" s="9" t="s">
        <v>268</v>
      </c>
      <c r="N16" s="9" t="s">
        <v>269</v>
      </c>
      <c r="P16" s="9" t="s">
        <v>270</v>
      </c>
    </row>
    <row r="17" spans="2:16" ht="14.25" customHeight="1">
      <c r="B17" s="13">
        <v>1</v>
      </c>
      <c r="C17" s="14"/>
      <c r="D17" s="14"/>
      <c r="E17" s="214"/>
      <c r="F17" s="124" t="s">
        <v>370</v>
      </c>
      <c r="G17" s="18"/>
      <c r="H17" s="230" t="s">
        <v>371</v>
      </c>
      <c r="J17" s="8">
        <f>'パラメータ（ルート1）'!$H$59</f>
        <v>0</v>
      </c>
      <c r="K17" s="185"/>
      <c r="M17" s="8">
        <f>'パラメータ（ルート1）'!$H$59</f>
        <v>0</v>
      </c>
      <c r="N17" s="185"/>
      <c r="P17" s="16"/>
    </row>
    <row r="18" spans="2:16" ht="14.25" customHeight="1">
      <c r="B18" s="13">
        <f>B17+1</f>
        <v>2</v>
      </c>
      <c r="C18" s="14"/>
      <c r="D18" s="14"/>
      <c r="E18" s="240"/>
      <c r="F18" s="124" t="s">
        <v>372</v>
      </c>
      <c r="G18" s="18"/>
      <c r="H18" s="7" t="s">
        <v>274</v>
      </c>
      <c r="J18" s="57">
        <f>'パラメータ（ルート1）'!$H$6</f>
        <v>9</v>
      </c>
      <c r="K18" s="234"/>
      <c r="M18" s="57" t="e">
        <f>('数量（ルート1）'!M21/('パラメータ（ルート1）'!$H$5-('数量（ルート1）'!N22-'数量（ルート1）'!K20))*100)</f>
        <v>#DIV/0!</v>
      </c>
      <c r="N18" s="234"/>
      <c r="P18" s="27"/>
    </row>
    <row r="19" spans="2:16" ht="14.25" customHeight="1">
      <c r="B19" s="13">
        <f t="shared" ref="B19:B45" si="0">B18+1</f>
        <v>3</v>
      </c>
      <c r="C19" s="14"/>
      <c r="D19" s="14"/>
      <c r="E19" s="451" t="s">
        <v>373</v>
      </c>
      <c r="F19" s="444"/>
      <c r="G19" s="445"/>
      <c r="H19" s="230" t="s">
        <v>371</v>
      </c>
      <c r="J19" s="233"/>
      <c r="K19" s="23">
        <f>'パラメータ（ルート1）'!$H$60</f>
        <v>0</v>
      </c>
      <c r="M19" s="233"/>
      <c r="N19" s="65">
        <f>'パラメータ（ルート1）'!$H$61</f>
        <v>0</v>
      </c>
      <c r="P19" s="20"/>
    </row>
    <row r="20" spans="2:16" ht="14.25" customHeight="1">
      <c r="B20" s="13">
        <f t="shared" si="0"/>
        <v>4</v>
      </c>
      <c r="C20" s="14"/>
      <c r="D20" s="35" t="s">
        <v>324</v>
      </c>
      <c r="E20" s="58"/>
      <c r="F20" s="34"/>
      <c r="G20" s="34"/>
      <c r="H20" s="122" t="s">
        <v>374</v>
      </c>
      <c r="J20" s="166">
        <f>((J17*J18/100))/1000</f>
        <v>0</v>
      </c>
      <c r="K20" s="166">
        <f>K19/1000</f>
        <v>0</v>
      </c>
      <c r="M20" s="166" t="e">
        <f>((M17*M18/100))/1000</f>
        <v>#DIV/0!</v>
      </c>
      <c r="N20" s="166">
        <f>N19/1000</f>
        <v>0</v>
      </c>
      <c r="P20" s="7"/>
    </row>
    <row r="21" spans="2:16" ht="14.25" customHeight="1">
      <c r="B21" s="13">
        <f t="shared" si="0"/>
        <v>5</v>
      </c>
      <c r="C21" s="14"/>
      <c r="D21" s="14"/>
      <c r="E21" s="450" t="s">
        <v>375</v>
      </c>
      <c r="F21" s="444"/>
      <c r="G21" s="445"/>
      <c r="H21" s="235" t="s">
        <v>376</v>
      </c>
      <c r="J21" s="63"/>
      <c r="K21" s="8">
        <f>'数量（ルート1）'!K28</f>
        <v>0</v>
      </c>
      <c r="M21" s="63"/>
      <c r="N21" s="8">
        <f>'数量（ルート1）'!N28</f>
        <v>0</v>
      </c>
      <c r="P21" s="31"/>
    </row>
    <row r="22" spans="2:16" ht="14.25" customHeight="1">
      <c r="B22" s="13">
        <f t="shared" si="0"/>
        <v>6</v>
      </c>
      <c r="C22" s="14"/>
      <c r="D22" s="14"/>
      <c r="E22" s="450" t="s">
        <v>377</v>
      </c>
      <c r="F22" s="444"/>
      <c r="G22" s="445"/>
      <c r="H22" s="183" t="s">
        <v>378</v>
      </c>
      <c r="J22" s="63"/>
      <c r="K22" s="8">
        <f>'パラメータ（ルート1）'!$H$62</f>
        <v>21786</v>
      </c>
      <c r="M22" s="63"/>
      <c r="N22" s="8">
        <f>'パラメータ（ルート1）'!$H$64</f>
        <v>0</v>
      </c>
      <c r="P22" s="15"/>
    </row>
    <row r="23" spans="2:16" ht="14.25" customHeight="1">
      <c r="B23" s="13">
        <f t="shared" si="0"/>
        <v>7</v>
      </c>
      <c r="C23" s="14"/>
      <c r="D23" s="24"/>
      <c r="E23" s="450" t="s">
        <v>379</v>
      </c>
      <c r="F23" s="444"/>
      <c r="G23" s="445"/>
      <c r="H23" s="236" t="s">
        <v>371</v>
      </c>
      <c r="J23" s="62"/>
      <c r="K23" s="23">
        <f>'パラメータ（ルート1）'!$H$63</f>
        <v>0</v>
      </c>
      <c r="M23" s="62"/>
      <c r="N23" s="23">
        <f>'パラメータ（ルート1）'!$H$65</f>
        <v>0</v>
      </c>
      <c r="P23" s="24"/>
    </row>
    <row r="24" spans="2:16" ht="14.25" customHeight="1">
      <c r="B24" s="13">
        <f t="shared" si="0"/>
        <v>8</v>
      </c>
      <c r="C24" s="14"/>
      <c r="D24" s="35" t="s">
        <v>330</v>
      </c>
      <c r="E24" s="32"/>
      <c r="F24" s="32"/>
      <c r="G24" s="64"/>
      <c r="H24" s="122" t="s">
        <v>380</v>
      </c>
      <c r="J24" s="67"/>
      <c r="K24" s="166">
        <f>((K21*K22)+K23)/1000</f>
        <v>0</v>
      </c>
      <c r="M24" s="67"/>
      <c r="N24" s="166">
        <f>((N21*N22)+N23)/1000</f>
        <v>0</v>
      </c>
      <c r="P24" s="7"/>
    </row>
    <row r="25" spans="2:16" ht="14.25" customHeight="1">
      <c r="B25" s="13">
        <f t="shared" si="0"/>
        <v>9</v>
      </c>
      <c r="C25" s="14"/>
      <c r="D25" s="7"/>
      <c r="E25" s="177" t="s">
        <v>381</v>
      </c>
      <c r="F25" s="25"/>
      <c r="G25" s="18"/>
      <c r="H25" s="7" t="s">
        <v>382</v>
      </c>
      <c r="J25" s="63"/>
      <c r="K25" s="8" t="e">
        <f>'パラメータ（ルート1）'!$H$66</f>
        <v>#DIV/0!</v>
      </c>
      <c r="M25" s="63"/>
      <c r="N25" s="8" t="e">
        <f>'パラメータ（ルート1）'!$H$67</f>
        <v>#DIV/0!</v>
      </c>
      <c r="P25" s="7"/>
    </row>
    <row r="26" spans="2:16" ht="14.25" customHeight="1">
      <c r="B26" s="13">
        <f t="shared" si="0"/>
        <v>10</v>
      </c>
      <c r="C26" s="14"/>
      <c r="D26" s="219" t="s">
        <v>383</v>
      </c>
      <c r="E26" s="58"/>
      <c r="F26" s="33"/>
      <c r="G26" s="34"/>
      <c r="H26" s="122" t="s">
        <v>380</v>
      </c>
      <c r="J26" s="67"/>
      <c r="K26" s="166" t="e">
        <f>K25/1000</f>
        <v>#DIV/0!</v>
      </c>
      <c r="M26" s="67"/>
      <c r="N26" s="166" t="e">
        <f>N25/1000</f>
        <v>#DIV/0!</v>
      </c>
      <c r="P26" s="230" t="s">
        <v>384</v>
      </c>
    </row>
    <row r="27" spans="2:16" ht="14.25" customHeight="1">
      <c r="B27" s="13">
        <f t="shared" si="0"/>
        <v>11</v>
      </c>
      <c r="C27" s="14"/>
      <c r="D27" s="14"/>
      <c r="E27" s="214"/>
      <c r="F27" s="124" t="s">
        <v>385</v>
      </c>
      <c r="G27" s="18"/>
      <c r="H27" s="7" t="s">
        <v>254</v>
      </c>
      <c r="J27" s="63"/>
      <c r="K27" s="8">
        <f>'数量（ルート1）'!K35</f>
        <v>0</v>
      </c>
      <c r="M27" s="63"/>
      <c r="N27" s="8" t="e">
        <f>'数量（ルート1）'!N35</f>
        <v>#DIV/0!</v>
      </c>
      <c r="P27" s="7"/>
    </row>
    <row r="28" spans="2:16" ht="14.25" customHeight="1">
      <c r="B28" s="13">
        <f t="shared" si="0"/>
        <v>12</v>
      </c>
      <c r="C28" s="14"/>
      <c r="D28" s="14"/>
      <c r="E28" s="240"/>
      <c r="F28" s="124" t="s">
        <v>386</v>
      </c>
      <c r="G28" s="18"/>
      <c r="H28" s="7" t="s">
        <v>387</v>
      </c>
      <c r="J28" s="63"/>
      <c r="K28" s="8">
        <f>'パラメータ（ルート1）'!$H$68</f>
        <v>63144</v>
      </c>
      <c r="M28" s="63"/>
      <c r="N28" s="8">
        <f>'パラメータ（ルート1）'!$H$70</f>
        <v>62999</v>
      </c>
      <c r="P28" s="7"/>
    </row>
    <row r="29" spans="2:16" ht="14.25" customHeight="1">
      <c r="B29" s="13">
        <f t="shared" si="0"/>
        <v>13</v>
      </c>
      <c r="C29" s="14"/>
      <c r="D29" s="14"/>
      <c r="E29" s="177"/>
      <c r="F29" s="124" t="s">
        <v>388</v>
      </c>
      <c r="G29" s="18"/>
      <c r="H29" s="7" t="s">
        <v>274</v>
      </c>
      <c r="J29" s="62"/>
      <c r="K29" s="23">
        <f>'パラメータ（ルート1）'!$H$69</f>
        <v>0</v>
      </c>
      <c r="M29" s="62"/>
      <c r="N29" s="23">
        <f>'パラメータ（ルート1）'!$H$69</f>
        <v>0</v>
      </c>
      <c r="P29" s="24"/>
    </row>
    <row r="30" spans="2:16" ht="14.25" customHeight="1">
      <c r="B30" s="13">
        <f t="shared" si="0"/>
        <v>14</v>
      </c>
      <c r="C30" s="14"/>
      <c r="D30" s="14"/>
      <c r="E30" s="241" t="s">
        <v>389</v>
      </c>
      <c r="F30" s="25"/>
      <c r="G30" s="22"/>
      <c r="H30" s="24" t="s">
        <v>390</v>
      </c>
      <c r="J30" s="62"/>
      <c r="K30" s="23">
        <f>K27*K28*K29/100</f>
        <v>0</v>
      </c>
      <c r="M30" s="62"/>
      <c r="N30" s="23" t="e">
        <f>N27*N28*N29/100</f>
        <v>#DIV/0!</v>
      </c>
      <c r="P30" s="7"/>
    </row>
    <row r="31" spans="2:16" ht="14.25" customHeight="1">
      <c r="B31" s="13">
        <f t="shared" si="0"/>
        <v>15</v>
      </c>
      <c r="C31" s="14"/>
      <c r="D31" s="14"/>
      <c r="E31" s="214"/>
      <c r="F31" s="124" t="s">
        <v>391</v>
      </c>
      <c r="G31" s="18"/>
      <c r="H31" s="7" t="s">
        <v>254</v>
      </c>
      <c r="J31" s="63"/>
      <c r="K31" s="63"/>
      <c r="M31" s="63"/>
      <c r="N31" s="8" t="e">
        <f>'数量（ルート1）'!N36</f>
        <v>#DIV/0!</v>
      </c>
      <c r="P31" s="7"/>
    </row>
    <row r="32" spans="2:16" ht="14.25" customHeight="1">
      <c r="B32" s="13">
        <f t="shared" si="0"/>
        <v>16</v>
      </c>
      <c r="C32" s="14"/>
      <c r="D32" s="14"/>
      <c r="E32" s="240"/>
      <c r="F32" s="124" t="s">
        <v>392</v>
      </c>
      <c r="G32" s="18"/>
      <c r="H32" s="7" t="s">
        <v>387</v>
      </c>
      <c r="J32" s="63"/>
      <c r="K32" s="63"/>
      <c r="M32" s="63"/>
      <c r="N32" s="8">
        <f>'パラメータ（ルート1）'!$H$71</f>
        <v>62999</v>
      </c>
      <c r="P32" s="7"/>
    </row>
    <row r="33" spans="2:16" ht="14.25" customHeight="1">
      <c r="B33" s="13">
        <f t="shared" si="0"/>
        <v>17</v>
      </c>
      <c r="C33" s="14"/>
      <c r="D33" s="14"/>
      <c r="E33" s="177"/>
      <c r="F33" s="124" t="s">
        <v>388</v>
      </c>
      <c r="G33" s="18"/>
      <c r="H33" s="7" t="s">
        <v>274</v>
      </c>
      <c r="J33" s="62"/>
      <c r="K33" s="62"/>
      <c r="M33" s="62"/>
      <c r="N33" s="23">
        <f>'パラメータ（ルート1）'!$H$72</f>
        <v>0</v>
      </c>
      <c r="P33" s="24"/>
    </row>
    <row r="34" spans="2:16" ht="14.25" customHeight="1">
      <c r="B34" s="13">
        <f t="shared" si="0"/>
        <v>18</v>
      </c>
      <c r="C34" s="14"/>
      <c r="D34" s="14"/>
      <c r="E34" s="241" t="s">
        <v>393</v>
      </c>
      <c r="F34" s="25"/>
      <c r="G34" s="22"/>
      <c r="H34" s="24" t="s">
        <v>390</v>
      </c>
      <c r="J34" s="62"/>
      <c r="K34" s="62"/>
      <c r="M34" s="62"/>
      <c r="N34" s="23" t="e">
        <f>N31*N32*N33/100</f>
        <v>#DIV/0!</v>
      </c>
      <c r="P34" s="7"/>
    </row>
    <row r="35" spans="2:16" ht="14.25" customHeight="1">
      <c r="B35" s="13">
        <f t="shared" si="0"/>
        <v>19</v>
      </c>
      <c r="C35" s="14"/>
      <c r="D35" s="35" t="s">
        <v>339</v>
      </c>
      <c r="E35" s="32"/>
      <c r="F35" s="32"/>
      <c r="G35" s="64"/>
      <c r="H35" s="122" t="s">
        <v>380</v>
      </c>
      <c r="J35" s="67"/>
      <c r="K35" s="166">
        <f>K30/1000</f>
        <v>0</v>
      </c>
      <c r="M35" s="67"/>
      <c r="N35" s="166" t="e">
        <f>(N30+N34)/1000</f>
        <v>#DIV/0!</v>
      </c>
      <c r="P35" s="230" t="s">
        <v>394</v>
      </c>
    </row>
    <row r="36" spans="2:16" ht="14.25" customHeight="1">
      <c r="B36" s="13">
        <f t="shared" si="0"/>
        <v>20</v>
      </c>
      <c r="C36" s="14"/>
      <c r="D36" s="19"/>
      <c r="E36" s="28" t="s">
        <v>395</v>
      </c>
      <c r="F36" s="28"/>
      <c r="G36" s="18"/>
      <c r="H36" s="7" t="s">
        <v>254</v>
      </c>
      <c r="J36" s="8">
        <f>'数量（ルート1）'!$J$40</f>
        <v>0</v>
      </c>
      <c r="K36" s="185"/>
      <c r="L36" s="25"/>
      <c r="M36" s="8">
        <f>'数量（ルート1）'!$M$40</f>
        <v>0</v>
      </c>
      <c r="N36" s="185"/>
      <c r="P36" s="7"/>
    </row>
    <row r="37" spans="2:16" ht="14.25" customHeight="1">
      <c r="B37" s="13">
        <f t="shared" si="0"/>
        <v>21</v>
      </c>
      <c r="C37" s="14"/>
      <c r="D37" s="14"/>
      <c r="E37" s="177" t="s">
        <v>396</v>
      </c>
      <c r="F37" s="177"/>
      <c r="G37" s="22"/>
      <c r="H37" s="24" t="s">
        <v>254</v>
      </c>
      <c r="J37" s="243"/>
      <c r="K37" s="23">
        <f>'数量（ルート1）'!$K$40</f>
        <v>0</v>
      </c>
      <c r="M37" s="243"/>
      <c r="N37" s="23" t="e">
        <f>'数量（ルート1）'!$N$40</f>
        <v>#DIV/0!</v>
      </c>
      <c r="P37" s="24"/>
    </row>
    <row r="38" spans="2:16" ht="14.25" customHeight="1">
      <c r="B38" s="13">
        <f t="shared" si="0"/>
        <v>22</v>
      </c>
      <c r="C38" s="14"/>
      <c r="D38" s="24"/>
      <c r="E38" s="242" t="s">
        <v>397</v>
      </c>
      <c r="F38" s="19"/>
      <c r="G38" s="30"/>
      <c r="H38" s="7" t="s">
        <v>387</v>
      </c>
      <c r="J38" s="61">
        <f>'パラメータ（ルート1）'!$H$73</f>
        <v>0</v>
      </c>
      <c r="K38" s="61">
        <f>'パラメータ（ルート1）'!$H$73</f>
        <v>0</v>
      </c>
      <c r="M38" s="61">
        <f>'パラメータ（ルート1）'!$H$73</f>
        <v>0</v>
      </c>
      <c r="N38" s="61">
        <f>'パラメータ（ルート1）'!$H$73</f>
        <v>0</v>
      </c>
      <c r="P38" s="16"/>
    </row>
    <row r="39" spans="2:16" ht="14.25" customHeight="1">
      <c r="B39" s="13">
        <f t="shared" si="0"/>
        <v>23</v>
      </c>
      <c r="C39" s="14"/>
      <c r="D39" s="35" t="s">
        <v>398</v>
      </c>
      <c r="E39" s="33"/>
      <c r="F39" s="33"/>
      <c r="G39" s="64"/>
      <c r="H39" s="122" t="s">
        <v>380</v>
      </c>
      <c r="J39" s="166">
        <f>(J36*J38)/1000</f>
        <v>0</v>
      </c>
      <c r="K39" s="166">
        <f>(K37*K38)/1000</f>
        <v>0</v>
      </c>
      <c r="M39" s="166">
        <f t="shared" ref="M39" si="1">(M36*M38)/1000</f>
        <v>0</v>
      </c>
      <c r="N39" s="244" t="e">
        <f>(N37*N38)/1000</f>
        <v>#DIV/0!</v>
      </c>
      <c r="P39" s="7"/>
    </row>
    <row r="40" spans="2:16" ht="14.25" customHeight="1">
      <c r="B40" s="13">
        <f t="shared" si="0"/>
        <v>24</v>
      </c>
      <c r="C40" s="14"/>
      <c r="D40" s="14"/>
      <c r="E40" s="177" t="s">
        <v>399</v>
      </c>
      <c r="F40" s="25"/>
      <c r="G40" s="18"/>
      <c r="H40" s="7" t="s">
        <v>382</v>
      </c>
      <c r="J40" s="8" t="e">
        <f>'パラメータ（ルート1）'!$H$74</f>
        <v>#DIV/0!</v>
      </c>
      <c r="K40" s="8" t="e">
        <f>'パラメータ（ルート1）'!$H$75</f>
        <v>#DIV/0!</v>
      </c>
      <c r="M40" s="8" t="e">
        <f>'パラメータ（ルート1）'!H76</f>
        <v>#DIV/0!</v>
      </c>
      <c r="N40" s="8" t="e">
        <f>'パラメータ（ルート1）'!$H$77</f>
        <v>#DIV/0!</v>
      </c>
      <c r="P40" s="7"/>
    </row>
    <row r="41" spans="2:16" ht="14.25" customHeight="1">
      <c r="B41" s="13">
        <f t="shared" si="0"/>
        <v>25</v>
      </c>
      <c r="C41" s="14"/>
      <c r="D41" s="35" t="s">
        <v>363</v>
      </c>
      <c r="E41" s="58"/>
      <c r="F41" s="34"/>
      <c r="G41" s="34"/>
      <c r="H41" s="122" t="s">
        <v>380</v>
      </c>
      <c r="J41" s="166" t="e">
        <f>J40/1000</f>
        <v>#DIV/0!</v>
      </c>
      <c r="K41" s="166" t="e">
        <f>K40/1000</f>
        <v>#DIV/0!</v>
      </c>
      <c r="M41" s="166" t="e">
        <f t="shared" ref="M41:N41" si="2">M40/1000</f>
        <v>#DIV/0!</v>
      </c>
      <c r="N41" s="166" t="e">
        <f t="shared" si="2"/>
        <v>#DIV/0!</v>
      </c>
      <c r="P41" s="7"/>
    </row>
    <row r="42" spans="2:16" ht="14.25" customHeight="1">
      <c r="B42" s="13">
        <f t="shared" si="0"/>
        <v>26</v>
      </c>
      <c r="C42" s="14"/>
      <c r="D42" s="14"/>
      <c r="E42" s="28" t="s">
        <v>400</v>
      </c>
      <c r="F42" s="17"/>
      <c r="G42" s="18"/>
      <c r="H42" s="7" t="s">
        <v>254</v>
      </c>
      <c r="J42" s="8">
        <f>'数量（ルート1）'!$J$43</f>
        <v>0</v>
      </c>
      <c r="K42" s="8">
        <f>'数量（ルート1）'!$K$43</f>
        <v>0</v>
      </c>
      <c r="M42" s="8">
        <f>'数量（ルート1）'!$M$43</f>
        <v>0</v>
      </c>
      <c r="N42" s="8" t="e">
        <f>'数量（ルート1）'!$N$43</f>
        <v>#DIV/0!</v>
      </c>
      <c r="P42" s="7"/>
    </row>
    <row r="43" spans="2:16" ht="14.25" customHeight="1">
      <c r="B43" s="13">
        <f t="shared" si="0"/>
        <v>27</v>
      </c>
      <c r="C43" s="14"/>
      <c r="D43" s="14"/>
      <c r="E43" s="28" t="s">
        <v>401</v>
      </c>
      <c r="F43" s="17"/>
      <c r="G43" s="18"/>
      <c r="H43" s="7" t="s">
        <v>387</v>
      </c>
      <c r="J43" s="8">
        <f>'パラメータ（ルート1）'!$H$78</f>
        <v>0</v>
      </c>
      <c r="K43" s="8">
        <f>'パラメータ（ルート1）'!$H$78</f>
        <v>0</v>
      </c>
      <c r="M43" s="8">
        <f>'パラメータ（ルート1）'!$H$79</f>
        <v>0</v>
      </c>
      <c r="N43" s="8">
        <f>'パラメータ（ルート1）'!$H$79</f>
        <v>0</v>
      </c>
      <c r="P43" s="7"/>
    </row>
    <row r="44" spans="2:16" ht="14.25" customHeight="1">
      <c r="B44" s="13">
        <f t="shared" si="0"/>
        <v>28</v>
      </c>
      <c r="C44" s="14"/>
      <c r="D44" s="35" t="s">
        <v>402</v>
      </c>
      <c r="E44" s="32"/>
      <c r="F44" s="32"/>
      <c r="G44" s="64"/>
      <c r="H44" s="122" t="s">
        <v>380</v>
      </c>
      <c r="J44" s="166">
        <f>(J42*J43)/1000</f>
        <v>0</v>
      </c>
      <c r="K44" s="166">
        <f>(K42*K43)/1000</f>
        <v>0</v>
      </c>
      <c r="M44" s="166">
        <f>(M42*M43)/1000</f>
        <v>0</v>
      </c>
      <c r="N44" s="166" t="e">
        <f>(N42*N43)/1000</f>
        <v>#DIV/0!</v>
      </c>
      <c r="P44" s="7"/>
    </row>
    <row r="45" spans="2:16" ht="14.25" customHeight="1">
      <c r="B45" s="13">
        <f t="shared" si="0"/>
        <v>29</v>
      </c>
      <c r="C45" s="35" t="s">
        <v>403</v>
      </c>
      <c r="D45" s="33"/>
      <c r="E45" s="33"/>
      <c r="F45" s="33"/>
      <c r="G45" s="64"/>
      <c r="H45" s="122" t="s">
        <v>380</v>
      </c>
      <c r="J45" s="166" t="e">
        <f>J20+J24+J26+J35+J39+J41+J44</f>
        <v>#DIV/0!</v>
      </c>
      <c r="K45" s="166" t="e">
        <f>K20+K24+K26+K35+K39+K41+K44</f>
        <v>#DIV/0!</v>
      </c>
      <c r="M45" s="166" t="e">
        <f t="shared" ref="M45:N45" si="3">M20+M24+M26+M35+M39+M41+M44</f>
        <v>#DIV/0!</v>
      </c>
      <c r="N45" s="166" t="e">
        <f t="shared" si="3"/>
        <v>#DIV/0!</v>
      </c>
      <c r="P45" s="7"/>
    </row>
  </sheetData>
  <mergeCells count="6">
    <mergeCell ref="E23:G23"/>
    <mergeCell ref="J3:K3"/>
    <mergeCell ref="M3:N3"/>
    <mergeCell ref="E19:G19"/>
    <mergeCell ref="E21:G21"/>
    <mergeCell ref="E22:G22"/>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88534-0887-4768-B8A6-82BEE7992CBB}">
  <dimension ref="B1:W182"/>
  <sheetViews>
    <sheetView showGridLines="0" workbookViewId="0">
      <selection activeCell="E84" sqref="E84"/>
    </sheetView>
  </sheetViews>
  <sheetFormatPr defaultRowHeight="14.25"/>
  <cols>
    <col min="4" max="4" width="9" customWidth="1"/>
    <col min="6" max="6" width="13" customWidth="1"/>
    <col min="7" max="7" width="9.42578125" bestFit="1" customWidth="1"/>
    <col min="23" max="23" width="32.5703125" customWidth="1"/>
  </cols>
  <sheetData>
    <row r="1" spans="2:23" ht="15" thickBot="1"/>
    <row r="2" spans="2:23">
      <c r="B2" s="452" t="s">
        <v>404</v>
      </c>
      <c r="C2" s="453"/>
      <c r="D2" s="453"/>
      <c r="E2" s="453"/>
      <c r="F2" s="453"/>
      <c r="G2" s="453"/>
      <c r="H2" s="453"/>
      <c r="I2" s="453"/>
      <c r="J2" s="453"/>
      <c r="K2" s="453"/>
      <c r="L2" s="453"/>
      <c r="M2" s="453"/>
      <c r="N2" s="453"/>
      <c r="O2" s="453"/>
      <c r="P2" s="453"/>
      <c r="Q2" s="453"/>
      <c r="R2" s="453"/>
      <c r="S2" s="453"/>
      <c r="T2" s="453"/>
      <c r="U2" s="453"/>
      <c r="V2" s="453"/>
      <c r="W2" s="454"/>
    </row>
    <row r="3" spans="2:23">
      <c r="B3" s="461" t="s">
        <v>405</v>
      </c>
      <c r="C3" s="462"/>
      <c r="D3" s="462"/>
      <c r="E3" s="462"/>
      <c r="F3" s="462"/>
      <c r="G3" s="462"/>
      <c r="H3" s="462"/>
      <c r="I3" s="138" t="s">
        <v>406</v>
      </c>
      <c r="J3" s="138"/>
      <c r="K3" s="138"/>
      <c r="L3" s="138"/>
      <c r="M3" s="460" t="s">
        <v>407</v>
      </c>
      <c r="N3" s="460"/>
      <c r="O3" s="460"/>
      <c r="P3" s="460"/>
      <c r="Q3" s="460"/>
      <c r="R3" s="460"/>
      <c r="S3" s="460"/>
      <c r="T3" s="138" t="s">
        <v>406</v>
      </c>
      <c r="W3" s="280"/>
    </row>
    <row r="4" spans="2:23" ht="16.5" customHeight="1">
      <c r="B4" s="281" t="s">
        <v>408</v>
      </c>
      <c r="C4" s="464" t="s">
        <v>409</v>
      </c>
      <c r="D4" s="464"/>
      <c r="E4" s="464"/>
      <c r="F4" s="464"/>
      <c r="G4" s="282">
        <f>'パラメータ（ルート1）'!H5</f>
        <v>0</v>
      </c>
      <c r="H4" t="s">
        <v>272</v>
      </c>
      <c r="I4" s="282" t="s">
        <v>410</v>
      </c>
      <c r="M4" s="283" t="s">
        <v>411</v>
      </c>
      <c r="N4" s="138" t="s">
        <v>412</v>
      </c>
      <c r="R4" s="284">
        <v>10000</v>
      </c>
      <c r="S4" t="s">
        <v>272</v>
      </c>
      <c r="T4" s="282" t="s">
        <v>413</v>
      </c>
      <c r="W4" s="280"/>
    </row>
    <row r="5" spans="2:23" ht="16.5" customHeight="1">
      <c r="B5" s="281" t="s">
        <v>414</v>
      </c>
      <c r="C5" s="465" t="s">
        <v>415</v>
      </c>
      <c r="D5" s="465"/>
      <c r="E5" s="465"/>
      <c r="F5" s="465"/>
      <c r="G5" s="282">
        <f>'パラメータ（ルート1）'!$H$6</f>
        <v>9</v>
      </c>
      <c r="H5" t="s">
        <v>274</v>
      </c>
      <c r="I5" s="282" t="s">
        <v>416</v>
      </c>
      <c r="M5" s="283" t="s">
        <v>417</v>
      </c>
      <c r="N5" s="138" t="s">
        <v>418</v>
      </c>
      <c r="R5">
        <v>70</v>
      </c>
      <c r="S5" t="s">
        <v>274</v>
      </c>
      <c r="T5" s="282" t="s">
        <v>419</v>
      </c>
      <c r="W5" s="280"/>
    </row>
    <row r="6" spans="2:23" ht="16.5" customHeight="1" thickBot="1">
      <c r="B6" s="281" t="s">
        <v>420</v>
      </c>
      <c r="C6" s="464" t="s">
        <v>421</v>
      </c>
      <c r="D6" s="464"/>
      <c r="E6" s="464"/>
      <c r="F6" s="464"/>
      <c r="G6" s="6">
        <v>50</v>
      </c>
      <c r="H6" t="s">
        <v>274</v>
      </c>
      <c r="I6" s="138" t="s">
        <v>422</v>
      </c>
      <c r="M6" s="283" t="s">
        <v>423</v>
      </c>
      <c r="N6" s="138" t="s">
        <v>424</v>
      </c>
      <c r="R6">
        <v>30</v>
      </c>
      <c r="S6" t="s">
        <v>274</v>
      </c>
      <c r="T6" s="282" t="s">
        <v>425</v>
      </c>
      <c r="W6" s="280"/>
    </row>
    <row r="7" spans="2:23" ht="16.5" customHeight="1" thickBot="1">
      <c r="B7" s="281" t="s">
        <v>426</v>
      </c>
      <c r="C7" s="464" t="s">
        <v>404</v>
      </c>
      <c r="D7" s="464"/>
      <c r="E7" s="464"/>
      <c r="F7" s="464"/>
      <c r="G7" s="278">
        <f>G4*(G5/100)*(G6/100)</f>
        <v>0</v>
      </c>
      <c r="H7" t="s">
        <v>272</v>
      </c>
      <c r="I7" s="285" t="s">
        <v>427</v>
      </c>
      <c r="M7" s="283" t="s">
        <v>428</v>
      </c>
      <c r="N7" s="138" t="s">
        <v>429</v>
      </c>
      <c r="R7" s="284">
        <f>(R4/(R5/100))*(R6/100)</f>
        <v>4285.7142857142853</v>
      </c>
      <c r="S7" t="s">
        <v>272</v>
      </c>
      <c r="T7" s="66" t="s">
        <v>430</v>
      </c>
      <c r="W7" s="280"/>
    </row>
    <row r="8" spans="2:23" ht="16.5" customHeight="1" thickBot="1">
      <c r="B8" s="286"/>
      <c r="C8" s="287"/>
      <c r="D8" s="287"/>
      <c r="E8" s="287"/>
      <c r="F8" s="287"/>
      <c r="G8" s="287"/>
      <c r="H8" s="287"/>
      <c r="I8" s="287"/>
      <c r="J8" s="287"/>
      <c r="K8" s="287"/>
      <c r="L8" s="287"/>
      <c r="M8" s="288" t="s">
        <v>431</v>
      </c>
      <c r="N8" s="466" t="s">
        <v>404</v>
      </c>
      <c r="O8" s="466"/>
      <c r="P8" s="466"/>
      <c r="Q8" s="466"/>
      <c r="R8" s="275">
        <f>R4+R7</f>
        <v>14285.714285714286</v>
      </c>
      <c r="S8" s="287" t="s">
        <v>272</v>
      </c>
      <c r="T8" s="289" t="s">
        <v>427</v>
      </c>
      <c r="U8" s="287"/>
      <c r="V8" s="287"/>
      <c r="W8" s="290"/>
    </row>
    <row r="9" spans="2:23">
      <c r="B9" s="452" t="s">
        <v>432</v>
      </c>
      <c r="C9" s="453"/>
      <c r="D9" s="453"/>
      <c r="E9" s="453"/>
      <c r="F9" s="453"/>
      <c r="G9" s="453"/>
      <c r="H9" s="453"/>
      <c r="I9" s="453"/>
      <c r="J9" s="453"/>
      <c r="K9" s="453"/>
      <c r="L9" s="453"/>
      <c r="M9" s="453"/>
      <c r="N9" s="453"/>
      <c r="O9" s="453"/>
      <c r="P9" s="453"/>
      <c r="Q9" s="453"/>
      <c r="R9" s="453"/>
      <c r="S9" s="453"/>
      <c r="T9" s="453"/>
      <c r="U9" s="453"/>
      <c r="V9" s="453"/>
      <c r="W9" s="454"/>
    </row>
    <row r="10" spans="2:23">
      <c r="B10" s="281" t="s">
        <v>408</v>
      </c>
      <c r="C10" s="138" t="s">
        <v>284</v>
      </c>
      <c r="G10" s="282">
        <f>'数量（ルート1）'!N25</f>
        <v>0</v>
      </c>
      <c r="H10" t="s">
        <v>272</v>
      </c>
      <c r="I10" s="138" t="s">
        <v>433</v>
      </c>
      <c r="W10" s="280"/>
    </row>
    <row r="11" spans="2:23" ht="15" thickBot="1">
      <c r="B11" s="281" t="s">
        <v>434</v>
      </c>
      <c r="C11" t="s">
        <v>435</v>
      </c>
      <c r="G11">
        <v>364</v>
      </c>
      <c r="H11" t="s">
        <v>272</v>
      </c>
      <c r="I11" s="138" t="s">
        <v>436</v>
      </c>
      <c r="W11" s="280"/>
    </row>
    <row r="12" spans="2:23" ht="15" thickBot="1">
      <c r="B12" s="291" t="s">
        <v>437</v>
      </c>
      <c r="C12" s="292" t="s">
        <v>438</v>
      </c>
      <c r="D12" s="287"/>
      <c r="E12" s="287"/>
      <c r="F12" s="287"/>
      <c r="G12" s="278" t="e">
        <f>(G11/G10)*100</f>
        <v>#DIV/0!</v>
      </c>
      <c r="H12" s="287" t="s">
        <v>274</v>
      </c>
      <c r="I12" s="289" t="s">
        <v>439</v>
      </c>
      <c r="J12" s="287"/>
      <c r="K12" s="287"/>
      <c r="L12" s="287"/>
      <c r="M12" s="287"/>
      <c r="N12" s="287"/>
      <c r="O12" s="287"/>
      <c r="P12" s="287"/>
      <c r="Q12" s="287"/>
      <c r="R12" s="287"/>
      <c r="S12" s="287"/>
      <c r="T12" s="287"/>
      <c r="U12" s="287"/>
      <c r="V12" s="287"/>
      <c r="W12" s="290"/>
    </row>
    <row r="13" spans="2:23">
      <c r="B13" s="452" t="s">
        <v>440</v>
      </c>
      <c r="C13" s="453"/>
      <c r="D13" s="453"/>
      <c r="E13" s="453"/>
      <c r="F13" s="453"/>
      <c r="G13" s="453"/>
      <c r="H13" s="453"/>
      <c r="I13" s="453"/>
      <c r="J13" s="453"/>
      <c r="K13" s="453"/>
      <c r="L13" s="453"/>
      <c r="M13" s="453"/>
      <c r="N13" s="453"/>
      <c r="O13" s="453"/>
      <c r="P13" s="453"/>
      <c r="Q13" s="453"/>
      <c r="R13" s="453"/>
      <c r="S13" s="453"/>
      <c r="T13" s="453"/>
      <c r="U13" s="453"/>
      <c r="V13" s="453"/>
      <c r="W13" s="454"/>
    </row>
    <row r="14" spans="2:23">
      <c r="B14" s="281" t="s">
        <v>408</v>
      </c>
      <c r="C14" s="138" t="s">
        <v>284</v>
      </c>
      <c r="G14" s="282">
        <f>'数量（ルート1）'!N26</f>
        <v>0</v>
      </c>
      <c r="H14" t="s">
        <v>272</v>
      </c>
      <c r="I14" s="138" t="s">
        <v>441</v>
      </c>
      <c r="W14" s="280"/>
    </row>
    <row r="15" spans="2:23" ht="15" thickBot="1">
      <c r="B15" s="281" t="s">
        <v>434</v>
      </c>
      <c r="C15" t="s">
        <v>435</v>
      </c>
      <c r="G15" s="300"/>
      <c r="H15" t="s">
        <v>272</v>
      </c>
      <c r="I15" s="138" t="s">
        <v>442</v>
      </c>
      <c r="W15" s="280"/>
    </row>
    <row r="16" spans="2:23" ht="15" thickBot="1">
      <c r="B16" s="291" t="s">
        <v>437</v>
      </c>
      <c r="C16" s="292" t="s">
        <v>438</v>
      </c>
      <c r="D16" s="287"/>
      <c r="E16" s="287"/>
      <c r="F16" s="287"/>
      <c r="G16" s="274" t="e">
        <f>(G15/G14)*100</f>
        <v>#DIV/0!</v>
      </c>
      <c r="H16" s="287" t="s">
        <v>274</v>
      </c>
      <c r="I16" s="289" t="s">
        <v>443</v>
      </c>
      <c r="J16" s="287"/>
      <c r="K16" s="287"/>
      <c r="L16" s="287"/>
      <c r="M16" s="287"/>
      <c r="N16" s="287"/>
      <c r="O16" s="287"/>
      <c r="P16" s="287"/>
      <c r="Q16" s="287"/>
      <c r="R16" s="287"/>
      <c r="S16" s="287"/>
      <c r="T16" s="287"/>
      <c r="U16" s="287"/>
      <c r="V16" s="287"/>
      <c r="W16" s="290"/>
    </row>
    <row r="17" spans="2:23">
      <c r="B17" s="452" t="s">
        <v>444</v>
      </c>
      <c r="C17" s="453"/>
      <c r="D17" s="453"/>
      <c r="E17" s="453"/>
      <c r="F17" s="453"/>
      <c r="G17" s="453"/>
      <c r="H17" s="453"/>
      <c r="I17" s="453"/>
      <c r="J17" s="453"/>
      <c r="K17" s="453"/>
      <c r="L17" s="453"/>
      <c r="M17" s="453"/>
      <c r="N17" s="453"/>
      <c r="O17" s="453"/>
      <c r="P17" s="453"/>
      <c r="Q17" s="453"/>
      <c r="R17" s="453"/>
      <c r="S17" s="453"/>
      <c r="T17" s="453"/>
      <c r="U17" s="453"/>
      <c r="V17" s="453"/>
      <c r="W17" s="454"/>
    </row>
    <row r="18" spans="2:23">
      <c r="B18" s="281" t="s">
        <v>408</v>
      </c>
      <c r="C18" s="138" t="s">
        <v>375</v>
      </c>
      <c r="G18" s="282">
        <f>'数量（ルート1）'!K28</f>
        <v>0</v>
      </c>
      <c r="H18" t="s">
        <v>272</v>
      </c>
      <c r="I18" s="138" t="s">
        <v>445</v>
      </c>
      <c r="W18" s="280"/>
    </row>
    <row r="19" spans="2:23">
      <c r="B19" s="281" t="s">
        <v>434</v>
      </c>
      <c r="C19" s="138" t="s">
        <v>446</v>
      </c>
      <c r="G19" s="293">
        <f>ROUNDUP(G18*0.001,1)</f>
        <v>0</v>
      </c>
      <c r="H19" t="s">
        <v>447</v>
      </c>
      <c r="I19" t="s">
        <v>448</v>
      </c>
      <c r="W19" s="280"/>
    </row>
    <row r="20" spans="2:23">
      <c r="B20" s="281" t="s">
        <v>437</v>
      </c>
      <c r="C20" s="138" t="s">
        <v>449</v>
      </c>
      <c r="G20" s="293">
        <f>ROUNDUP(G19*4.51739387354416,1)</f>
        <v>0</v>
      </c>
      <c r="H20" t="s">
        <v>450</v>
      </c>
      <c r="I20" t="s">
        <v>451</v>
      </c>
      <c r="W20" s="280"/>
    </row>
    <row r="21" spans="2:23" ht="13.5" customHeight="1">
      <c r="B21" s="281" t="s">
        <v>452</v>
      </c>
      <c r="C21" s="138" t="s">
        <v>453</v>
      </c>
      <c r="G21" s="284" t="e">
        <f>G18/G19</f>
        <v>#DIV/0!</v>
      </c>
      <c r="H21" t="s">
        <v>454</v>
      </c>
      <c r="I21" s="6" t="s">
        <v>455</v>
      </c>
      <c r="W21" s="280"/>
    </row>
    <row r="22" spans="2:23">
      <c r="B22" s="294" t="s">
        <v>456</v>
      </c>
      <c r="C22" s="295" t="s">
        <v>457</v>
      </c>
      <c r="D22" s="296"/>
      <c r="E22" s="296"/>
      <c r="F22" s="296"/>
      <c r="G22" s="297" t="e">
        <f>G20*G21</f>
        <v>#DIV/0!</v>
      </c>
      <c r="H22" s="296" t="s">
        <v>458</v>
      </c>
      <c r="I22" s="6" t="s">
        <v>459</v>
      </c>
      <c r="W22" s="280"/>
    </row>
    <row r="23" spans="2:23">
      <c r="B23" s="281" t="s">
        <v>460</v>
      </c>
      <c r="C23" s="138" t="s">
        <v>461</v>
      </c>
      <c r="G23" s="298">
        <f>ROUNDUP(G18*0.0007+1.9962,1)</f>
        <v>2</v>
      </c>
      <c r="H23" t="s">
        <v>447</v>
      </c>
      <c r="I23" t="s">
        <v>448</v>
      </c>
      <c r="W23" s="280"/>
    </row>
    <row r="24" spans="2:23">
      <c r="B24" s="281" t="s">
        <v>462</v>
      </c>
      <c r="C24" s="138" t="s">
        <v>463</v>
      </c>
      <c r="G24" s="298">
        <f>ROUNDUP(G23*13.4188554371463,1)</f>
        <v>26.900000000000002</v>
      </c>
      <c r="H24" t="s">
        <v>450</v>
      </c>
      <c r="I24" t="s">
        <v>464</v>
      </c>
      <c r="W24" s="280"/>
    </row>
    <row r="25" spans="2:23">
      <c r="B25" s="281" t="s">
        <v>465</v>
      </c>
      <c r="C25" s="138" t="s">
        <v>466</v>
      </c>
      <c r="G25" s="284">
        <f>G18/G23</f>
        <v>0</v>
      </c>
      <c r="H25" t="s">
        <v>454</v>
      </c>
      <c r="I25" t="s">
        <v>467</v>
      </c>
      <c r="W25" s="280"/>
    </row>
    <row r="26" spans="2:23">
      <c r="B26" s="294" t="s">
        <v>468</v>
      </c>
      <c r="C26" s="295" t="s">
        <v>469</v>
      </c>
      <c r="D26" s="296"/>
      <c r="E26" s="296"/>
      <c r="F26" s="296"/>
      <c r="G26" s="297">
        <f>G24*G25</f>
        <v>0</v>
      </c>
      <c r="H26" s="296" t="s">
        <v>458</v>
      </c>
      <c r="I26" s="6" t="s">
        <v>470</v>
      </c>
      <c r="W26" s="280"/>
    </row>
    <row r="27" spans="2:23">
      <c r="B27" s="281" t="s">
        <v>471</v>
      </c>
      <c r="C27" s="138" t="s">
        <v>472</v>
      </c>
      <c r="G27" s="298">
        <f>ROUNDUP(G18*0.0017,1)</f>
        <v>0</v>
      </c>
      <c r="H27" t="s">
        <v>447</v>
      </c>
      <c r="I27" t="s">
        <v>448</v>
      </c>
      <c r="W27" s="280"/>
    </row>
    <row r="28" spans="2:23">
      <c r="B28" s="281" t="s">
        <v>473</v>
      </c>
      <c r="C28" s="138" t="s">
        <v>474</v>
      </c>
      <c r="G28" s="298">
        <f>ROUNDUP(G27*0.589028125870231,1)</f>
        <v>0</v>
      </c>
      <c r="H28" t="s">
        <v>450</v>
      </c>
      <c r="I28" t="s">
        <v>475</v>
      </c>
      <c r="W28" s="280"/>
    </row>
    <row r="29" spans="2:23">
      <c r="B29" s="281" t="s">
        <v>476</v>
      </c>
      <c r="C29" s="138" t="s">
        <v>477</v>
      </c>
      <c r="G29" s="284" t="e">
        <f>G18/G27</f>
        <v>#DIV/0!</v>
      </c>
      <c r="H29" t="s">
        <v>454</v>
      </c>
      <c r="I29" t="s">
        <v>478</v>
      </c>
      <c r="W29" s="280"/>
    </row>
    <row r="30" spans="2:23">
      <c r="B30" s="294" t="s">
        <v>479</v>
      </c>
      <c r="C30" s="295" t="s">
        <v>480</v>
      </c>
      <c r="D30" s="296"/>
      <c r="E30" s="296"/>
      <c r="F30" s="296"/>
      <c r="G30" s="297" t="e">
        <f>G28*G29</f>
        <v>#DIV/0!</v>
      </c>
      <c r="H30" s="296" t="s">
        <v>458</v>
      </c>
      <c r="I30" s="6" t="s">
        <v>481</v>
      </c>
      <c r="W30" s="280"/>
    </row>
    <row r="31" spans="2:23">
      <c r="B31" s="281" t="s">
        <v>482</v>
      </c>
      <c r="C31" s="138" t="s">
        <v>483</v>
      </c>
      <c r="G31" s="293">
        <f>ROUNDUP(G18*0.001,1)</f>
        <v>0</v>
      </c>
      <c r="H31" t="s">
        <v>447</v>
      </c>
      <c r="I31" t="s">
        <v>448</v>
      </c>
      <c r="W31" s="280"/>
    </row>
    <row r="32" spans="2:23">
      <c r="B32" s="281" t="s">
        <v>484</v>
      </c>
      <c r="C32" s="138" t="s">
        <v>485</v>
      </c>
      <c r="G32" s="298">
        <f>ROUNDUP(G31*1.81191726552423,1)</f>
        <v>0</v>
      </c>
      <c r="H32" t="s">
        <v>450</v>
      </c>
      <c r="I32" t="s">
        <v>486</v>
      </c>
      <c r="W32" s="280"/>
    </row>
    <row r="33" spans="2:23">
      <c r="B33" s="281" t="s">
        <v>487</v>
      </c>
      <c r="C33" s="138" t="s">
        <v>488</v>
      </c>
      <c r="G33" s="284" t="e">
        <f>G18/G31</f>
        <v>#DIV/0!</v>
      </c>
      <c r="H33" t="s">
        <v>454</v>
      </c>
      <c r="I33" t="s">
        <v>489</v>
      </c>
      <c r="W33" s="280"/>
    </row>
    <row r="34" spans="2:23">
      <c r="B34" s="294" t="s">
        <v>490</v>
      </c>
      <c r="C34" s="295" t="s">
        <v>491</v>
      </c>
      <c r="D34" s="296"/>
      <c r="E34" s="296"/>
      <c r="F34" s="296"/>
      <c r="G34" s="297" t="e">
        <f>G32*G33</f>
        <v>#DIV/0!</v>
      </c>
      <c r="H34" s="296" t="s">
        <v>458</v>
      </c>
      <c r="I34" s="6" t="s">
        <v>492</v>
      </c>
      <c r="W34" s="280"/>
    </row>
    <row r="35" spans="2:23">
      <c r="B35" s="281" t="s">
        <v>493</v>
      </c>
      <c r="C35" s="138" t="s">
        <v>494</v>
      </c>
      <c r="G35" s="298">
        <f>ROUNDUP(G18*0.0009,1)</f>
        <v>0</v>
      </c>
      <c r="H35" t="s">
        <v>447</v>
      </c>
      <c r="I35" t="s">
        <v>448</v>
      </c>
      <c r="W35" s="280"/>
    </row>
    <row r="36" spans="2:23">
      <c r="B36" s="281" t="s">
        <v>495</v>
      </c>
      <c r="C36" s="138" t="s">
        <v>496</v>
      </c>
      <c r="G36" s="298">
        <f>ROUNDUP(G35*2.49170178799489,1)</f>
        <v>0</v>
      </c>
      <c r="H36" t="s">
        <v>450</v>
      </c>
      <c r="I36" t="s">
        <v>497</v>
      </c>
      <c r="W36" s="280"/>
    </row>
    <row r="37" spans="2:23">
      <c r="B37" s="281" t="s">
        <v>498</v>
      </c>
      <c r="C37" s="138" t="s">
        <v>499</v>
      </c>
      <c r="G37" s="284" t="e">
        <f>G18/G35</f>
        <v>#DIV/0!</v>
      </c>
      <c r="H37" t="s">
        <v>454</v>
      </c>
      <c r="I37" t="s">
        <v>500</v>
      </c>
      <c r="W37" s="280"/>
    </row>
    <row r="38" spans="2:23">
      <c r="B38" s="294" t="s">
        <v>501</v>
      </c>
      <c r="C38" s="295" t="s">
        <v>502</v>
      </c>
      <c r="D38" s="296"/>
      <c r="E38" s="296"/>
      <c r="F38" s="296"/>
      <c r="G38" s="297" t="e">
        <f>G36*G37</f>
        <v>#DIV/0!</v>
      </c>
      <c r="H38" s="296" t="s">
        <v>458</v>
      </c>
      <c r="I38" s="6" t="s">
        <v>503</v>
      </c>
      <c r="W38" s="280"/>
    </row>
    <row r="39" spans="2:23" ht="15" thickBot="1">
      <c r="B39" s="294" t="s">
        <v>504</v>
      </c>
      <c r="C39" s="295" t="s">
        <v>505</v>
      </c>
      <c r="D39" s="296"/>
      <c r="E39" s="296"/>
      <c r="F39" s="296"/>
      <c r="G39" s="296"/>
      <c r="H39" s="296" t="s">
        <v>458</v>
      </c>
      <c r="I39" s="138" t="s">
        <v>506</v>
      </c>
      <c r="W39" s="280"/>
    </row>
    <row r="40" spans="2:23" ht="15" thickBot="1">
      <c r="B40" s="291" t="s">
        <v>507</v>
      </c>
      <c r="C40" s="292" t="s">
        <v>508</v>
      </c>
      <c r="D40" s="287"/>
      <c r="E40" s="287"/>
      <c r="F40" s="287"/>
      <c r="G40" s="275" t="e">
        <f>G22+G26+G30+G34+G38+G39</f>
        <v>#DIV/0!</v>
      </c>
      <c r="H40" s="287" t="s">
        <v>458</v>
      </c>
      <c r="I40" s="289" t="s">
        <v>509</v>
      </c>
      <c r="J40" s="287"/>
      <c r="K40" s="287"/>
      <c r="L40" s="287"/>
      <c r="M40" s="287"/>
      <c r="N40" s="287"/>
      <c r="O40" s="287"/>
      <c r="P40" s="287"/>
      <c r="Q40" s="287"/>
      <c r="R40" s="287"/>
      <c r="S40" s="287"/>
      <c r="T40" s="287"/>
      <c r="U40" s="287"/>
      <c r="V40" s="287"/>
      <c r="W40" s="290"/>
    </row>
    <row r="41" spans="2:23">
      <c r="B41" s="452" t="s">
        <v>510</v>
      </c>
      <c r="C41" s="453"/>
      <c r="D41" s="453"/>
      <c r="E41" s="453"/>
      <c r="F41" s="453"/>
      <c r="G41" s="453"/>
      <c r="H41" s="453"/>
      <c r="I41" s="453"/>
      <c r="J41" s="453"/>
      <c r="K41" s="453"/>
      <c r="L41" s="453"/>
      <c r="M41" s="453"/>
      <c r="N41" s="453"/>
      <c r="O41" s="453"/>
      <c r="P41" s="453"/>
      <c r="Q41" s="453"/>
      <c r="R41" s="453"/>
      <c r="S41" s="453"/>
      <c r="T41" s="453"/>
      <c r="U41" s="453"/>
      <c r="V41" s="453"/>
      <c r="W41" s="454"/>
    </row>
    <row r="42" spans="2:23">
      <c r="B42" s="281" t="s">
        <v>408</v>
      </c>
      <c r="C42" s="138" t="s">
        <v>375</v>
      </c>
      <c r="G42" s="282">
        <f>'数量（ルート1）'!N28</f>
        <v>0</v>
      </c>
      <c r="H42" t="s">
        <v>272</v>
      </c>
      <c r="I42" s="138" t="s">
        <v>511</v>
      </c>
      <c r="W42" s="280"/>
    </row>
    <row r="43" spans="2:23">
      <c r="B43" s="281" t="s">
        <v>434</v>
      </c>
      <c r="C43" s="138" t="s">
        <v>446</v>
      </c>
      <c r="G43" s="293">
        <f>ROUNDUP(G42*0.001,1)</f>
        <v>0</v>
      </c>
      <c r="H43" t="s">
        <v>447</v>
      </c>
      <c r="I43" t="s">
        <v>448</v>
      </c>
      <c r="W43" s="280"/>
    </row>
    <row r="44" spans="2:23">
      <c r="B44" s="281" t="s">
        <v>437</v>
      </c>
      <c r="C44" s="138" t="s">
        <v>449</v>
      </c>
      <c r="G44" s="293">
        <f>ROUNDUP(G43*4.51739387354416,1)</f>
        <v>0</v>
      </c>
      <c r="H44" t="s">
        <v>450</v>
      </c>
      <c r="I44" t="s">
        <v>451</v>
      </c>
      <c r="W44" s="280"/>
    </row>
    <row r="45" spans="2:23" ht="14.25" customHeight="1">
      <c r="B45" s="281" t="s">
        <v>452</v>
      </c>
      <c r="C45" s="138" t="s">
        <v>453</v>
      </c>
      <c r="G45" s="284" t="e">
        <f>G42/G43</f>
        <v>#DIV/0!</v>
      </c>
      <c r="H45" t="s">
        <v>454</v>
      </c>
      <c r="I45" s="6" t="s">
        <v>455</v>
      </c>
      <c r="W45" s="280"/>
    </row>
    <row r="46" spans="2:23">
      <c r="B46" s="294" t="s">
        <v>456</v>
      </c>
      <c r="C46" s="295" t="s">
        <v>457</v>
      </c>
      <c r="D46" s="296"/>
      <c r="E46" s="296"/>
      <c r="F46" s="296"/>
      <c r="G46" s="297" t="e">
        <f>G44*G45</f>
        <v>#DIV/0!</v>
      </c>
      <c r="H46" s="296" t="s">
        <v>458</v>
      </c>
      <c r="I46" s="6" t="s">
        <v>459</v>
      </c>
      <c r="W46" s="280"/>
    </row>
    <row r="47" spans="2:23">
      <c r="B47" s="281" t="s">
        <v>460</v>
      </c>
      <c r="C47" s="138" t="s">
        <v>461</v>
      </c>
      <c r="G47" s="298">
        <f>ROUNDUP(G42*0.0007+1.9962,1)</f>
        <v>2</v>
      </c>
      <c r="H47" t="s">
        <v>447</v>
      </c>
      <c r="I47" t="s">
        <v>448</v>
      </c>
      <c r="W47" s="280"/>
    </row>
    <row r="48" spans="2:23">
      <c r="B48" s="281" t="s">
        <v>462</v>
      </c>
      <c r="C48" s="138" t="s">
        <v>463</v>
      </c>
      <c r="G48" s="298">
        <f>ROUNDUP(G47*13.4188554371463,1)</f>
        <v>26.900000000000002</v>
      </c>
      <c r="H48" t="s">
        <v>450</v>
      </c>
      <c r="I48" t="s">
        <v>464</v>
      </c>
      <c r="W48" s="280"/>
    </row>
    <row r="49" spans="2:23">
      <c r="B49" s="281" t="s">
        <v>465</v>
      </c>
      <c r="C49" s="138" t="s">
        <v>466</v>
      </c>
      <c r="G49" s="284">
        <f>G42/G47</f>
        <v>0</v>
      </c>
      <c r="H49" t="s">
        <v>454</v>
      </c>
      <c r="I49" t="s">
        <v>467</v>
      </c>
      <c r="W49" s="280"/>
    </row>
    <row r="50" spans="2:23">
      <c r="B50" s="294" t="s">
        <v>468</v>
      </c>
      <c r="C50" s="295" t="s">
        <v>469</v>
      </c>
      <c r="D50" s="296"/>
      <c r="E50" s="296"/>
      <c r="F50" s="296"/>
      <c r="G50" s="297">
        <f>G48*G49</f>
        <v>0</v>
      </c>
      <c r="H50" s="296" t="s">
        <v>458</v>
      </c>
      <c r="I50" s="6" t="s">
        <v>470</v>
      </c>
      <c r="W50" s="280"/>
    </row>
    <row r="51" spans="2:23">
      <c r="B51" s="281" t="s">
        <v>471</v>
      </c>
      <c r="C51" s="138" t="s">
        <v>472</v>
      </c>
      <c r="G51" s="298">
        <f>ROUNDUP(G42*0.0017,1)</f>
        <v>0</v>
      </c>
      <c r="H51" t="s">
        <v>447</v>
      </c>
      <c r="I51" t="s">
        <v>448</v>
      </c>
      <c r="W51" s="280"/>
    </row>
    <row r="52" spans="2:23">
      <c r="B52" s="281" t="s">
        <v>473</v>
      </c>
      <c r="C52" s="138" t="s">
        <v>474</v>
      </c>
      <c r="G52" s="298">
        <f>ROUNDUP(G51*0.589028125870231,1)</f>
        <v>0</v>
      </c>
      <c r="H52" t="s">
        <v>450</v>
      </c>
      <c r="I52" t="s">
        <v>475</v>
      </c>
      <c r="W52" s="280"/>
    </row>
    <row r="53" spans="2:23">
      <c r="B53" s="281" t="s">
        <v>476</v>
      </c>
      <c r="C53" s="138" t="s">
        <v>477</v>
      </c>
      <c r="G53" s="284" t="e">
        <f>G42/G51</f>
        <v>#DIV/0!</v>
      </c>
      <c r="H53" t="s">
        <v>454</v>
      </c>
      <c r="I53" t="s">
        <v>478</v>
      </c>
      <c r="W53" s="280"/>
    </row>
    <row r="54" spans="2:23">
      <c r="B54" s="294" t="s">
        <v>479</v>
      </c>
      <c r="C54" s="295" t="s">
        <v>480</v>
      </c>
      <c r="D54" s="296"/>
      <c r="E54" s="296"/>
      <c r="F54" s="296"/>
      <c r="G54" s="297" t="e">
        <f>G52*G53</f>
        <v>#DIV/0!</v>
      </c>
      <c r="H54" s="296" t="s">
        <v>458</v>
      </c>
      <c r="I54" s="6" t="s">
        <v>481</v>
      </c>
      <c r="W54" s="280"/>
    </row>
    <row r="55" spans="2:23">
      <c r="B55" s="281" t="s">
        <v>482</v>
      </c>
      <c r="C55" s="138" t="s">
        <v>483</v>
      </c>
      <c r="G55" s="293">
        <f>ROUNDUP(G42*0.001,1)</f>
        <v>0</v>
      </c>
      <c r="H55" t="s">
        <v>447</v>
      </c>
      <c r="I55" t="s">
        <v>448</v>
      </c>
      <c r="W55" s="280"/>
    </row>
    <row r="56" spans="2:23">
      <c r="B56" s="281" t="s">
        <v>484</v>
      </c>
      <c r="C56" s="138" t="s">
        <v>485</v>
      </c>
      <c r="G56" s="298">
        <f>ROUNDUP(G55*1.81191726552423,1)</f>
        <v>0</v>
      </c>
      <c r="H56" t="s">
        <v>450</v>
      </c>
      <c r="I56" t="s">
        <v>486</v>
      </c>
      <c r="W56" s="280"/>
    </row>
    <row r="57" spans="2:23">
      <c r="B57" s="281" t="s">
        <v>487</v>
      </c>
      <c r="C57" s="138" t="s">
        <v>488</v>
      </c>
      <c r="G57" s="284" t="e">
        <f>G42/G55</f>
        <v>#DIV/0!</v>
      </c>
      <c r="H57" t="s">
        <v>454</v>
      </c>
      <c r="I57" t="s">
        <v>489</v>
      </c>
      <c r="W57" s="280"/>
    </row>
    <row r="58" spans="2:23">
      <c r="B58" s="294" t="s">
        <v>490</v>
      </c>
      <c r="C58" s="295" t="s">
        <v>491</v>
      </c>
      <c r="D58" s="296"/>
      <c r="E58" s="296"/>
      <c r="F58" s="296"/>
      <c r="G58" s="297" t="e">
        <f>G56*G57</f>
        <v>#DIV/0!</v>
      </c>
      <c r="H58" s="296" t="s">
        <v>458</v>
      </c>
      <c r="I58" s="6" t="s">
        <v>492</v>
      </c>
      <c r="W58" s="280"/>
    </row>
    <row r="59" spans="2:23">
      <c r="B59" s="281" t="s">
        <v>493</v>
      </c>
      <c r="C59" s="138" t="s">
        <v>494</v>
      </c>
      <c r="G59" s="298">
        <f>ROUNDUP(G42*0.0009,1)</f>
        <v>0</v>
      </c>
      <c r="H59" t="s">
        <v>447</v>
      </c>
      <c r="I59" t="s">
        <v>448</v>
      </c>
      <c r="W59" s="280"/>
    </row>
    <row r="60" spans="2:23">
      <c r="B60" s="281" t="s">
        <v>495</v>
      </c>
      <c r="C60" s="138" t="s">
        <v>496</v>
      </c>
      <c r="G60" s="298">
        <f>ROUNDUP(G59*2.49170178799489,1)</f>
        <v>0</v>
      </c>
      <c r="H60" t="s">
        <v>450</v>
      </c>
      <c r="I60" t="s">
        <v>497</v>
      </c>
      <c r="W60" s="280"/>
    </row>
    <row r="61" spans="2:23">
      <c r="B61" s="281" t="s">
        <v>498</v>
      </c>
      <c r="C61" s="138" t="s">
        <v>499</v>
      </c>
      <c r="G61" s="284" t="e">
        <f>G42/G59</f>
        <v>#DIV/0!</v>
      </c>
      <c r="H61" t="s">
        <v>454</v>
      </c>
      <c r="I61" t="s">
        <v>500</v>
      </c>
      <c r="W61" s="280"/>
    </row>
    <row r="62" spans="2:23">
      <c r="B62" s="294" t="s">
        <v>501</v>
      </c>
      <c r="C62" s="295" t="s">
        <v>502</v>
      </c>
      <c r="D62" s="296"/>
      <c r="E62" s="296"/>
      <c r="F62" s="296"/>
      <c r="G62" s="297" t="e">
        <f>G60*G61</f>
        <v>#DIV/0!</v>
      </c>
      <c r="H62" s="296" t="s">
        <v>458</v>
      </c>
      <c r="I62" s="6" t="s">
        <v>503</v>
      </c>
      <c r="W62" s="280"/>
    </row>
    <row r="63" spans="2:23" ht="15" thickBot="1">
      <c r="B63" s="294" t="s">
        <v>504</v>
      </c>
      <c r="C63" s="295" t="s">
        <v>505</v>
      </c>
      <c r="D63" s="296"/>
      <c r="E63" s="296"/>
      <c r="F63" s="296"/>
      <c r="G63" s="296"/>
      <c r="H63" s="296" t="s">
        <v>458</v>
      </c>
      <c r="I63" s="138" t="s">
        <v>506</v>
      </c>
      <c r="W63" s="280"/>
    </row>
    <row r="64" spans="2:23" ht="15" thickBot="1">
      <c r="B64" s="291" t="s">
        <v>507</v>
      </c>
      <c r="C64" s="292" t="s">
        <v>508</v>
      </c>
      <c r="D64" s="287"/>
      <c r="E64" s="287"/>
      <c r="F64" s="287"/>
      <c r="G64" s="275" t="e">
        <f>G46+G50+G54+G58+G62+G63</f>
        <v>#DIV/0!</v>
      </c>
      <c r="H64" s="287" t="s">
        <v>458</v>
      </c>
      <c r="I64" s="289" t="s">
        <v>512</v>
      </c>
      <c r="J64" s="287"/>
      <c r="K64" s="287"/>
      <c r="L64" s="287"/>
      <c r="M64" s="287"/>
      <c r="N64" s="287"/>
      <c r="O64" s="287"/>
      <c r="P64" s="287"/>
      <c r="Q64" s="287"/>
      <c r="R64" s="287"/>
      <c r="S64" s="287"/>
      <c r="T64" s="287"/>
      <c r="U64" s="287"/>
      <c r="V64" s="287"/>
      <c r="W64" s="290"/>
    </row>
    <row r="65" spans="2:23" ht="15" thickBot="1">
      <c r="B65" s="452" t="s">
        <v>513</v>
      </c>
      <c r="C65" s="453"/>
      <c r="D65" s="453"/>
      <c r="E65" s="453"/>
      <c r="F65" s="453"/>
      <c r="G65" s="453"/>
      <c r="H65" s="453"/>
      <c r="I65" s="453"/>
      <c r="J65" s="453"/>
      <c r="K65" s="453"/>
      <c r="L65" s="453"/>
      <c r="M65" s="453"/>
      <c r="N65" s="453"/>
      <c r="O65" s="453"/>
      <c r="P65" s="453"/>
      <c r="Q65" s="453"/>
      <c r="R65" s="453"/>
      <c r="S65" s="453"/>
      <c r="T65" s="453"/>
      <c r="U65" s="453"/>
      <c r="V65" s="453"/>
      <c r="W65" s="454"/>
    </row>
    <row r="66" spans="2:23" ht="15" thickBot="1">
      <c r="B66" s="457" t="s">
        <v>514</v>
      </c>
      <c r="C66" s="456"/>
      <c r="D66" s="138" t="s">
        <v>515</v>
      </c>
      <c r="G66" s="400" t="e">
        <f>((0.29*'数量（ルート1）'!K33)+(0.365*'数量（ルート1）'!K38)+(3.19*'数量（ルート1）'!K38))/'数量（ルート1）'!K38</f>
        <v>#DIV/0!</v>
      </c>
      <c r="H66" t="s">
        <v>516</v>
      </c>
      <c r="I66" s="285" t="s">
        <v>517</v>
      </c>
      <c r="W66" s="280"/>
    </row>
    <row r="67" spans="2:23" ht="15" thickBot="1">
      <c r="B67" s="457"/>
      <c r="C67" s="456"/>
      <c r="D67" s="138" t="s">
        <v>518</v>
      </c>
      <c r="G67" s="274">
        <v>-5.53</v>
      </c>
      <c r="H67" t="s">
        <v>516</v>
      </c>
      <c r="I67" s="285" t="s">
        <v>519</v>
      </c>
      <c r="W67" s="280"/>
    </row>
    <row r="68" spans="2:23" ht="15" thickBot="1">
      <c r="B68" s="398"/>
      <c r="C68" s="399"/>
      <c r="D68" s="138" t="s">
        <v>520</v>
      </c>
      <c r="G68" s="400" t="e">
        <f>((0.29*'数量（ルート1）'!N33)+(0.365*'数量（ルート1）'!N38)+(3.19*'数量（ルート1）'!N38))/'数量（ルート1）'!N38</f>
        <v>#DIV/0!</v>
      </c>
      <c r="H68" t="s">
        <v>516</v>
      </c>
      <c r="I68" s="285" t="s">
        <v>521</v>
      </c>
      <c r="W68" s="280"/>
    </row>
    <row r="69" spans="2:23" ht="15" thickBot="1">
      <c r="B69" s="398"/>
      <c r="C69" s="399"/>
      <c r="D69" s="138" t="s">
        <v>522</v>
      </c>
      <c r="G69" s="274">
        <v>-5.53</v>
      </c>
      <c r="H69" t="s">
        <v>516</v>
      </c>
      <c r="I69" s="285" t="s">
        <v>523</v>
      </c>
      <c r="W69" s="280"/>
    </row>
    <row r="70" spans="2:23" ht="15" thickBot="1">
      <c r="B70" s="299"/>
      <c r="D70" s="138"/>
      <c r="I70" s="285"/>
      <c r="W70" s="280"/>
    </row>
    <row r="71" spans="2:23" ht="15" thickBot="1">
      <c r="B71" s="455" t="s">
        <v>524</v>
      </c>
      <c r="C71" s="456"/>
      <c r="D71" s="138" t="s">
        <v>515</v>
      </c>
      <c r="G71" s="274" t="e">
        <f>(2.71*'数量（ルート1）'!K33)/'数量（ルート1）'!K38</f>
        <v>#DIV/0!</v>
      </c>
      <c r="H71" t="s">
        <v>516</v>
      </c>
      <c r="I71" s="285" t="s">
        <v>517</v>
      </c>
      <c r="W71" s="280"/>
    </row>
    <row r="72" spans="2:23" ht="15" thickBot="1">
      <c r="B72" s="457"/>
      <c r="C72" s="456"/>
      <c r="D72" s="138" t="s">
        <v>518</v>
      </c>
      <c r="G72" s="274">
        <v>-1.37</v>
      </c>
      <c r="H72" t="s">
        <v>516</v>
      </c>
      <c r="I72" s="285" t="s">
        <v>519</v>
      </c>
      <c r="W72" s="280"/>
    </row>
    <row r="73" spans="2:23" ht="15" thickBot="1">
      <c r="B73" s="398"/>
      <c r="C73" s="399"/>
      <c r="D73" s="138" t="s">
        <v>520</v>
      </c>
      <c r="G73" s="400" t="e">
        <f>(2.71*'数量（ルート1）'!N33)/'数量（ルート1）'!N38</f>
        <v>#DIV/0!</v>
      </c>
      <c r="H73" t="s">
        <v>516</v>
      </c>
      <c r="I73" s="285" t="s">
        <v>521</v>
      </c>
      <c r="W73" s="280"/>
    </row>
    <row r="74" spans="2:23" ht="15" thickBot="1">
      <c r="B74" s="398"/>
      <c r="C74" s="399"/>
      <c r="D74" s="138" t="s">
        <v>522</v>
      </c>
      <c r="G74" s="274">
        <v>-1.37</v>
      </c>
      <c r="H74" t="s">
        <v>516</v>
      </c>
      <c r="I74" s="285" t="s">
        <v>523</v>
      </c>
      <c r="W74" s="280"/>
    </row>
    <row r="75" spans="2:23" ht="15" thickBot="1">
      <c r="B75" s="299"/>
      <c r="D75" s="138"/>
      <c r="I75" s="285"/>
      <c r="W75" s="280"/>
    </row>
    <row r="76" spans="2:23" ht="15" thickBot="1">
      <c r="B76" s="455" t="s">
        <v>525</v>
      </c>
      <c r="C76" s="456"/>
      <c r="D76" s="138" t="s">
        <v>515</v>
      </c>
      <c r="G76" s="274" t="e">
        <f>(4.91*'数量（ルート1）'!K33)/'数量（ルート1）'!K38</f>
        <v>#DIV/0!</v>
      </c>
      <c r="H76" t="s">
        <v>516</v>
      </c>
      <c r="I76" s="285" t="s">
        <v>517</v>
      </c>
      <c r="W76" s="280"/>
    </row>
    <row r="77" spans="2:23" ht="15" thickBot="1">
      <c r="B77" s="457"/>
      <c r="C77" s="456"/>
      <c r="D77" s="138" t="s">
        <v>518</v>
      </c>
      <c r="G77" s="274">
        <v>-4.3</v>
      </c>
      <c r="H77" t="s">
        <v>516</v>
      </c>
      <c r="I77" s="285" t="s">
        <v>519</v>
      </c>
      <c r="W77" s="280"/>
    </row>
    <row r="78" spans="2:23" ht="15" thickBot="1">
      <c r="B78" s="398"/>
      <c r="C78" s="399"/>
      <c r="D78" s="138" t="s">
        <v>520</v>
      </c>
      <c r="G78" s="400" t="e">
        <f>(4.91*'数量（ルート1）'!N33)/'数量（ルート1）'!N38</f>
        <v>#DIV/0!</v>
      </c>
      <c r="H78" t="s">
        <v>516</v>
      </c>
      <c r="I78" s="285" t="s">
        <v>521</v>
      </c>
      <c r="W78" s="280"/>
    </row>
    <row r="79" spans="2:23" ht="15" thickBot="1">
      <c r="B79" s="398"/>
      <c r="C79" s="399"/>
      <c r="D79" s="138" t="s">
        <v>522</v>
      </c>
      <c r="G79" s="274">
        <v>-4.3</v>
      </c>
      <c r="H79" t="s">
        <v>516</v>
      </c>
      <c r="I79" s="285" t="s">
        <v>523</v>
      </c>
      <c r="W79" s="280"/>
    </row>
    <row r="80" spans="2:23" ht="15" thickBot="1">
      <c r="B80" s="299"/>
      <c r="W80" s="280"/>
    </row>
    <row r="81" spans="2:23" ht="15" thickBot="1">
      <c r="B81" s="455" t="s">
        <v>526</v>
      </c>
      <c r="C81" s="456"/>
      <c r="D81" s="138" t="s">
        <v>515</v>
      </c>
      <c r="G81" s="274" t="e">
        <f>(119.91*'数量（ルート1）'!K33)/'数量（ルート1）'!K38</f>
        <v>#DIV/0!</v>
      </c>
      <c r="H81" t="s">
        <v>516</v>
      </c>
      <c r="I81" s="285" t="s">
        <v>517</v>
      </c>
      <c r="W81" s="280"/>
    </row>
    <row r="82" spans="2:23" ht="15" thickBot="1">
      <c r="B82" s="457"/>
      <c r="C82" s="456"/>
      <c r="D82" s="138" t="s">
        <v>518</v>
      </c>
      <c r="G82" s="274">
        <v>-120.22</v>
      </c>
      <c r="H82" t="s">
        <v>516</v>
      </c>
      <c r="I82" s="285" t="s">
        <v>519</v>
      </c>
      <c r="W82" s="280"/>
    </row>
    <row r="83" spans="2:23" ht="15" thickBot="1">
      <c r="B83" s="398"/>
      <c r="C83" s="399"/>
      <c r="D83" s="138" t="s">
        <v>520</v>
      </c>
      <c r="G83" s="400" t="e">
        <f>(119.91*'数量（ルート1）'!N33)/'数量（ルート1）'!N38</f>
        <v>#DIV/0!</v>
      </c>
      <c r="H83" t="s">
        <v>516</v>
      </c>
      <c r="I83" s="285" t="s">
        <v>521</v>
      </c>
      <c r="W83" s="280"/>
    </row>
    <row r="84" spans="2:23" ht="15" thickBot="1">
      <c r="B84" s="398"/>
      <c r="C84" s="399"/>
      <c r="D84" s="138" t="s">
        <v>522</v>
      </c>
      <c r="G84" s="274">
        <v>-120.22</v>
      </c>
      <c r="H84" t="s">
        <v>516</v>
      </c>
      <c r="I84" s="285" t="s">
        <v>523</v>
      </c>
      <c r="W84" s="280"/>
    </row>
    <row r="85" spans="2:23" ht="15" thickBot="1">
      <c r="B85" s="299"/>
      <c r="D85" s="138"/>
      <c r="I85" s="285"/>
      <c r="W85" s="280"/>
    </row>
    <row r="86" spans="2:23" ht="15" thickBot="1">
      <c r="B86" s="455" t="s">
        <v>527</v>
      </c>
      <c r="C86" s="456"/>
      <c r="D86" s="138" t="s">
        <v>515</v>
      </c>
      <c r="G86" s="274" t="e">
        <f>(3.53*'数量（ルート1）'!K33)/'数量（ルート1）'!K38</f>
        <v>#DIV/0!</v>
      </c>
      <c r="H86" t="s">
        <v>516</v>
      </c>
      <c r="I86" s="285" t="s">
        <v>517</v>
      </c>
      <c r="W86" s="280"/>
    </row>
    <row r="87" spans="2:23" ht="15" thickBot="1">
      <c r="B87" s="457"/>
      <c r="C87" s="456"/>
      <c r="D87" s="138" t="s">
        <v>518</v>
      </c>
      <c r="F87" s="280"/>
      <c r="G87" s="274">
        <v>-3.55</v>
      </c>
      <c r="H87" s="299" t="s">
        <v>516</v>
      </c>
      <c r="I87" s="285" t="s">
        <v>519</v>
      </c>
      <c r="W87" s="280"/>
    </row>
    <row r="88" spans="2:23" ht="15" thickBot="1">
      <c r="B88" s="455"/>
      <c r="C88" s="456"/>
      <c r="D88" s="138" t="s">
        <v>520</v>
      </c>
      <c r="G88" s="274" t="e">
        <f>(3.53*'数量（ルート1）'!N33)/'数量（ルート1）'!N38</f>
        <v>#DIV/0!</v>
      </c>
      <c r="H88" t="s">
        <v>516</v>
      </c>
      <c r="I88" s="285" t="s">
        <v>521</v>
      </c>
      <c r="W88" s="280"/>
    </row>
    <row r="89" spans="2:23" ht="15" thickBot="1">
      <c r="B89" s="458"/>
      <c r="C89" s="459"/>
      <c r="D89" s="138" t="s">
        <v>522</v>
      </c>
      <c r="E89" s="287"/>
      <c r="F89" s="287"/>
      <c r="G89" s="274">
        <v>-3.55</v>
      </c>
      <c r="H89" s="287" t="s">
        <v>516</v>
      </c>
      <c r="I89" s="285" t="s">
        <v>523</v>
      </c>
      <c r="J89" s="287"/>
      <c r="K89" s="287"/>
      <c r="L89" s="287"/>
      <c r="M89" s="287"/>
      <c r="N89" s="287"/>
      <c r="O89" s="287"/>
      <c r="P89" s="287"/>
      <c r="Q89" s="287"/>
      <c r="R89" s="287"/>
      <c r="S89" s="287"/>
      <c r="T89" s="287"/>
      <c r="U89" s="287"/>
      <c r="V89" s="287"/>
      <c r="W89" s="290"/>
    </row>
    <row r="90" spans="2:23">
      <c r="B90" s="452" t="s">
        <v>528</v>
      </c>
      <c r="C90" s="453"/>
      <c r="D90" s="453"/>
      <c r="E90" s="453"/>
      <c r="F90" s="453"/>
      <c r="G90" s="453"/>
      <c r="H90" s="453"/>
      <c r="I90" s="453"/>
      <c r="J90" s="453"/>
      <c r="K90" s="453"/>
      <c r="L90" s="453"/>
      <c r="M90" s="453"/>
      <c r="N90" s="453"/>
      <c r="O90" s="453"/>
      <c r="P90" s="453"/>
      <c r="Q90" s="453"/>
      <c r="R90" s="453"/>
      <c r="S90" s="453"/>
      <c r="T90" s="453"/>
      <c r="U90" s="453"/>
      <c r="V90" s="453"/>
      <c r="W90" s="454"/>
    </row>
    <row r="91" spans="2:23">
      <c r="B91" s="281" t="s">
        <v>408</v>
      </c>
      <c r="C91" t="s">
        <v>529</v>
      </c>
      <c r="G91" s="282">
        <f>'数量（ルート1）'!K34</f>
        <v>0</v>
      </c>
      <c r="H91" t="s">
        <v>530</v>
      </c>
      <c r="I91" s="138" t="s">
        <v>531</v>
      </c>
      <c r="W91" s="280"/>
    </row>
    <row r="92" spans="2:23">
      <c r="B92" s="281" t="s">
        <v>434</v>
      </c>
      <c r="C92" t="s">
        <v>532</v>
      </c>
      <c r="G92" s="282">
        <f>'パラメータ（ルート1）'!H31</f>
        <v>0</v>
      </c>
      <c r="H92" t="s">
        <v>533</v>
      </c>
      <c r="I92" s="138" t="s">
        <v>534</v>
      </c>
      <c r="W92" s="280"/>
    </row>
    <row r="93" spans="2:23">
      <c r="B93" s="281" t="s">
        <v>437</v>
      </c>
      <c r="C93" t="s">
        <v>535</v>
      </c>
      <c r="G93" s="282">
        <f>'パラメータ（ルート1）'!H32</f>
        <v>0</v>
      </c>
      <c r="H93" t="s">
        <v>536</v>
      </c>
      <c r="I93" s="138" t="s">
        <v>537</v>
      </c>
      <c r="W93" s="280"/>
    </row>
    <row r="94" spans="2:23">
      <c r="B94" s="281" t="s">
        <v>452</v>
      </c>
      <c r="C94" t="s">
        <v>538</v>
      </c>
      <c r="G94" s="293">
        <f>'パラメータ（ルート1）'!H33</f>
        <v>4.1500000000000004</v>
      </c>
      <c r="H94" t="s">
        <v>322</v>
      </c>
      <c r="I94" s="138" t="s">
        <v>539</v>
      </c>
      <c r="W94" s="280"/>
    </row>
    <row r="95" spans="2:23">
      <c r="B95" s="281" t="s">
        <v>456</v>
      </c>
      <c r="C95" t="s">
        <v>540</v>
      </c>
      <c r="G95" s="388"/>
      <c r="H95" t="s">
        <v>541</v>
      </c>
      <c r="I95" s="301" t="s">
        <v>542</v>
      </c>
      <c r="W95" s="280"/>
    </row>
    <row r="96" spans="2:23">
      <c r="B96" s="281" t="s">
        <v>460</v>
      </c>
      <c r="C96" s="302" t="s">
        <v>543</v>
      </c>
      <c r="D96" s="303"/>
      <c r="E96" s="303"/>
      <c r="F96" s="303"/>
      <c r="G96" s="389" t="e">
        <f>((G91/G92)*G93/G94)*G95</f>
        <v>#DIV/0!</v>
      </c>
      <c r="H96" s="303" t="s">
        <v>544</v>
      </c>
      <c r="W96" s="280"/>
    </row>
    <row r="97" spans="2:23">
      <c r="B97" s="281" t="s">
        <v>462</v>
      </c>
      <c r="C97" t="s">
        <v>545</v>
      </c>
      <c r="G97">
        <v>1</v>
      </c>
      <c r="H97" t="s">
        <v>546</v>
      </c>
      <c r="I97" s="301" t="s">
        <v>542</v>
      </c>
      <c r="W97" s="280"/>
    </row>
    <row r="98" spans="2:23">
      <c r="B98" s="281" t="s">
        <v>465</v>
      </c>
      <c r="C98" t="s">
        <v>547</v>
      </c>
      <c r="G98" s="390" t="e">
        <f>G91/G92</f>
        <v>#DIV/0!</v>
      </c>
      <c r="H98" t="s">
        <v>548</v>
      </c>
      <c r="I98" s="391" t="s">
        <v>549</v>
      </c>
      <c r="W98" s="280"/>
    </row>
    <row r="99" spans="2:23">
      <c r="B99" s="281" t="s">
        <v>468</v>
      </c>
      <c r="C99" t="s">
        <v>550</v>
      </c>
      <c r="G99" s="305"/>
      <c r="H99" t="s">
        <v>551</v>
      </c>
      <c r="I99" s="301" t="s">
        <v>542</v>
      </c>
      <c r="W99" s="280"/>
    </row>
    <row r="100" spans="2:23">
      <c r="B100" s="281" t="s">
        <v>471</v>
      </c>
      <c r="C100" t="s">
        <v>552</v>
      </c>
      <c r="G100" s="390">
        <v>12606</v>
      </c>
      <c r="H100" t="s">
        <v>553</v>
      </c>
      <c r="I100" s="307" t="s">
        <v>554</v>
      </c>
      <c r="W100" s="280"/>
    </row>
    <row r="101" spans="2:23" ht="15" thickBot="1">
      <c r="B101" s="281" t="s">
        <v>473</v>
      </c>
      <c r="C101" s="303" t="s">
        <v>555</v>
      </c>
      <c r="D101" s="303"/>
      <c r="E101" s="303"/>
      <c r="F101" s="303"/>
      <c r="G101" s="389" t="e">
        <f>G97*G98*G99*G100</f>
        <v>#DIV/0!</v>
      </c>
      <c r="H101" s="303" t="s">
        <v>544</v>
      </c>
      <c r="W101" s="280"/>
    </row>
    <row r="102" spans="2:23" ht="15" thickBot="1">
      <c r="B102" s="291" t="s">
        <v>476</v>
      </c>
      <c r="C102" s="292" t="s">
        <v>90</v>
      </c>
      <c r="D102" s="287"/>
      <c r="E102" s="287"/>
      <c r="F102" s="287"/>
      <c r="G102" s="275" t="e">
        <f>G96+G101</f>
        <v>#DIV/0!</v>
      </c>
      <c r="H102" s="306" t="s">
        <v>556</v>
      </c>
      <c r="I102" s="289" t="s">
        <v>557</v>
      </c>
      <c r="J102" s="287"/>
      <c r="K102" s="287"/>
      <c r="L102" s="287"/>
      <c r="M102" s="287"/>
      <c r="N102" s="287"/>
      <c r="O102" s="287"/>
      <c r="P102" s="287"/>
      <c r="Q102" s="287"/>
      <c r="R102" s="287"/>
      <c r="S102" s="287"/>
      <c r="T102" s="287"/>
      <c r="U102" s="287"/>
      <c r="V102" s="287"/>
      <c r="W102" s="290"/>
    </row>
    <row r="103" spans="2:23">
      <c r="B103" s="452" t="s">
        <v>558</v>
      </c>
      <c r="C103" s="453"/>
      <c r="D103" s="453"/>
      <c r="E103" s="453"/>
      <c r="F103" s="453"/>
      <c r="G103" s="453"/>
      <c r="H103" s="453"/>
      <c r="I103" s="453"/>
      <c r="J103" s="453"/>
      <c r="K103" s="453"/>
      <c r="L103" s="453"/>
      <c r="M103" s="453"/>
      <c r="N103" s="453"/>
      <c r="O103" s="453"/>
      <c r="P103" s="453"/>
      <c r="Q103" s="453"/>
      <c r="R103" s="453"/>
      <c r="S103" s="453"/>
      <c r="T103" s="453"/>
      <c r="U103" s="453"/>
      <c r="V103" s="453"/>
      <c r="W103" s="454"/>
    </row>
    <row r="104" spans="2:23">
      <c r="B104" s="281" t="s">
        <v>408</v>
      </c>
      <c r="C104" t="s">
        <v>529</v>
      </c>
      <c r="G104" s="282" t="e">
        <f>'数量（ルート1）'!N34</f>
        <v>#DIV/0!</v>
      </c>
      <c r="H104" t="s">
        <v>530</v>
      </c>
      <c r="I104" s="138" t="s">
        <v>559</v>
      </c>
      <c r="W104" s="280"/>
    </row>
    <row r="105" spans="2:23">
      <c r="B105" s="281" t="s">
        <v>434</v>
      </c>
      <c r="C105" t="s">
        <v>532</v>
      </c>
      <c r="G105" s="282">
        <f>'パラメータ（ルート1）'!H31</f>
        <v>0</v>
      </c>
      <c r="H105" t="s">
        <v>533</v>
      </c>
      <c r="I105" s="138" t="s">
        <v>534</v>
      </c>
      <c r="W105" s="280"/>
    </row>
    <row r="106" spans="2:23">
      <c r="B106" s="281" t="s">
        <v>437</v>
      </c>
      <c r="C106" t="s">
        <v>535</v>
      </c>
      <c r="G106" s="282">
        <f>'パラメータ（ルート1）'!H32</f>
        <v>0</v>
      </c>
      <c r="H106" t="s">
        <v>536</v>
      </c>
      <c r="I106" s="138" t="s">
        <v>537</v>
      </c>
      <c r="W106" s="280"/>
    </row>
    <row r="107" spans="2:23">
      <c r="B107" s="281" t="s">
        <v>452</v>
      </c>
      <c r="C107" t="s">
        <v>538</v>
      </c>
      <c r="G107" s="293">
        <f>'パラメータ（ルート1）'!H33</f>
        <v>4.1500000000000004</v>
      </c>
      <c r="H107" t="s">
        <v>322</v>
      </c>
      <c r="I107" s="138" t="s">
        <v>539</v>
      </c>
      <c r="W107" s="280"/>
    </row>
    <row r="108" spans="2:23">
      <c r="B108" s="281" t="s">
        <v>456</v>
      </c>
      <c r="C108" t="s">
        <v>540</v>
      </c>
      <c r="G108" s="388"/>
      <c r="H108" t="s">
        <v>541</v>
      </c>
      <c r="I108" s="301" t="s">
        <v>542</v>
      </c>
      <c r="W108" s="280"/>
    </row>
    <row r="109" spans="2:23">
      <c r="B109" s="281" t="s">
        <v>460</v>
      </c>
      <c r="C109" s="302" t="s">
        <v>543</v>
      </c>
      <c r="D109" s="303"/>
      <c r="E109" s="303"/>
      <c r="F109" s="303"/>
      <c r="G109" s="389" t="e">
        <f>((G104/G105)*G106/G107)*G108</f>
        <v>#DIV/0!</v>
      </c>
      <c r="H109" s="303" t="s">
        <v>544</v>
      </c>
      <c r="W109" s="280"/>
    </row>
    <row r="110" spans="2:23">
      <c r="B110" s="281" t="s">
        <v>462</v>
      </c>
      <c r="C110" t="s">
        <v>545</v>
      </c>
      <c r="G110">
        <v>1</v>
      </c>
      <c r="H110" t="s">
        <v>546</v>
      </c>
      <c r="I110" s="301" t="s">
        <v>542</v>
      </c>
      <c r="W110" s="280"/>
    </row>
    <row r="111" spans="2:23">
      <c r="B111" s="281" t="s">
        <v>465</v>
      </c>
      <c r="C111" t="s">
        <v>547</v>
      </c>
      <c r="G111" s="390" t="e">
        <f>G104/G105</f>
        <v>#DIV/0!</v>
      </c>
      <c r="H111" t="s">
        <v>548</v>
      </c>
      <c r="I111" s="391" t="s">
        <v>549</v>
      </c>
      <c r="W111" s="280"/>
    </row>
    <row r="112" spans="2:23">
      <c r="B112" s="281" t="s">
        <v>468</v>
      </c>
      <c r="C112" t="s">
        <v>550</v>
      </c>
      <c r="G112" s="305"/>
      <c r="H112" t="s">
        <v>551</v>
      </c>
      <c r="I112" s="301" t="s">
        <v>542</v>
      </c>
      <c r="W112" s="280"/>
    </row>
    <row r="113" spans="2:23">
      <c r="B113" s="281" t="s">
        <v>471</v>
      </c>
      <c r="C113" t="s">
        <v>552</v>
      </c>
      <c r="G113" s="390">
        <v>12606</v>
      </c>
      <c r="H113" t="s">
        <v>553</v>
      </c>
      <c r="I113" s="307" t="s">
        <v>560</v>
      </c>
      <c r="W113" s="280"/>
    </row>
    <row r="114" spans="2:23" ht="15" thickBot="1">
      <c r="B114" s="281" t="s">
        <v>473</v>
      </c>
      <c r="C114" s="303" t="s">
        <v>555</v>
      </c>
      <c r="D114" s="303"/>
      <c r="E114" s="303"/>
      <c r="F114" s="303"/>
      <c r="G114" s="389" t="e">
        <f>G110*G111*G112*G113</f>
        <v>#DIV/0!</v>
      </c>
      <c r="H114" s="303" t="s">
        <v>544</v>
      </c>
      <c r="W114" s="280"/>
    </row>
    <row r="115" spans="2:23" ht="15" thickBot="1">
      <c r="B115" s="291" t="s">
        <v>476</v>
      </c>
      <c r="C115" s="292" t="s">
        <v>90</v>
      </c>
      <c r="D115" s="287"/>
      <c r="E115" s="287"/>
      <c r="F115" s="287"/>
      <c r="G115" s="275" t="e">
        <f>G109+G114</f>
        <v>#DIV/0!</v>
      </c>
      <c r="H115" s="306" t="s">
        <v>556</v>
      </c>
      <c r="I115" s="289" t="s">
        <v>561</v>
      </c>
      <c r="J115" s="287"/>
      <c r="K115" s="287"/>
      <c r="L115" s="287"/>
      <c r="M115" s="287"/>
      <c r="N115" s="287"/>
      <c r="O115" s="287"/>
      <c r="P115" s="287"/>
      <c r="Q115" s="287"/>
      <c r="R115" s="287"/>
      <c r="S115" s="287"/>
      <c r="T115" s="287"/>
      <c r="U115" s="287"/>
      <c r="V115" s="287"/>
      <c r="W115" s="290"/>
    </row>
    <row r="116" spans="2:23" ht="15" thickBot="1">
      <c r="B116" s="452" t="s">
        <v>562</v>
      </c>
      <c r="C116" s="453"/>
      <c r="D116" s="453"/>
      <c r="E116" s="453"/>
      <c r="F116" s="453"/>
      <c r="G116" s="453"/>
      <c r="H116" s="453"/>
      <c r="I116" s="453"/>
      <c r="J116" s="453"/>
      <c r="K116" s="453"/>
      <c r="L116" s="453"/>
      <c r="M116" s="453"/>
      <c r="N116" s="453"/>
      <c r="O116" s="453"/>
      <c r="P116" s="453"/>
      <c r="Q116" s="453"/>
      <c r="R116" s="453"/>
      <c r="S116" s="453"/>
      <c r="T116" s="453"/>
      <c r="U116" s="453"/>
      <c r="V116" s="453"/>
      <c r="W116" s="454"/>
    </row>
    <row r="117" spans="2:23" ht="15" thickBot="1">
      <c r="B117" s="281" t="s">
        <v>408</v>
      </c>
      <c r="C117" s="138" t="s">
        <v>514</v>
      </c>
      <c r="G117" s="392">
        <v>67779</v>
      </c>
      <c r="H117" s="138" t="s">
        <v>563</v>
      </c>
      <c r="I117" s="393" t="s">
        <v>564</v>
      </c>
      <c r="W117" s="280"/>
    </row>
    <row r="118" spans="2:23" ht="15" thickBot="1">
      <c r="B118" s="281" t="s">
        <v>434</v>
      </c>
      <c r="C118" s="138" t="s">
        <v>565</v>
      </c>
      <c r="G118" s="392">
        <v>58205</v>
      </c>
      <c r="H118" s="138" t="s">
        <v>563</v>
      </c>
      <c r="I118" s="393" t="s">
        <v>566</v>
      </c>
      <c r="W118" s="280"/>
    </row>
    <row r="119" spans="2:23" ht="15" thickBot="1">
      <c r="B119" s="281" t="s">
        <v>437</v>
      </c>
      <c r="C119" s="138" t="s">
        <v>567</v>
      </c>
      <c r="G119" s="392">
        <v>54779</v>
      </c>
      <c r="H119" s="138" t="s">
        <v>563</v>
      </c>
      <c r="I119" s="393" t="s">
        <v>568</v>
      </c>
      <c r="W119" s="280"/>
    </row>
    <row r="120" spans="2:23" ht="15" thickBot="1">
      <c r="B120" s="291" t="s">
        <v>452</v>
      </c>
      <c r="C120" s="292" t="s">
        <v>569</v>
      </c>
      <c r="D120" s="287"/>
      <c r="E120" s="287"/>
      <c r="F120" s="287"/>
      <c r="G120" s="392">
        <v>62943</v>
      </c>
      <c r="H120" s="292" t="s">
        <v>563</v>
      </c>
      <c r="I120" s="394" t="s">
        <v>570</v>
      </c>
      <c r="J120" s="287"/>
      <c r="K120" s="287"/>
      <c r="L120" s="287"/>
      <c r="M120" s="287"/>
      <c r="N120" s="287"/>
      <c r="O120" s="287"/>
      <c r="P120" s="287"/>
      <c r="Q120" s="287"/>
      <c r="R120" s="287"/>
      <c r="S120" s="287"/>
      <c r="T120" s="287"/>
      <c r="U120" s="287"/>
      <c r="V120" s="287"/>
      <c r="W120" s="290"/>
    </row>
    <row r="121" spans="2:23" ht="15" thickBot="1">
      <c r="B121" s="452" t="s">
        <v>571</v>
      </c>
      <c r="C121" s="453"/>
      <c r="D121" s="453"/>
      <c r="E121" s="453"/>
      <c r="F121" s="453"/>
      <c r="G121" s="453"/>
      <c r="H121" s="453"/>
      <c r="I121" s="453"/>
      <c r="J121" s="453"/>
      <c r="K121" s="453"/>
      <c r="L121" s="453"/>
      <c r="M121" s="453"/>
      <c r="N121" s="453"/>
      <c r="O121" s="453"/>
      <c r="P121" s="453"/>
      <c r="Q121" s="453"/>
      <c r="R121" s="453"/>
      <c r="S121" s="453"/>
      <c r="T121" s="453"/>
      <c r="U121" s="453"/>
      <c r="V121" s="453"/>
      <c r="W121" s="454"/>
    </row>
    <row r="122" spans="2:23" ht="15" thickBot="1">
      <c r="B122" s="281" t="s">
        <v>408</v>
      </c>
      <c r="C122" s="138" t="s">
        <v>514</v>
      </c>
      <c r="G122" s="392">
        <v>67779</v>
      </c>
      <c r="H122" s="138" t="s">
        <v>563</v>
      </c>
      <c r="I122" s="393" t="s">
        <v>572</v>
      </c>
      <c r="W122" s="280"/>
    </row>
    <row r="123" spans="2:23" ht="15" thickBot="1">
      <c r="B123" s="281" t="s">
        <v>434</v>
      </c>
      <c r="C123" s="138" t="s">
        <v>565</v>
      </c>
      <c r="G123" s="392">
        <v>58205</v>
      </c>
      <c r="H123" s="138" t="s">
        <v>563</v>
      </c>
      <c r="I123" s="393" t="s">
        <v>573</v>
      </c>
      <c r="W123" s="280"/>
    </row>
    <row r="124" spans="2:23" ht="15" thickBot="1">
      <c r="B124" s="281" t="s">
        <v>437</v>
      </c>
      <c r="C124" s="138" t="s">
        <v>567</v>
      </c>
      <c r="G124" s="392">
        <v>54779</v>
      </c>
      <c r="H124" s="138" t="s">
        <v>563</v>
      </c>
      <c r="I124" s="393" t="s">
        <v>574</v>
      </c>
      <c r="W124" s="280"/>
    </row>
    <row r="125" spans="2:23" ht="15" thickBot="1">
      <c r="B125" s="291" t="s">
        <v>452</v>
      </c>
      <c r="C125" s="292" t="s">
        <v>569</v>
      </c>
      <c r="D125" s="287"/>
      <c r="E125" s="287"/>
      <c r="F125" s="287"/>
      <c r="G125" s="392">
        <v>62943</v>
      </c>
      <c r="H125" s="292" t="s">
        <v>563</v>
      </c>
      <c r="I125" s="394" t="s">
        <v>575</v>
      </c>
      <c r="J125" s="287"/>
      <c r="K125" s="287"/>
      <c r="L125" s="287"/>
      <c r="M125" s="287"/>
      <c r="N125" s="287"/>
      <c r="O125" s="287"/>
      <c r="P125" s="287"/>
      <c r="Q125" s="287"/>
      <c r="R125" s="287"/>
      <c r="S125" s="287"/>
      <c r="T125" s="287"/>
      <c r="U125" s="287"/>
      <c r="V125" s="287"/>
      <c r="W125" s="290"/>
    </row>
    <row r="126" spans="2:23" ht="15" thickBot="1">
      <c r="B126" s="452" t="s">
        <v>576</v>
      </c>
      <c r="C126" s="453"/>
      <c r="D126" s="453"/>
      <c r="E126" s="453"/>
      <c r="F126" s="453"/>
      <c r="G126" s="453"/>
      <c r="H126" s="453"/>
      <c r="I126" s="453"/>
      <c r="J126" s="453"/>
      <c r="K126" s="453"/>
      <c r="L126" s="453"/>
      <c r="M126" s="453"/>
      <c r="N126" s="453"/>
      <c r="O126" s="453"/>
      <c r="P126" s="453"/>
      <c r="Q126" s="453"/>
      <c r="R126" s="453"/>
      <c r="S126" s="453"/>
      <c r="T126" s="453"/>
      <c r="U126" s="453"/>
      <c r="V126" s="453"/>
      <c r="W126" s="454"/>
    </row>
    <row r="127" spans="2:23" ht="15" thickBot="1">
      <c r="B127" s="281" t="s">
        <v>408</v>
      </c>
      <c r="C127" s="138" t="s">
        <v>514</v>
      </c>
      <c r="G127" s="392">
        <v>67779</v>
      </c>
      <c r="H127" s="138" t="s">
        <v>563</v>
      </c>
      <c r="I127" s="393" t="s">
        <v>577</v>
      </c>
      <c r="W127" s="280"/>
    </row>
    <row r="128" spans="2:23" ht="15" thickBot="1">
      <c r="B128" s="281" t="s">
        <v>434</v>
      </c>
      <c r="C128" s="138" t="s">
        <v>565</v>
      </c>
      <c r="G128" s="392">
        <v>58205</v>
      </c>
      <c r="H128" s="138" t="s">
        <v>563</v>
      </c>
      <c r="I128" s="393" t="s">
        <v>578</v>
      </c>
      <c r="W128" s="280"/>
    </row>
    <row r="129" spans="2:23" ht="15" thickBot="1">
      <c r="B129" s="281" t="s">
        <v>437</v>
      </c>
      <c r="C129" s="138" t="s">
        <v>567</v>
      </c>
      <c r="G129" s="392">
        <v>54779</v>
      </c>
      <c r="H129" s="138" t="s">
        <v>563</v>
      </c>
      <c r="I129" s="393" t="s">
        <v>579</v>
      </c>
      <c r="W129" s="280"/>
    </row>
    <row r="130" spans="2:23" ht="15" thickBot="1">
      <c r="B130" s="291" t="s">
        <v>452</v>
      </c>
      <c r="C130" s="292" t="s">
        <v>569</v>
      </c>
      <c r="D130" s="287"/>
      <c r="E130" s="287"/>
      <c r="F130" s="287"/>
      <c r="G130" s="392">
        <v>62943</v>
      </c>
      <c r="H130" s="292" t="s">
        <v>563</v>
      </c>
      <c r="I130" s="394" t="s">
        <v>580</v>
      </c>
      <c r="J130" s="287"/>
      <c r="K130" s="287"/>
      <c r="L130" s="287"/>
      <c r="M130" s="287"/>
      <c r="N130" s="287"/>
      <c r="O130" s="287"/>
      <c r="P130" s="287"/>
      <c r="Q130" s="287"/>
      <c r="R130" s="287"/>
      <c r="S130" s="287"/>
      <c r="T130" s="287"/>
      <c r="U130" s="287"/>
      <c r="V130" s="287"/>
      <c r="W130" s="290"/>
    </row>
    <row r="131" spans="2:23">
      <c r="B131" s="452" t="s">
        <v>581</v>
      </c>
      <c r="C131" s="453"/>
      <c r="D131" s="453"/>
      <c r="E131" s="453"/>
      <c r="F131" s="453"/>
      <c r="G131" s="453"/>
      <c r="H131" s="453"/>
      <c r="I131" s="453"/>
      <c r="J131" s="453"/>
      <c r="K131" s="453"/>
      <c r="L131" s="453"/>
      <c r="M131" s="453"/>
      <c r="N131" s="453"/>
      <c r="O131" s="453"/>
      <c r="P131" s="453"/>
      <c r="Q131" s="453"/>
      <c r="R131" s="453"/>
      <c r="S131" s="453"/>
      <c r="T131" s="453"/>
      <c r="U131" s="453"/>
      <c r="V131" s="453"/>
      <c r="W131" s="454"/>
    </row>
    <row r="132" spans="2:23">
      <c r="B132" s="281" t="s">
        <v>408</v>
      </c>
      <c r="C132" t="s">
        <v>529</v>
      </c>
      <c r="G132" s="282">
        <f>'数量（ルート1）'!J43</f>
        <v>0</v>
      </c>
      <c r="H132" t="s">
        <v>530</v>
      </c>
      <c r="I132" s="138" t="s">
        <v>582</v>
      </c>
      <c r="W132" s="280"/>
    </row>
    <row r="133" spans="2:23">
      <c r="B133" s="281" t="s">
        <v>434</v>
      </c>
      <c r="C133" t="s">
        <v>532</v>
      </c>
      <c r="G133" s="282">
        <f>'パラメータ（ルート1）'!H50</f>
        <v>0</v>
      </c>
      <c r="H133" t="s">
        <v>533</v>
      </c>
      <c r="I133" s="138" t="s">
        <v>583</v>
      </c>
      <c r="W133" s="280"/>
    </row>
    <row r="134" spans="2:23">
      <c r="B134" s="281" t="s">
        <v>437</v>
      </c>
      <c r="C134" t="s">
        <v>535</v>
      </c>
      <c r="G134" s="282">
        <f>'パラメータ（ルート1）'!H51</f>
        <v>0</v>
      </c>
      <c r="H134" t="s">
        <v>536</v>
      </c>
      <c r="I134" s="138" t="s">
        <v>584</v>
      </c>
      <c r="W134" s="280"/>
    </row>
    <row r="135" spans="2:23">
      <c r="B135" s="281" t="s">
        <v>452</v>
      </c>
      <c r="C135" t="s">
        <v>538</v>
      </c>
      <c r="G135" s="293">
        <f>'パラメータ（ルート1）'!H56</f>
        <v>4.1500000000000004</v>
      </c>
      <c r="H135" t="s">
        <v>322</v>
      </c>
      <c r="I135" s="138" t="s">
        <v>585</v>
      </c>
      <c r="W135" s="280"/>
    </row>
    <row r="136" spans="2:23">
      <c r="B136" s="281" t="s">
        <v>456</v>
      </c>
      <c r="C136" t="s">
        <v>540</v>
      </c>
      <c r="G136" s="388"/>
      <c r="H136" t="s">
        <v>541</v>
      </c>
      <c r="I136" s="301" t="s">
        <v>542</v>
      </c>
      <c r="W136" s="280"/>
    </row>
    <row r="137" spans="2:23">
      <c r="B137" s="281" t="s">
        <v>460</v>
      </c>
      <c r="C137" s="302" t="s">
        <v>543</v>
      </c>
      <c r="D137" s="303"/>
      <c r="E137" s="303"/>
      <c r="F137" s="303"/>
      <c r="G137" s="389" t="e">
        <f>((G132/G133)*G134/G135)*G136</f>
        <v>#DIV/0!</v>
      </c>
      <c r="H137" s="303" t="s">
        <v>544</v>
      </c>
      <c r="W137" s="280"/>
    </row>
    <row r="138" spans="2:23">
      <c r="B138" s="281" t="s">
        <v>462</v>
      </c>
      <c r="C138" t="s">
        <v>545</v>
      </c>
      <c r="G138">
        <v>1</v>
      </c>
      <c r="H138" t="s">
        <v>546</v>
      </c>
      <c r="I138" s="301" t="s">
        <v>542</v>
      </c>
      <c r="W138" s="280"/>
    </row>
    <row r="139" spans="2:23">
      <c r="B139" s="281" t="s">
        <v>465</v>
      </c>
      <c r="C139" t="s">
        <v>547</v>
      </c>
      <c r="G139" s="390" t="e">
        <f>G132/G133</f>
        <v>#DIV/0!</v>
      </c>
      <c r="H139" t="s">
        <v>548</v>
      </c>
      <c r="I139" s="391" t="s">
        <v>549</v>
      </c>
      <c r="W139" s="280"/>
    </row>
    <row r="140" spans="2:23">
      <c r="B140" s="281" t="s">
        <v>468</v>
      </c>
      <c r="C140" t="s">
        <v>550</v>
      </c>
      <c r="G140" s="305"/>
      <c r="H140" t="s">
        <v>551</v>
      </c>
      <c r="I140" s="301" t="s">
        <v>542</v>
      </c>
      <c r="W140" s="280"/>
    </row>
    <row r="141" spans="2:23">
      <c r="B141" s="281" t="s">
        <v>471</v>
      </c>
      <c r="C141" t="s">
        <v>552</v>
      </c>
      <c r="G141" s="390">
        <v>12606</v>
      </c>
      <c r="H141" t="s">
        <v>553</v>
      </c>
      <c r="I141" s="307" t="s">
        <v>554</v>
      </c>
      <c r="W141" s="280"/>
    </row>
    <row r="142" spans="2:23" ht="15" thickBot="1">
      <c r="B142" s="281" t="s">
        <v>473</v>
      </c>
      <c r="C142" s="303" t="s">
        <v>555</v>
      </c>
      <c r="D142" s="303"/>
      <c r="E142" s="303"/>
      <c r="F142" s="303"/>
      <c r="G142" s="389" t="e">
        <f>G138*G139*G140*G141</f>
        <v>#DIV/0!</v>
      </c>
      <c r="H142" s="303" t="s">
        <v>544</v>
      </c>
      <c r="W142" s="280"/>
    </row>
    <row r="143" spans="2:23" ht="15" thickBot="1">
      <c r="B143" s="291" t="s">
        <v>476</v>
      </c>
      <c r="C143" s="292" t="s">
        <v>90</v>
      </c>
      <c r="D143" s="287"/>
      <c r="E143" s="287"/>
      <c r="F143" s="287"/>
      <c r="G143" s="275" t="e">
        <f>G137+G142</f>
        <v>#DIV/0!</v>
      </c>
      <c r="H143" s="306" t="s">
        <v>556</v>
      </c>
      <c r="I143" s="289" t="s">
        <v>586</v>
      </c>
      <c r="J143" s="287"/>
      <c r="K143" s="287"/>
      <c r="L143" s="287"/>
      <c r="M143" s="287"/>
      <c r="N143" s="287"/>
      <c r="O143" s="287"/>
      <c r="P143" s="287"/>
      <c r="Q143" s="287"/>
      <c r="R143" s="287"/>
      <c r="S143" s="287"/>
      <c r="T143" s="287"/>
      <c r="U143" s="287"/>
      <c r="V143" s="287"/>
      <c r="W143" s="290"/>
    </row>
    <row r="144" spans="2:23">
      <c r="B144" s="452" t="s">
        <v>587</v>
      </c>
      <c r="C144" s="453"/>
      <c r="D144" s="453"/>
      <c r="E144" s="453"/>
      <c r="F144" s="453"/>
      <c r="G144" s="453"/>
      <c r="H144" s="453"/>
      <c r="I144" s="453"/>
      <c r="J144" s="453"/>
      <c r="K144" s="453"/>
      <c r="L144" s="453"/>
      <c r="M144" s="453"/>
      <c r="N144" s="453"/>
      <c r="O144" s="453"/>
      <c r="P144" s="453"/>
      <c r="Q144" s="453"/>
      <c r="R144" s="453"/>
      <c r="S144" s="453"/>
      <c r="T144" s="453"/>
      <c r="U144" s="453"/>
      <c r="V144" s="453"/>
      <c r="W144" s="454"/>
    </row>
    <row r="145" spans="2:23">
      <c r="B145" s="281" t="s">
        <v>408</v>
      </c>
      <c r="C145" t="s">
        <v>529</v>
      </c>
      <c r="G145" s="282">
        <f>'数量（ルート1）'!K43</f>
        <v>0</v>
      </c>
      <c r="H145" t="s">
        <v>530</v>
      </c>
      <c r="I145" s="138" t="s">
        <v>588</v>
      </c>
      <c r="W145" s="280"/>
    </row>
    <row r="146" spans="2:23">
      <c r="B146" s="281" t="s">
        <v>434</v>
      </c>
      <c r="C146" t="s">
        <v>532</v>
      </c>
      <c r="G146" s="282">
        <f>'パラメータ（ルート1）'!H50</f>
        <v>0</v>
      </c>
      <c r="H146" t="s">
        <v>533</v>
      </c>
      <c r="I146" s="138" t="s">
        <v>583</v>
      </c>
      <c r="W146" s="280"/>
    </row>
    <row r="147" spans="2:23">
      <c r="B147" s="281" t="s">
        <v>437</v>
      </c>
      <c r="C147" t="s">
        <v>535</v>
      </c>
      <c r="G147" s="282">
        <f>'パラメータ（ルート1）'!H51</f>
        <v>0</v>
      </c>
      <c r="H147" t="s">
        <v>536</v>
      </c>
      <c r="I147" s="138" t="s">
        <v>584</v>
      </c>
      <c r="W147" s="280"/>
    </row>
    <row r="148" spans="2:23">
      <c r="B148" s="281" t="s">
        <v>452</v>
      </c>
      <c r="C148" t="s">
        <v>538</v>
      </c>
      <c r="G148" s="293">
        <f>'パラメータ（ルート1）'!H56</f>
        <v>4.1500000000000004</v>
      </c>
      <c r="H148" t="s">
        <v>322</v>
      </c>
      <c r="I148" s="138" t="s">
        <v>585</v>
      </c>
      <c r="W148" s="280"/>
    </row>
    <row r="149" spans="2:23">
      <c r="B149" s="281" t="s">
        <v>456</v>
      </c>
      <c r="C149" t="s">
        <v>540</v>
      </c>
      <c r="G149" s="388"/>
      <c r="H149" t="s">
        <v>541</v>
      </c>
      <c r="I149" s="301" t="s">
        <v>542</v>
      </c>
      <c r="W149" s="280"/>
    </row>
    <row r="150" spans="2:23">
      <c r="B150" s="281" t="s">
        <v>460</v>
      </c>
      <c r="C150" s="302" t="s">
        <v>543</v>
      </c>
      <c r="D150" s="303"/>
      <c r="E150" s="303"/>
      <c r="F150" s="303"/>
      <c r="G150" s="389" t="e">
        <f>((G145/G146)*G147/G148)*G149</f>
        <v>#DIV/0!</v>
      </c>
      <c r="H150" s="303" t="s">
        <v>544</v>
      </c>
      <c r="W150" s="280"/>
    </row>
    <row r="151" spans="2:23">
      <c r="B151" s="281" t="s">
        <v>462</v>
      </c>
      <c r="C151" t="s">
        <v>545</v>
      </c>
      <c r="G151">
        <v>1</v>
      </c>
      <c r="H151" t="s">
        <v>546</v>
      </c>
      <c r="I151" s="301" t="s">
        <v>542</v>
      </c>
      <c r="W151" s="280"/>
    </row>
    <row r="152" spans="2:23">
      <c r="B152" s="281" t="s">
        <v>465</v>
      </c>
      <c r="C152" t="s">
        <v>547</v>
      </c>
      <c r="G152" s="390" t="e">
        <f>G145/G146</f>
        <v>#DIV/0!</v>
      </c>
      <c r="H152" t="s">
        <v>548</v>
      </c>
      <c r="I152" s="391" t="s">
        <v>549</v>
      </c>
      <c r="W152" s="280"/>
    </row>
    <row r="153" spans="2:23">
      <c r="B153" s="281" t="s">
        <v>468</v>
      </c>
      <c r="C153" t="s">
        <v>550</v>
      </c>
      <c r="G153" s="305"/>
      <c r="H153" t="s">
        <v>551</v>
      </c>
      <c r="I153" s="301" t="s">
        <v>542</v>
      </c>
      <c r="W153" s="280"/>
    </row>
    <row r="154" spans="2:23">
      <c r="B154" s="281" t="s">
        <v>471</v>
      </c>
      <c r="C154" t="s">
        <v>552</v>
      </c>
      <c r="G154" s="390">
        <v>12606</v>
      </c>
      <c r="H154" t="s">
        <v>553</v>
      </c>
      <c r="I154" s="307" t="s">
        <v>560</v>
      </c>
      <c r="W154" s="280"/>
    </row>
    <row r="155" spans="2:23" ht="15" thickBot="1">
      <c r="B155" s="281" t="s">
        <v>473</v>
      </c>
      <c r="C155" s="303" t="s">
        <v>555</v>
      </c>
      <c r="D155" s="303"/>
      <c r="E155" s="303"/>
      <c r="F155" s="303"/>
      <c r="G155" s="389" t="e">
        <f>G151*G152*G153*G154</f>
        <v>#DIV/0!</v>
      </c>
      <c r="H155" s="303" t="s">
        <v>544</v>
      </c>
      <c r="W155" s="280"/>
    </row>
    <row r="156" spans="2:23" ht="15" thickBot="1">
      <c r="B156" s="291" t="s">
        <v>476</v>
      </c>
      <c r="C156" s="292" t="s">
        <v>90</v>
      </c>
      <c r="D156" s="287"/>
      <c r="E156" s="287"/>
      <c r="F156" s="287"/>
      <c r="G156" s="275" t="e">
        <f>G150+G155</f>
        <v>#DIV/0!</v>
      </c>
      <c r="H156" s="306" t="s">
        <v>556</v>
      </c>
      <c r="I156" s="289" t="s">
        <v>589</v>
      </c>
      <c r="J156" s="287"/>
      <c r="K156" s="287"/>
      <c r="L156" s="287"/>
      <c r="M156" s="287"/>
      <c r="N156" s="287"/>
      <c r="O156" s="287"/>
      <c r="P156" s="287"/>
      <c r="Q156" s="287"/>
      <c r="R156" s="287"/>
      <c r="S156" s="287"/>
      <c r="T156" s="287"/>
      <c r="U156" s="287"/>
      <c r="V156" s="287"/>
      <c r="W156" s="290"/>
    </row>
    <row r="157" spans="2:23">
      <c r="B157" s="452" t="s">
        <v>590</v>
      </c>
      <c r="C157" s="453"/>
      <c r="D157" s="453"/>
      <c r="E157" s="453"/>
      <c r="F157" s="453"/>
      <c r="G157" s="453"/>
      <c r="H157" s="453"/>
      <c r="I157" s="453"/>
      <c r="J157" s="453"/>
      <c r="K157" s="453"/>
      <c r="L157" s="453"/>
      <c r="M157" s="453"/>
      <c r="N157" s="453"/>
      <c r="O157" s="453"/>
      <c r="P157" s="453"/>
      <c r="Q157" s="453"/>
      <c r="R157" s="453"/>
      <c r="S157" s="453"/>
      <c r="T157" s="453"/>
      <c r="U157" s="453"/>
      <c r="V157" s="453"/>
      <c r="W157" s="454"/>
    </row>
    <row r="158" spans="2:23">
      <c r="B158" s="281" t="s">
        <v>408</v>
      </c>
      <c r="C158" t="s">
        <v>529</v>
      </c>
      <c r="G158" s="282">
        <f>'数量（ルート1）'!M43</f>
        <v>0</v>
      </c>
      <c r="H158" t="s">
        <v>530</v>
      </c>
      <c r="I158" s="138" t="s">
        <v>591</v>
      </c>
      <c r="W158" s="280"/>
    </row>
    <row r="159" spans="2:23">
      <c r="B159" s="281" t="s">
        <v>434</v>
      </c>
      <c r="C159" t="s">
        <v>532</v>
      </c>
      <c r="G159" s="282">
        <f>'パラメータ（ルート1）'!H50</f>
        <v>0</v>
      </c>
      <c r="H159" t="s">
        <v>533</v>
      </c>
      <c r="I159" s="138" t="s">
        <v>592</v>
      </c>
      <c r="W159" s="280"/>
    </row>
    <row r="160" spans="2:23">
      <c r="B160" s="281" t="s">
        <v>437</v>
      </c>
      <c r="C160" t="s">
        <v>535</v>
      </c>
      <c r="G160" s="282">
        <f>'パラメータ（ルート1）'!H51</f>
        <v>0</v>
      </c>
      <c r="H160" t="s">
        <v>536</v>
      </c>
      <c r="I160" s="138" t="s">
        <v>593</v>
      </c>
      <c r="W160" s="280"/>
    </row>
    <row r="161" spans="2:23">
      <c r="B161" s="281" t="s">
        <v>452</v>
      </c>
      <c r="C161" t="s">
        <v>538</v>
      </c>
      <c r="G161" s="293">
        <f>'パラメータ（ルート1）'!H56</f>
        <v>4.1500000000000004</v>
      </c>
      <c r="H161" t="s">
        <v>322</v>
      </c>
      <c r="I161" s="138" t="s">
        <v>594</v>
      </c>
      <c r="W161" s="280"/>
    </row>
    <row r="162" spans="2:23">
      <c r="B162" s="281" t="s">
        <v>456</v>
      </c>
      <c r="C162" t="s">
        <v>540</v>
      </c>
      <c r="G162" s="388"/>
      <c r="H162" t="s">
        <v>541</v>
      </c>
      <c r="I162" s="301" t="s">
        <v>542</v>
      </c>
      <c r="W162" s="280"/>
    </row>
    <row r="163" spans="2:23">
      <c r="B163" s="281" t="s">
        <v>460</v>
      </c>
      <c r="C163" s="302" t="s">
        <v>543</v>
      </c>
      <c r="D163" s="303"/>
      <c r="E163" s="303"/>
      <c r="F163" s="303"/>
      <c r="G163" s="389" t="e">
        <f>((G158/G159)*G160/G161)*G162</f>
        <v>#DIV/0!</v>
      </c>
      <c r="H163" s="303" t="s">
        <v>544</v>
      </c>
      <c r="W163" s="280"/>
    </row>
    <row r="164" spans="2:23">
      <c r="B164" s="281" t="s">
        <v>462</v>
      </c>
      <c r="C164" t="s">
        <v>545</v>
      </c>
      <c r="G164">
        <v>1</v>
      </c>
      <c r="H164" t="s">
        <v>546</v>
      </c>
      <c r="I164" s="301" t="s">
        <v>542</v>
      </c>
      <c r="W164" s="280"/>
    </row>
    <row r="165" spans="2:23">
      <c r="B165" s="281" t="s">
        <v>465</v>
      </c>
      <c r="C165" t="s">
        <v>547</v>
      </c>
      <c r="G165" s="390" t="e">
        <f>G158/G159</f>
        <v>#DIV/0!</v>
      </c>
      <c r="H165" t="s">
        <v>548</v>
      </c>
      <c r="I165" s="391" t="s">
        <v>549</v>
      </c>
      <c r="W165" s="280"/>
    </row>
    <row r="166" spans="2:23">
      <c r="B166" s="281" t="s">
        <v>468</v>
      </c>
      <c r="C166" t="s">
        <v>550</v>
      </c>
      <c r="G166" s="305"/>
      <c r="H166" t="s">
        <v>551</v>
      </c>
      <c r="I166" s="301" t="s">
        <v>542</v>
      </c>
      <c r="W166" s="280"/>
    </row>
    <row r="167" spans="2:23">
      <c r="B167" s="281" t="s">
        <v>471</v>
      </c>
      <c r="C167" t="s">
        <v>552</v>
      </c>
      <c r="G167" s="390">
        <v>12606</v>
      </c>
      <c r="H167" t="s">
        <v>553</v>
      </c>
      <c r="I167" s="307" t="s">
        <v>554</v>
      </c>
      <c r="W167" s="280"/>
    </row>
    <row r="168" spans="2:23" ht="15" thickBot="1">
      <c r="B168" s="281" t="s">
        <v>473</v>
      </c>
      <c r="C168" s="303" t="s">
        <v>555</v>
      </c>
      <c r="D168" s="303"/>
      <c r="E168" s="303"/>
      <c r="F168" s="303"/>
      <c r="G168" s="389" t="e">
        <f>G164*G165*G166*G167</f>
        <v>#DIV/0!</v>
      </c>
      <c r="H168" s="303" t="s">
        <v>544</v>
      </c>
      <c r="W168" s="280"/>
    </row>
    <row r="169" spans="2:23" ht="15" thickBot="1">
      <c r="B169" s="291" t="s">
        <v>476</v>
      </c>
      <c r="C169" s="292" t="s">
        <v>90</v>
      </c>
      <c r="D169" s="287"/>
      <c r="E169" s="287"/>
      <c r="F169" s="287"/>
      <c r="G169" s="275" t="e">
        <f>G163+G168</f>
        <v>#DIV/0!</v>
      </c>
      <c r="H169" s="306" t="s">
        <v>556</v>
      </c>
      <c r="I169" s="289" t="s">
        <v>595</v>
      </c>
      <c r="J169" s="287"/>
      <c r="K169" s="287"/>
      <c r="L169" s="287"/>
      <c r="M169" s="287"/>
      <c r="N169" s="287"/>
      <c r="O169" s="287"/>
      <c r="P169" s="287"/>
      <c r="Q169" s="287"/>
      <c r="R169" s="287"/>
      <c r="S169" s="287"/>
      <c r="T169" s="287"/>
      <c r="U169" s="287"/>
      <c r="V169" s="287"/>
      <c r="W169" s="290"/>
    </row>
    <row r="170" spans="2:23">
      <c r="B170" s="452" t="s">
        <v>596</v>
      </c>
      <c r="C170" s="453"/>
      <c r="D170" s="453"/>
      <c r="E170" s="453"/>
      <c r="F170" s="453"/>
      <c r="G170" s="453"/>
      <c r="H170" s="453"/>
      <c r="I170" s="453"/>
      <c r="J170" s="453"/>
      <c r="K170" s="453"/>
      <c r="L170" s="453"/>
      <c r="M170" s="453"/>
      <c r="N170" s="453"/>
      <c r="O170" s="453"/>
      <c r="P170" s="453"/>
      <c r="Q170" s="453"/>
      <c r="R170" s="453"/>
      <c r="S170" s="453"/>
      <c r="T170" s="453"/>
      <c r="U170" s="453"/>
      <c r="V170" s="453"/>
      <c r="W170" s="454"/>
    </row>
    <row r="171" spans="2:23">
      <c r="B171" s="281" t="s">
        <v>408</v>
      </c>
      <c r="C171" t="s">
        <v>529</v>
      </c>
      <c r="G171" s="282" t="e">
        <f>'数量（ルート1）'!N43</f>
        <v>#DIV/0!</v>
      </c>
      <c r="H171" t="s">
        <v>530</v>
      </c>
      <c r="I171" s="138" t="s">
        <v>588</v>
      </c>
      <c r="W171" s="280"/>
    </row>
    <row r="172" spans="2:23">
      <c r="B172" s="281" t="s">
        <v>434</v>
      </c>
      <c r="C172" t="s">
        <v>532</v>
      </c>
      <c r="G172" s="282">
        <f>'パラメータ（ルート1）'!H50</f>
        <v>0</v>
      </c>
      <c r="H172" t="s">
        <v>533</v>
      </c>
      <c r="I172" s="138" t="s">
        <v>592</v>
      </c>
      <c r="W172" s="280"/>
    </row>
    <row r="173" spans="2:23">
      <c r="B173" s="281" t="s">
        <v>437</v>
      </c>
      <c r="C173" t="s">
        <v>535</v>
      </c>
      <c r="G173" s="282">
        <f>'パラメータ（ルート1）'!H51</f>
        <v>0</v>
      </c>
      <c r="H173" t="s">
        <v>536</v>
      </c>
      <c r="I173" s="138" t="s">
        <v>593</v>
      </c>
      <c r="W173" s="280"/>
    </row>
    <row r="174" spans="2:23">
      <c r="B174" s="281" t="s">
        <v>452</v>
      </c>
      <c r="C174" t="s">
        <v>538</v>
      </c>
      <c r="G174" s="293">
        <f>'パラメータ（ルート1）'!H56</f>
        <v>4.1500000000000004</v>
      </c>
      <c r="H174" t="s">
        <v>322</v>
      </c>
      <c r="I174" s="138" t="s">
        <v>594</v>
      </c>
      <c r="W174" s="280"/>
    </row>
    <row r="175" spans="2:23">
      <c r="B175" s="281" t="s">
        <v>456</v>
      </c>
      <c r="C175" t="s">
        <v>540</v>
      </c>
      <c r="G175" s="388"/>
      <c r="H175" t="s">
        <v>541</v>
      </c>
      <c r="I175" s="301" t="s">
        <v>542</v>
      </c>
      <c r="W175" s="280"/>
    </row>
    <row r="176" spans="2:23">
      <c r="B176" s="281" t="s">
        <v>460</v>
      </c>
      <c r="C176" s="302" t="s">
        <v>543</v>
      </c>
      <c r="D176" s="303"/>
      <c r="E176" s="303"/>
      <c r="F176" s="303"/>
      <c r="G176" s="389" t="e">
        <f>((G171/G172)*G173/G174)*G175</f>
        <v>#DIV/0!</v>
      </c>
      <c r="H176" s="303" t="s">
        <v>544</v>
      </c>
      <c r="W176" s="280"/>
    </row>
    <row r="177" spans="2:23">
      <c r="B177" s="281" t="s">
        <v>462</v>
      </c>
      <c r="C177" t="s">
        <v>545</v>
      </c>
      <c r="G177">
        <v>1</v>
      </c>
      <c r="H177" t="s">
        <v>546</v>
      </c>
      <c r="I177" s="301" t="s">
        <v>542</v>
      </c>
      <c r="W177" s="280"/>
    </row>
    <row r="178" spans="2:23">
      <c r="B178" s="281" t="s">
        <v>465</v>
      </c>
      <c r="C178" t="s">
        <v>547</v>
      </c>
      <c r="G178" s="390" t="e">
        <f>G171/G172</f>
        <v>#DIV/0!</v>
      </c>
      <c r="H178" t="s">
        <v>548</v>
      </c>
      <c r="I178" s="391" t="s">
        <v>549</v>
      </c>
      <c r="W178" s="280"/>
    </row>
    <row r="179" spans="2:23">
      <c r="B179" s="281" t="s">
        <v>468</v>
      </c>
      <c r="C179" t="s">
        <v>550</v>
      </c>
      <c r="G179" s="305"/>
      <c r="H179" t="s">
        <v>551</v>
      </c>
      <c r="I179" s="301" t="s">
        <v>542</v>
      </c>
      <c r="W179" s="280"/>
    </row>
    <row r="180" spans="2:23">
      <c r="B180" s="281" t="s">
        <v>471</v>
      </c>
      <c r="C180" t="s">
        <v>552</v>
      </c>
      <c r="G180" s="390">
        <v>12606</v>
      </c>
      <c r="H180" t="s">
        <v>553</v>
      </c>
      <c r="I180" s="307" t="s">
        <v>560</v>
      </c>
      <c r="W180" s="280"/>
    </row>
    <row r="181" spans="2:23" ht="15" thickBot="1">
      <c r="B181" s="281" t="s">
        <v>473</v>
      </c>
      <c r="C181" s="303" t="s">
        <v>555</v>
      </c>
      <c r="D181" s="303"/>
      <c r="E181" s="303"/>
      <c r="F181" s="303"/>
      <c r="G181" s="389" t="e">
        <f>G177*G178*G179*G180</f>
        <v>#DIV/0!</v>
      </c>
      <c r="H181" s="303" t="s">
        <v>544</v>
      </c>
      <c r="W181" s="280"/>
    </row>
    <row r="182" spans="2:23" ht="15" thickBot="1">
      <c r="B182" s="291" t="s">
        <v>476</v>
      </c>
      <c r="C182" s="292" t="s">
        <v>90</v>
      </c>
      <c r="D182" s="287"/>
      <c r="E182" s="287"/>
      <c r="F182" s="287"/>
      <c r="G182" s="275" t="e">
        <f>G176+G181</f>
        <v>#DIV/0!</v>
      </c>
      <c r="H182" s="306" t="s">
        <v>556</v>
      </c>
      <c r="I182" s="289" t="s">
        <v>597</v>
      </c>
      <c r="J182" s="287"/>
      <c r="K182" s="287"/>
      <c r="L182" s="287"/>
      <c r="M182" s="287"/>
      <c r="N182" s="287"/>
      <c r="O182" s="287"/>
      <c r="P182" s="287"/>
      <c r="Q182" s="287"/>
      <c r="R182" s="287"/>
      <c r="S182" s="287"/>
      <c r="T182" s="287"/>
      <c r="U182" s="287"/>
      <c r="V182" s="287"/>
      <c r="W182" s="290"/>
    </row>
  </sheetData>
  <mergeCells count="28">
    <mergeCell ref="B2:W2"/>
    <mergeCell ref="B9:W9"/>
    <mergeCell ref="B13:W13"/>
    <mergeCell ref="B17:W17"/>
    <mergeCell ref="B41:W41"/>
    <mergeCell ref="N8:Q8"/>
    <mergeCell ref="M3:S3"/>
    <mergeCell ref="B3:H3"/>
    <mergeCell ref="C4:F4"/>
    <mergeCell ref="C5:F5"/>
    <mergeCell ref="C6:F6"/>
    <mergeCell ref="C7:F7"/>
    <mergeCell ref="B65:W65"/>
    <mergeCell ref="B90:W90"/>
    <mergeCell ref="B103:W103"/>
    <mergeCell ref="B116:W116"/>
    <mergeCell ref="B121:W121"/>
    <mergeCell ref="B81:C82"/>
    <mergeCell ref="B86:C87"/>
    <mergeCell ref="B66:C67"/>
    <mergeCell ref="B71:C72"/>
    <mergeCell ref="B76:C77"/>
    <mergeCell ref="B88:C89"/>
    <mergeCell ref="B126:W126"/>
    <mergeCell ref="B131:W131"/>
    <mergeCell ref="B144:W144"/>
    <mergeCell ref="B157:W157"/>
    <mergeCell ref="B170:W170"/>
  </mergeCells>
  <phoneticPr fontId="2"/>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A0A8ACA7D7BF48B3E10D0283E118E1" ma:contentTypeVersion="9" ma:contentTypeDescription="新しいドキュメントを作成します。" ma:contentTypeScope="" ma:versionID="637a96e01e773bd3c2b804c55843c4b8">
  <xsd:schema xmlns:xsd="http://www.w3.org/2001/XMLSchema" xmlns:xs="http://www.w3.org/2001/XMLSchema" xmlns:p="http://schemas.microsoft.com/office/2006/metadata/properties" xmlns:ns2="d9e79ca9-935b-4bff-a541-eb8a1e6916cd" targetNamespace="http://schemas.microsoft.com/office/2006/metadata/properties" ma:root="true" ma:fieldsID="c0cafd64aa41530a71995e6a3332524c" ns2:_="">
    <xsd:import namespace="d9e79ca9-935b-4bff-a541-eb8a1e6916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e79ca9-935b-4bff-a541-eb8a1e6916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BillingMetadata" ma:index="1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2FC9A3-96FE-4F7A-9AC0-309C7265107F}"/>
</file>

<file path=customXml/itemProps2.xml><?xml version="1.0" encoding="utf-8"?>
<ds:datastoreItem xmlns:ds="http://schemas.openxmlformats.org/officeDocument/2006/customXml" ds:itemID="{CDFFD2D3-B398-43E2-A59E-087B4658057E}"/>
</file>

<file path=customXml/itemProps3.xml><?xml version="1.0" encoding="utf-8"?>
<ds:datastoreItem xmlns:ds="http://schemas.openxmlformats.org/officeDocument/2006/customXml" ds:itemID="{58232754-3434-4B9F-A744-12337DC858E3}"/>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0x01010011A0A8ACA7D7BF48B3E10D0283E118E1</vt:lpwstr>
  </property>
  <property fmtid="{D5CDD505-2E9C-101B-9397-08002B2CF9AE}" pid="3" name="MSIP_Label_ea60d57e-af5b-4752-ac57-3e4f28ca11dc_Enabled">
    <vt:lpwstr>true</vt:lpwstr>
  </property>
  <property fmtid="{D5CDD505-2E9C-101B-9397-08002B2CF9AE}" pid="4" name="MSIP_Label_ea60d57e-af5b-4752-ac57-3e4f28ca11dc_SetDate">
    <vt:lpwstr>2022-01-12T01:56:51Z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052c0c6e-3c3c-4e6f-958b-1072beeeb5dc</vt:lpwstr>
  </property>
  <property fmtid="{D5CDD505-2E9C-101B-9397-08002B2CF9AE}" pid="9" name="MSIP_Label_ea60d57e-af5b-4752-ac57-3e4f28ca11dc_ContentBits">
    <vt:lpwstr>0</vt:lpwstr>
  </property>
</Properties>
</file>