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7.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8.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9.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1.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1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1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4.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16.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17.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8.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19.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20.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21.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2.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24.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25.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2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27.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28.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29.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30.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31.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Password="CC6D" lockStructure="1"/>
  <bookViews>
    <workbookView xWindow="14510" yWindow="-20" windowWidth="14310" windowHeight="12770" tabRatio="766"/>
  </bookViews>
  <sheets>
    <sheet name="入力シート (一物質)" sheetId="72" r:id="rId1"/>
    <sheet name="印刷用レポート (一物質)" sheetId="19" r:id="rId2"/>
    <sheet name="入力シート (複数物質)" sheetId="11" r:id="rId3"/>
    <sheet name="印刷用レポート (複数物質)" sheetId="74" r:id="rId4"/>
    <sheet name="パラメーター 一覧表" sheetId="2" state="hidden" r:id="rId5"/>
    <sheet name="パラメータ引用文献" sheetId="18" state="hidden" r:id="rId6"/>
    <sheet name="計算シート１" sheetId="7" state="hidden" r:id="rId7"/>
    <sheet name="計算シート2" sheetId="9" state="hidden" r:id="rId8"/>
    <sheet name="入力シート_クロロエチレン" sheetId="20" state="hidden" r:id="rId9"/>
    <sheet name="計算シート_クロロエチレン" sheetId="21" state="hidden" r:id="rId10"/>
    <sheet name="入力シート_ジクロロメタン" sheetId="22" state="hidden" r:id="rId11"/>
    <sheet name="計算シート_ジクロロメタン" sheetId="23" state="hidden" r:id="rId12"/>
    <sheet name="入力シート_四塩化炭素" sheetId="24" state="hidden" r:id="rId13"/>
    <sheet name="計算シート_四塩化炭素" sheetId="25" state="hidden" r:id="rId14"/>
    <sheet name="入力シート_1・2・ジクロロエタン" sheetId="26" state="hidden" r:id="rId15"/>
    <sheet name="計算シート_1・2・ジクロロエタン" sheetId="27" state="hidden" r:id="rId16"/>
    <sheet name="入力シート_1・1・ジクロロエチレン" sheetId="28" state="hidden" r:id="rId17"/>
    <sheet name="計算シート_1・1・ジクロロエチレン" sheetId="29" state="hidden" r:id="rId18"/>
    <sheet name="入力シート_1・2・ジクロロエチレン" sheetId="30" state="hidden" r:id="rId19"/>
    <sheet name="計算シート_1・2・ジクロロエチレン" sheetId="31" state="hidden" r:id="rId20"/>
    <sheet name="入力シート_1・1・1・トリクロロエタン" sheetId="32" state="hidden" r:id="rId21"/>
    <sheet name="計算シート_1・1・1・トリクロロエタン" sheetId="33" state="hidden" r:id="rId22"/>
    <sheet name="入力シート_1・1・2・トリクロロエタン" sheetId="34" state="hidden" r:id="rId23"/>
    <sheet name="計算シート_1・1・2・トリクロロエタン" sheetId="35" state="hidden" r:id="rId24"/>
    <sheet name="入力シート_トリクロロエチレン" sheetId="36" state="hidden" r:id="rId25"/>
    <sheet name="計算シート_トリクロロエチレン" sheetId="37" state="hidden" r:id="rId26"/>
    <sheet name="入力シート_テトラクロロエチレン" sheetId="38" state="hidden" r:id="rId27"/>
    <sheet name="計算シート_テトラクロロエチレン" sheetId="39" state="hidden" r:id="rId28"/>
    <sheet name="入力シート_1・3・ジクロロプロペン" sheetId="40" state="hidden" r:id="rId29"/>
    <sheet name="計算シート_1・3・ジクロロプロペン" sheetId="41" state="hidden" r:id="rId30"/>
    <sheet name="入力シート_ベンゼン" sheetId="42" state="hidden" r:id="rId31"/>
    <sheet name="計算シート_ベンゼン" sheetId="43" state="hidden" r:id="rId32"/>
    <sheet name="入力シート_鉛" sheetId="44" state="hidden" r:id="rId33"/>
    <sheet name="計算シート_鉛" sheetId="45" state="hidden" r:id="rId34"/>
    <sheet name="入力シート_カドミウム" sheetId="46" state="hidden" r:id="rId35"/>
    <sheet name="計算シート_カドミウム" sheetId="47" state="hidden" r:id="rId36"/>
    <sheet name="入力シート_水銀" sheetId="48" state="hidden" r:id="rId37"/>
    <sheet name="計算シート_水銀" sheetId="49" state="hidden" r:id="rId38"/>
    <sheet name="入力シート_砒素" sheetId="50" state="hidden" r:id="rId39"/>
    <sheet name="計算シート_砒素" sheetId="51" state="hidden" r:id="rId40"/>
    <sheet name="入力シート_六価クロム" sheetId="52" state="hidden" r:id="rId41"/>
    <sheet name="計算シート_六価クロム" sheetId="53" state="hidden" r:id="rId42"/>
    <sheet name="入力シート_ふっ素" sheetId="54" state="hidden" r:id="rId43"/>
    <sheet name="計算シート_ふっ素" sheetId="55" state="hidden" r:id="rId44"/>
    <sheet name="入力シート_ほう素" sheetId="56" state="hidden" r:id="rId45"/>
    <sheet name="計算シート_ほう素" sheetId="57" state="hidden" r:id="rId46"/>
    <sheet name="入力シート_セレン" sheetId="58" state="hidden" r:id="rId47"/>
    <sheet name="計算シート_セレン" sheetId="59" state="hidden" r:id="rId48"/>
    <sheet name="入力シート_シアン" sheetId="60" state="hidden" r:id="rId49"/>
    <sheet name="計算シート_シアン" sheetId="61" state="hidden" r:id="rId50"/>
    <sheet name="入力シート_シマジン" sheetId="62" state="hidden" r:id="rId51"/>
    <sheet name="計算シート_シマジン" sheetId="63" state="hidden" r:id="rId52"/>
    <sheet name="入力シート_チウラム" sheetId="64" state="hidden" r:id="rId53"/>
    <sheet name="計算シート_チウラム" sheetId="65" state="hidden" r:id="rId54"/>
    <sheet name="入力シート_チオベンカルブ" sheetId="66" state="hidden" r:id="rId55"/>
    <sheet name="計算シート_チオベンカルブ" sheetId="67" state="hidden" r:id="rId56"/>
    <sheet name="入力シート_PCB" sheetId="68" state="hidden" r:id="rId57"/>
    <sheet name="計算シート_PCB" sheetId="69" state="hidden" r:id="rId58"/>
    <sheet name="入力シート_有機リン" sheetId="70" state="hidden" r:id="rId59"/>
    <sheet name="計算シート_有機リン" sheetId="71" state="hidden" r:id="rId60"/>
  </sheets>
  <definedNames>
    <definedName name="_xlnm.Print_Area" localSheetId="1">'印刷用レポート (一物質)'!$A$1:$J$34</definedName>
    <definedName name="_xlnm.Print_Area" localSheetId="3">'印刷用レポート (複数物質)'!$A$1:$L$57</definedName>
    <definedName name="_xlnm.Print_Area" localSheetId="0">'入力シート (一物質)'!$A$1:$W$44</definedName>
    <definedName name="_xlnm.Print_Area" localSheetId="2">'入力シート (複数物質)'!$A$1:$AF$70</definedName>
    <definedName name="_xlnm.Print_Area" localSheetId="20">入力シート_1・1・1・トリクロロエタン!$A$1:$U$44</definedName>
    <definedName name="_xlnm.Print_Area" localSheetId="22">入力シート_1・1・2・トリクロロエタン!$A$1:$U$44</definedName>
    <definedName name="_xlnm.Print_Area" localSheetId="16">入力シート_1・1・ジクロロエチレン!$A$1:$U$44</definedName>
    <definedName name="_xlnm.Print_Area" localSheetId="14">入力シート_1・2・ジクロロエタン!$A$1:$U$44</definedName>
    <definedName name="_xlnm.Print_Area" localSheetId="18">入力シート_1・2・ジクロロエチレン!$A$1:$U$44</definedName>
    <definedName name="_xlnm.Print_Area" localSheetId="28">入力シート_1・3・ジクロロプロペン!$A$1:$U$44</definedName>
    <definedName name="_xlnm.Print_Area" localSheetId="56">入力シート_PCB!$A$1:$U$44</definedName>
    <definedName name="_xlnm.Print_Area" localSheetId="34">入力シート_カドミウム!$A$1:$U$44</definedName>
    <definedName name="_xlnm.Print_Area" localSheetId="8">入力シート_クロロエチレン!$A$1:$U$44</definedName>
    <definedName name="_xlnm.Print_Area" localSheetId="48">入力シート_シアン!$A$1:$U$44</definedName>
    <definedName name="_xlnm.Print_Area" localSheetId="10">入力シート_ジクロロメタン!$A$1:$U$44</definedName>
    <definedName name="_xlnm.Print_Area" localSheetId="50">入力シート_シマジン!$A$1:$U$44</definedName>
    <definedName name="_xlnm.Print_Area" localSheetId="46">入力シート_セレン!$A$1:$U$44</definedName>
    <definedName name="_xlnm.Print_Area" localSheetId="52">入力シート_チウラム!$A$1:$U$44</definedName>
    <definedName name="_xlnm.Print_Area" localSheetId="54">入力シート_チオベンカルブ!$A$1:$U$44</definedName>
    <definedName name="_xlnm.Print_Area" localSheetId="26">入力シート_テトラクロロエチレン!$A$1:$U$44</definedName>
    <definedName name="_xlnm.Print_Area" localSheetId="24">入力シート_トリクロロエチレン!$A$1:$U$44</definedName>
    <definedName name="_xlnm.Print_Area" localSheetId="42">入力シート_ふっ素!$A$1:$U$44</definedName>
    <definedName name="_xlnm.Print_Area" localSheetId="30">入力シート_ベンゼン!$A$1:$U$44</definedName>
    <definedName name="_xlnm.Print_Area" localSheetId="44">入力シート_ほう素!$A$1:$U$44</definedName>
    <definedName name="_xlnm.Print_Area" localSheetId="32">入力シート_鉛!$A$1:$U$44</definedName>
    <definedName name="_xlnm.Print_Area" localSheetId="12">入力シート_四塩化炭素!$A$1:$U$44</definedName>
    <definedName name="_xlnm.Print_Area" localSheetId="36">入力シート_水銀!$A$1:$U$44</definedName>
    <definedName name="_xlnm.Print_Area" localSheetId="58">入力シート_有機リン!$A$1:$U$44</definedName>
    <definedName name="_xlnm.Print_Area" localSheetId="40">入力シート_六価クロム!$A$1:$U$44</definedName>
    <definedName name="_xlnm.Print_Area" localSheetId="38">入力シート_砒素!$A$1:$U$44</definedName>
  </definedNames>
  <calcPr calcId="162913"/>
  <fileRecoveryPr autoRecover="0"/>
</workbook>
</file>

<file path=xl/calcChain.xml><?xml version="1.0" encoding="utf-8"?>
<calcChain xmlns="http://schemas.openxmlformats.org/spreadsheetml/2006/main">
  <c r="D41" i="72" l="1"/>
  <c r="B23" i="19" s="1"/>
  <c r="F41" i="11" l="1"/>
  <c r="F27" i="72"/>
  <c r="D7" i="19" l="1"/>
  <c r="D5" i="74" l="1"/>
  <c r="F9" i="74" l="1"/>
  <c r="F7" i="74"/>
  <c r="D9" i="74"/>
  <c r="D8" i="74"/>
  <c r="D7" i="74"/>
  <c r="D6" i="74"/>
  <c r="B9" i="19"/>
  <c r="B8" i="19"/>
  <c r="B7" i="19"/>
  <c r="B6" i="19"/>
  <c r="B5" i="19"/>
  <c r="F20" i="74" l="1"/>
  <c r="D20" i="19" l="1"/>
  <c r="E19" i="19"/>
  <c r="E18" i="19"/>
  <c r="E16" i="19"/>
  <c r="E15" i="19"/>
  <c r="E13" i="19"/>
  <c r="D12" i="19"/>
  <c r="D11" i="19"/>
  <c r="D9" i="19"/>
  <c r="D8" i="19"/>
  <c r="D6" i="19"/>
  <c r="D5" i="19"/>
  <c r="J1" i="19"/>
  <c r="F19" i="74"/>
  <c r="F18" i="74"/>
  <c r="F16" i="74"/>
  <c r="F15" i="74"/>
  <c r="F13" i="74"/>
  <c r="F12" i="74"/>
  <c r="F11" i="74"/>
  <c r="F8" i="74"/>
  <c r="F6" i="74"/>
  <c r="F5" i="74"/>
  <c r="L1" i="74"/>
  <c r="AI37" i="11"/>
  <c r="G35" i="7"/>
  <c r="G22" i="7"/>
  <c r="G14" i="7"/>
  <c r="G11" i="7"/>
  <c r="G10" i="7"/>
  <c r="G9" i="7"/>
  <c r="C6" i="7"/>
  <c r="J33" i="74" l="1"/>
  <c r="J32" i="74"/>
  <c r="H35" i="74"/>
  <c r="H29" i="74"/>
  <c r="H31" i="74"/>
  <c r="J35" i="74"/>
  <c r="H34" i="74"/>
  <c r="J29" i="74"/>
  <c r="H33" i="74"/>
  <c r="J31" i="74"/>
  <c r="H32" i="74"/>
  <c r="J34" i="74"/>
  <c r="J38" i="74"/>
  <c r="J41" i="74"/>
  <c r="J27" i="74"/>
  <c r="H47" i="74"/>
  <c r="H39" i="74"/>
  <c r="H45" i="74"/>
  <c r="H28" i="74"/>
  <c r="J25" i="74"/>
  <c r="H41" i="74"/>
  <c r="H27" i="74"/>
  <c r="J43" i="74"/>
  <c r="J30" i="74"/>
  <c r="J37" i="74"/>
  <c r="H44" i="74"/>
  <c r="J46" i="74"/>
  <c r="H49" i="74"/>
  <c r="H30" i="74"/>
  <c r="J28" i="74"/>
  <c r="J40" i="74"/>
  <c r="J26" i="74"/>
  <c r="H36" i="74"/>
  <c r="J49" i="74"/>
  <c r="H26" i="74"/>
  <c r="J42" i="74"/>
  <c r="J39" i="74"/>
  <c r="H37" i="74"/>
  <c r="J36" i="74"/>
  <c r="H42" i="74"/>
  <c r="J44" i="74"/>
  <c r="H38" i="74"/>
  <c r="H40" i="74"/>
  <c r="J48" i="74"/>
  <c r="J24" i="74"/>
  <c r="H25" i="74"/>
  <c r="H43" i="74"/>
  <c r="J47" i="74"/>
  <c r="H48" i="74"/>
  <c r="H24" i="74"/>
  <c r="H46" i="74"/>
  <c r="J45" i="74"/>
  <c r="F30" i="72"/>
  <c r="X23" i="72"/>
  <c r="R11" i="72" s="1"/>
  <c r="G29" i="7" s="1"/>
  <c r="V23" i="72"/>
  <c r="R25" i="72" s="1"/>
  <c r="G23" i="7" s="1"/>
  <c r="X14" i="72"/>
  <c r="R13" i="72"/>
  <c r="R12" i="72"/>
  <c r="G25" i="7" s="1"/>
  <c r="B21" i="19" l="1"/>
  <c r="F35" i="72"/>
  <c r="D35" i="72"/>
  <c r="E21" i="19"/>
  <c r="F21" i="19"/>
  <c r="C35" i="72"/>
  <c r="G27" i="7"/>
  <c r="G26" i="7"/>
  <c r="R26" i="72"/>
  <c r="G24" i="7" s="1"/>
  <c r="K35" i="72"/>
  <c r="R10" i="72"/>
  <c r="G31" i="7" s="1"/>
  <c r="R15" i="72"/>
  <c r="E71" i="7" s="1"/>
  <c r="R29" i="72"/>
  <c r="L35" i="72"/>
  <c r="R24" i="72"/>
  <c r="G21" i="7" s="1"/>
  <c r="G40" i="7" s="1"/>
  <c r="G39" i="7" s="1"/>
  <c r="R14" i="72"/>
  <c r="G7" i="7" s="1"/>
  <c r="F77" i="71"/>
  <c r="G18" i="71"/>
  <c r="C6" i="71"/>
  <c r="G6" i="71" s="1"/>
  <c r="J35" i="70"/>
  <c r="G35" i="71" s="1"/>
  <c r="J33" i="70"/>
  <c r="G10" i="71" s="1"/>
  <c r="J32" i="70"/>
  <c r="G9" i="71" s="1"/>
  <c r="J30" i="70"/>
  <c r="G14" i="71" s="1"/>
  <c r="F27" i="70"/>
  <c r="G22" i="71" s="1"/>
  <c r="J24" i="70"/>
  <c r="G11" i="71" s="1"/>
  <c r="X23" i="70"/>
  <c r="R10" i="70" s="1"/>
  <c r="G31" i="71" s="1"/>
  <c r="I22" i="70"/>
  <c r="V23" i="70" s="1"/>
  <c r="R21" i="70" s="1"/>
  <c r="G23" i="71" s="1"/>
  <c r="Y14" i="70"/>
  <c r="F77" i="69"/>
  <c r="G18" i="69"/>
  <c r="C6" i="69"/>
  <c r="G6" i="69" s="1"/>
  <c r="J35" i="68"/>
  <c r="G35" i="69" s="1"/>
  <c r="J33" i="68"/>
  <c r="G10" i="69" s="1"/>
  <c r="J32" i="68"/>
  <c r="G9" i="69" s="1"/>
  <c r="J30" i="68"/>
  <c r="R13" i="68" s="1"/>
  <c r="G27" i="69" s="1"/>
  <c r="F27" i="68"/>
  <c r="G22" i="69" s="1"/>
  <c r="J24" i="68"/>
  <c r="G11" i="69" s="1"/>
  <c r="X23" i="68"/>
  <c r="R11" i="68" s="1"/>
  <c r="G29" i="69" s="1"/>
  <c r="G38" i="69" s="1"/>
  <c r="I22" i="68"/>
  <c r="V23" i="68" s="1"/>
  <c r="Y14" i="68"/>
  <c r="F77" i="67"/>
  <c r="G18" i="67"/>
  <c r="C6" i="67"/>
  <c r="D60" i="67" s="1"/>
  <c r="J35" i="66"/>
  <c r="G35" i="67" s="1"/>
  <c r="J33" i="66"/>
  <c r="G10" i="67" s="1"/>
  <c r="J32" i="66"/>
  <c r="G9" i="67" s="1"/>
  <c r="J30" i="66"/>
  <c r="R13" i="66" s="1"/>
  <c r="G27" i="67" s="1"/>
  <c r="F27" i="66"/>
  <c r="G22" i="67" s="1"/>
  <c r="J24" i="66"/>
  <c r="G11" i="67" s="1"/>
  <c r="X23" i="66"/>
  <c r="I22" i="66"/>
  <c r="V23" i="66" s="1"/>
  <c r="R15" i="66"/>
  <c r="E71" i="67" s="1"/>
  <c r="E80" i="67" s="1"/>
  <c r="Y14" i="66"/>
  <c r="D41" i="66" s="1"/>
  <c r="R14" i="66"/>
  <c r="G7" i="67" s="1"/>
  <c r="G64" i="67" s="1"/>
  <c r="R11" i="66"/>
  <c r="G29" i="67" s="1"/>
  <c r="G38" i="67" s="1"/>
  <c r="R10" i="66"/>
  <c r="G31" i="67" s="1"/>
  <c r="F77" i="65"/>
  <c r="G18" i="65"/>
  <c r="C6" i="65"/>
  <c r="J35" i="64"/>
  <c r="G35" i="65" s="1"/>
  <c r="J33" i="64"/>
  <c r="G10" i="65" s="1"/>
  <c r="J32" i="64"/>
  <c r="G9" i="65" s="1"/>
  <c r="J30" i="64"/>
  <c r="G14" i="65" s="1"/>
  <c r="G15" i="65" s="1"/>
  <c r="G16" i="65" s="1"/>
  <c r="F27" i="64"/>
  <c r="G22" i="65" s="1"/>
  <c r="J24" i="64"/>
  <c r="G11" i="65" s="1"/>
  <c r="X23" i="64"/>
  <c r="I22" i="64"/>
  <c r="V23" i="64" s="1"/>
  <c r="Y14" i="64"/>
  <c r="X14" i="64" s="1"/>
  <c r="F77" i="63"/>
  <c r="D60" i="63"/>
  <c r="G18" i="63"/>
  <c r="G6" i="63"/>
  <c r="C6" i="63"/>
  <c r="J35" i="62"/>
  <c r="G35" i="63" s="1"/>
  <c r="J33" i="62"/>
  <c r="G10" i="63" s="1"/>
  <c r="J32" i="62"/>
  <c r="G9" i="63" s="1"/>
  <c r="J30" i="62"/>
  <c r="G14" i="63" s="1"/>
  <c r="G15" i="63" s="1"/>
  <c r="G16" i="63" s="1"/>
  <c r="F27" i="62"/>
  <c r="G22" i="63" s="1"/>
  <c r="J24" i="62"/>
  <c r="G11" i="63" s="1"/>
  <c r="X23" i="62"/>
  <c r="R14" i="62" s="1"/>
  <c r="G7" i="63" s="1"/>
  <c r="G64" i="63" s="1"/>
  <c r="G69" i="63" s="1"/>
  <c r="G78" i="63" s="1"/>
  <c r="I22" i="62"/>
  <c r="V23" i="62" s="1"/>
  <c r="R22" i="62" s="1"/>
  <c r="G24" i="63" s="1"/>
  <c r="Y14" i="62"/>
  <c r="D41" i="62" s="1"/>
  <c r="R10" i="62"/>
  <c r="G31" i="63" s="1"/>
  <c r="F77" i="61"/>
  <c r="G18" i="61"/>
  <c r="C6" i="61"/>
  <c r="D60" i="61" s="1"/>
  <c r="J35" i="60"/>
  <c r="G35" i="61" s="1"/>
  <c r="J33" i="60"/>
  <c r="G10" i="61" s="1"/>
  <c r="J32" i="60"/>
  <c r="G9" i="61" s="1"/>
  <c r="J30" i="60"/>
  <c r="F27" i="60"/>
  <c r="G22" i="61" s="1"/>
  <c r="J24" i="60"/>
  <c r="G11" i="61" s="1"/>
  <c r="G12" i="61" s="1"/>
  <c r="X23" i="60"/>
  <c r="R15" i="60" s="1"/>
  <c r="E71" i="61" s="1"/>
  <c r="E80" i="61" s="1"/>
  <c r="I22" i="60"/>
  <c r="V23" i="60" s="1"/>
  <c r="R21" i="60" s="1"/>
  <c r="G23" i="61" s="1"/>
  <c r="Y14" i="60"/>
  <c r="D41" i="60" s="1"/>
  <c r="F77" i="59"/>
  <c r="G18" i="59"/>
  <c r="C6" i="59"/>
  <c r="D60" i="59" s="1"/>
  <c r="J35" i="58"/>
  <c r="G35" i="59" s="1"/>
  <c r="J33" i="58"/>
  <c r="G10" i="59" s="1"/>
  <c r="J32" i="58"/>
  <c r="G9" i="59" s="1"/>
  <c r="J30" i="58"/>
  <c r="F27" i="58"/>
  <c r="G22" i="59" s="1"/>
  <c r="J24" i="58"/>
  <c r="G11" i="59" s="1"/>
  <c r="X23" i="58"/>
  <c r="R14" i="58" s="1"/>
  <c r="G7" i="59" s="1"/>
  <c r="G64" i="59" s="1"/>
  <c r="I22" i="58"/>
  <c r="V23" i="58" s="1"/>
  <c r="Y14" i="58"/>
  <c r="X14" i="58" s="1"/>
  <c r="F35" i="58" s="1"/>
  <c r="F77" i="57"/>
  <c r="G18" i="57"/>
  <c r="C6" i="57"/>
  <c r="G6" i="57" s="1"/>
  <c r="J35" i="56"/>
  <c r="G35" i="57" s="1"/>
  <c r="J33" i="56"/>
  <c r="G10" i="57" s="1"/>
  <c r="J32" i="56"/>
  <c r="G9" i="57" s="1"/>
  <c r="J30" i="56"/>
  <c r="R12" i="56" s="1"/>
  <c r="G25" i="57" s="1"/>
  <c r="F27" i="56"/>
  <c r="G22" i="57" s="1"/>
  <c r="J24" i="56"/>
  <c r="G11" i="57" s="1"/>
  <c r="G12" i="57" s="1"/>
  <c r="X23" i="56"/>
  <c r="R14" i="56" s="1"/>
  <c r="G7" i="57" s="1"/>
  <c r="G64" i="57" s="1"/>
  <c r="I22" i="56"/>
  <c r="V23" i="56" s="1"/>
  <c r="R25" i="56" s="1"/>
  <c r="G32" i="57" s="1"/>
  <c r="Y14" i="56"/>
  <c r="F30" i="56" s="1"/>
  <c r="F77" i="55"/>
  <c r="G18" i="55"/>
  <c r="C6" i="55"/>
  <c r="G6" i="55" s="1"/>
  <c r="J35" i="54"/>
  <c r="G35" i="55" s="1"/>
  <c r="J33" i="54"/>
  <c r="G10" i="55" s="1"/>
  <c r="J32" i="54"/>
  <c r="G9" i="55" s="1"/>
  <c r="J30" i="54"/>
  <c r="R13" i="54" s="1"/>
  <c r="G27" i="55" s="1"/>
  <c r="F27" i="54"/>
  <c r="G22" i="55" s="1"/>
  <c r="J24" i="54"/>
  <c r="G11" i="55" s="1"/>
  <c r="X23" i="54"/>
  <c r="I22" i="54"/>
  <c r="V23" i="54" s="1"/>
  <c r="Y14" i="54"/>
  <c r="F30" i="54" s="1"/>
  <c r="F77" i="53"/>
  <c r="G18" i="53"/>
  <c r="C6" i="53"/>
  <c r="D60" i="53" s="1"/>
  <c r="J35" i="52"/>
  <c r="G35" i="53" s="1"/>
  <c r="J33" i="52"/>
  <c r="G10" i="53" s="1"/>
  <c r="J32" i="52"/>
  <c r="G9" i="53" s="1"/>
  <c r="J30" i="52"/>
  <c r="R12" i="52" s="1"/>
  <c r="G25" i="53" s="1"/>
  <c r="F27" i="52"/>
  <c r="G22" i="53" s="1"/>
  <c r="J24" i="52"/>
  <c r="G11" i="53" s="1"/>
  <c r="G12" i="53" s="1"/>
  <c r="X23" i="52"/>
  <c r="I22" i="52"/>
  <c r="V23" i="52" s="1"/>
  <c r="Y14" i="52"/>
  <c r="D41" i="52" s="1"/>
  <c r="F77" i="51"/>
  <c r="G18" i="51"/>
  <c r="C6" i="51"/>
  <c r="G6" i="51" s="1"/>
  <c r="J35" i="50"/>
  <c r="G35" i="51" s="1"/>
  <c r="J33" i="50"/>
  <c r="G10" i="51" s="1"/>
  <c r="J32" i="50"/>
  <c r="G9" i="51" s="1"/>
  <c r="J30" i="50"/>
  <c r="G14" i="51" s="1"/>
  <c r="F27" i="50"/>
  <c r="G22" i="51" s="1"/>
  <c r="J24" i="50"/>
  <c r="G11" i="51" s="1"/>
  <c r="G12" i="51" s="1"/>
  <c r="X23" i="50"/>
  <c r="R15" i="50" s="1"/>
  <c r="E71" i="51" s="1"/>
  <c r="E80" i="51" s="1"/>
  <c r="I22" i="50"/>
  <c r="V23" i="50" s="1"/>
  <c r="Y14" i="50"/>
  <c r="D41" i="50" s="1"/>
  <c r="F77" i="49"/>
  <c r="G18" i="49"/>
  <c r="G6" i="49"/>
  <c r="C6" i="49"/>
  <c r="D60" i="49" s="1"/>
  <c r="J35" i="48"/>
  <c r="G35" i="49" s="1"/>
  <c r="J33" i="48"/>
  <c r="G10" i="49" s="1"/>
  <c r="J32" i="48"/>
  <c r="G9" i="49" s="1"/>
  <c r="J30" i="48"/>
  <c r="F27" i="48"/>
  <c r="G22" i="49" s="1"/>
  <c r="J24" i="48"/>
  <c r="G11" i="49" s="1"/>
  <c r="X23" i="48"/>
  <c r="R10" i="48" s="1"/>
  <c r="G31" i="49" s="1"/>
  <c r="I22" i="48"/>
  <c r="V23" i="48" s="1"/>
  <c r="Y14" i="48"/>
  <c r="D41" i="48" s="1"/>
  <c r="F77" i="47"/>
  <c r="G18" i="47"/>
  <c r="C6" i="47"/>
  <c r="D60" i="47" s="1"/>
  <c r="J35" i="46"/>
  <c r="G35" i="47" s="1"/>
  <c r="J33" i="46"/>
  <c r="G10" i="47" s="1"/>
  <c r="J32" i="46"/>
  <c r="G9" i="47" s="1"/>
  <c r="J30" i="46"/>
  <c r="R13" i="46" s="1"/>
  <c r="F27" i="46"/>
  <c r="G22" i="47" s="1"/>
  <c r="J24" i="46"/>
  <c r="G11" i="47" s="1"/>
  <c r="G12" i="47" s="1"/>
  <c r="X23" i="46"/>
  <c r="R10" i="46" s="1"/>
  <c r="G31" i="47" s="1"/>
  <c r="I22" i="46"/>
  <c r="V23" i="46" s="1"/>
  <c r="R15" i="46"/>
  <c r="E71" i="47" s="1"/>
  <c r="E80" i="47" s="1"/>
  <c r="Y14" i="46"/>
  <c r="D41" i="46" s="1"/>
  <c r="R11" i="46"/>
  <c r="G29" i="47" s="1"/>
  <c r="G38" i="47" s="1"/>
  <c r="F77" i="45"/>
  <c r="G18" i="45"/>
  <c r="C6" i="45"/>
  <c r="D60" i="45" s="1"/>
  <c r="J35" i="44"/>
  <c r="G35" i="45" s="1"/>
  <c r="J33" i="44"/>
  <c r="G10" i="45" s="1"/>
  <c r="J32" i="44"/>
  <c r="G9" i="45" s="1"/>
  <c r="J30" i="44"/>
  <c r="G14" i="45" s="1"/>
  <c r="F27" i="44"/>
  <c r="G22" i="45" s="1"/>
  <c r="J24" i="44"/>
  <c r="G11" i="45" s="1"/>
  <c r="G12" i="45" s="1"/>
  <c r="X23" i="44"/>
  <c r="R11" i="44" s="1"/>
  <c r="G29" i="45" s="1"/>
  <c r="G38" i="45" s="1"/>
  <c r="I22" i="44"/>
  <c r="V23" i="44" s="1"/>
  <c r="Y14" i="44"/>
  <c r="X14" i="44" s="1"/>
  <c r="D35" i="44" s="1"/>
  <c r="R10" i="44"/>
  <c r="G31" i="45" s="1"/>
  <c r="F77" i="43"/>
  <c r="G18" i="43"/>
  <c r="C6" i="43"/>
  <c r="J35" i="42"/>
  <c r="G35" i="43" s="1"/>
  <c r="J33" i="42"/>
  <c r="G10" i="43" s="1"/>
  <c r="J32" i="42"/>
  <c r="G9" i="43" s="1"/>
  <c r="J30" i="42"/>
  <c r="R12" i="42" s="1"/>
  <c r="G25" i="43" s="1"/>
  <c r="F27" i="42"/>
  <c r="G22" i="43" s="1"/>
  <c r="J24" i="42"/>
  <c r="G11" i="43" s="1"/>
  <c r="X23" i="42"/>
  <c r="R11" i="42" s="1"/>
  <c r="G29" i="43" s="1"/>
  <c r="G38" i="43" s="1"/>
  <c r="I22" i="42"/>
  <c r="V23" i="42" s="1"/>
  <c r="Y14" i="42"/>
  <c r="F30" i="42" s="1"/>
  <c r="F77" i="41"/>
  <c r="G18" i="41"/>
  <c r="C6" i="41"/>
  <c r="G6" i="41" s="1"/>
  <c r="J35" i="40"/>
  <c r="G35" i="41" s="1"/>
  <c r="J33" i="40"/>
  <c r="G10" i="41" s="1"/>
  <c r="J32" i="40"/>
  <c r="G9" i="41" s="1"/>
  <c r="J30" i="40"/>
  <c r="R13" i="40" s="1"/>
  <c r="G27" i="41" s="1"/>
  <c r="F27" i="40"/>
  <c r="G22" i="41" s="1"/>
  <c r="J24" i="40"/>
  <c r="G11" i="41" s="1"/>
  <c r="X23" i="40"/>
  <c r="R14" i="40" s="1"/>
  <c r="G7" i="41" s="1"/>
  <c r="G64" i="41" s="1"/>
  <c r="I22" i="40"/>
  <c r="V23" i="40" s="1"/>
  <c r="Y14" i="40"/>
  <c r="F30" i="40" s="1"/>
  <c r="F77" i="39"/>
  <c r="G18" i="39"/>
  <c r="C6" i="39"/>
  <c r="G6" i="39" s="1"/>
  <c r="J35" i="38"/>
  <c r="G35" i="39" s="1"/>
  <c r="J33" i="38"/>
  <c r="G10" i="39" s="1"/>
  <c r="J32" i="38"/>
  <c r="G9" i="39" s="1"/>
  <c r="J30" i="38"/>
  <c r="R12" i="38" s="1"/>
  <c r="G25" i="39" s="1"/>
  <c r="F27" i="38"/>
  <c r="G22" i="39" s="1"/>
  <c r="J24" i="38"/>
  <c r="G11" i="39" s="1"/>
  <c r="X23" i="38"/>
  <c r="R11" i="38" s="1"/>
  <c r="G29" i="39" s="1"/>
  <c r="G38" i="39" s="1"/>
  <c r="I22" i="38"/>
  <c r="V23" i="38" s="1"/>
  <c r="R15" i="38"/>
  <c r="E71" i="39" s="1"/>
  <c r="E80" i="39" s="1"/>
  <c r="Y14" i="38"/>
  <c r="F30" i="38" s="1"/>
  <c r="R14" i="38"/>
  <c r="G7" i="39" s="1"/>
  <c r="G64" i="39" s="1"/>
  <c r="F77" i="37"/>
  <c r="G18" i="37"/>
  <c r="C6" i="37"/>
  <c r="D60" i="37" s="1"/>
  <c r="J35" i="36"/>
  <c r="G35" i="37" s="1"/>
  <c r="J33" i="36"/>
  <c r="G10" i="37" s="1"/>
  <c r="J32" i="36"/>
  <c r="G9" i="37" s="1"/>
  <c r="J30" i="36"/>
  <c r="G14" i="37" s="1"/>
  <c r="F27" i="36"/>
  <c r="G22" i="37" s="1"/>
  <c r="J24" i="36"/>
  <c r="G11" i="37" s="1"/>
  <c r="G12" i="37" s="1"/>
  <c r="X23" i="36"/>
  <c r="R15" i="36" s="1"/>
  <c r="E71" i="37" s="1"/>
  <c r="E80" i="37" s="1"/>
  <c r="I22" i="36"/>
  <c r="V23" i="36" s="1"/>
  <c r="Y14" i="36"/>
  <c r="D41" i="36" s="1"/>
  <c r="F77" i="35"/>
  <c r="G18" i="35"/>
  <c r="C6" i="35"/>
  <c r="D60" i="35" s="1"/>
  <c r="J35" i="34"/>
  <c r="G35" i="35" s="1"/>
  <c r="J33" i="34"/>
  <c r="G10" i="35" s="1"/>
  <c r="J32" i="34"/>
  <c r="G9" i="35" s="1"/>
  <c r="J30" i="34"/>
  <c r="R13" i="34" s="1"/>
  <c r="G27" i="35" s="1"/>
  <c r="F27" i="34"/>
  <c r="G22" i="35" s="1"/>
  <c r="J24" i="34"/>
  <c r="G11" i="35" s="1"/>
  <c r="G12" i="35" s="1"/>
  <c r="X23" i="34"/>
  <c r="R15" i="34" s="1"/>
  <c r="E71" i="35" s="1"/>
  <c r="E80" i="35" s="1"/>
  <c r="I22" i="34"/>
  <c r="V23" i="34" s="1"/>
  <c r="Y14" i="34"/>
  <c r="D41" i="34" s="1"/>
  <c r="R11" i="34"/>
  <c r="G29" i="35" s="1"/>
  <c r="G38" i="35" s="1"/>
  <c r="R10" i="34"/>
  <c r="G31" i="35" s="1"/>
  <c r="F77" i="33"/>
  <c r="G18" i="33"/>
  <c r="G6" i="33"/>
  <c r="C6" i="33"/>
  <c r="D60" i="33" s="1"/>
  <c r="J35" i="32"/>
  <c r="G35" i="33" s="1"/>
  <c r="J33" i="32"/>
  <c r="G10" i="33" s="1"/>
  <c r="J32" i="32"/>
  <c r="G9" i="33" s="1"/>
  <c r="J30" i="32"/>
  <c r="R12" i="32" s="1"/>
  <c r="G25" i="33" s="1"/>
  <c r="F27" i="32"/>
  <c r="G22" i="33" s="1"/>
  <c r="J24" i="32"/>
  <c r="G11" i="33" s="1"/>
  <c r="X23" i="32"/>
  <c r="I22" i="32"/>
  <c r="V23" i="32" s="1"/>
  <c r="Y14" i="32"/>
  <c r="D41" i="32" s="1"/>
  <c r="F77" i="31"/>
  <c r="G18" i="31"/>
  <c r="C6" i="31"/>
  <c r="G6" i="31" s="1"/>
  <c r="J35" i="30"/>
  <c r="G35" i="31" s="1"/>
  <c r="J33" i="30"/>
  <c r="G10" i="31" s="1"/>
  <c r="J32" i="30"/>
  <c r="G9" i="31" s="1"/>
  <c r="J30" i="30"/>
  <c r="G14" i="31" s="1"/>
  <c r="F27" i="30"/>
  <c r="G22" i="31" s="1"/>
  <c r="J24" i="30"/>
  <c r="G11" i="31" s="1"/>
  <c r="G12" i="31" s="1"/>
  <c r="X23" i="30"/>
  <c r="R14" i="30" s="1"/>
  <c r="G7" i="31" s="1"/>
  <c r="G64" i="31" s="1"/>
  <c r="I22" i="30"/>
  <c r="V23" i="30" s="1"/>
  <c r="Y14" i="30"/>
  <c r="F30" i="30" s="1"/>
  <c r="F77" i="29"/>
  <c r="G18" i="29"/>
  <c r="C6" i="29"/>
  <c r="D60" i="29" s="1"/>
  <c r="J35" i="28"/>
  <c r="G35" i="29" s="1"/>
  <c r="J33" i="28"/>
  <c r="G10" i="29" s="1"/>
  <c r="J32" i="28"/>
  <c r="G9" i="29" s="1"/>
  <c r="J30" i="28"/>
  <c r="G14" i="29" s="1"/>
  <c r="F27" i="28"/>
  <c r="G22" i="29" s="1"/>
  <c r="J24" i="28"/>
  <c r="G11" i="29" s="1"/>
  <c r="X23" i="28"/>
  <c r="R15" i="28" s="1"/>
  <c r="E71" i="29" s="1"/>
  <c r="E80" i="29" s="1"/>
  <c r="I22" i="28"/>
  <c r="V23" i="28" s="1"/>
  <c r="R25" i="28" s="1"/>
  <c r="Y14" i="28"/>
  <c r="D41" i="28" s="1"/>
  <c r="F77" i="27"/>
  <c r="G18" i="27"/>
  <c r="C6" i="27"/>
  <c r="D60" i="27" s="1"/>
  <c r="J35" i="26"/>
  <c r="G35" i="27" s="1"/>
  <c r="J33" i="26"/>
  <c r="G10" i="27" s="1"/>
  <c r="J32" i="26"/>
  <c r="G9" i="27" s="1"/>
  <c r="J30" i="26"/>
  <c r="R12" i="26" s="1"/>
  <c r="G25" i="27" s="1"/>
  <c r="F27" i="26"/>
  <c r="G22" i="27" s="1"/>
  <c r="J24" i="26"/>
  <c r="G11" i="27" s="1"/>
  <c r="X23" i="26"/>
  <c r="R15" i="26" s="1"/>
  <c r="E71" i="27" s="1"/>
  <c r="E80" i="27" s="1"/>
  <c r="I22" i="26"/>
  <c r="V23" i="26" s="1"/>
  <c r="R25" i="26" s="1"/>
  <c r="Y14" i="26"/>
  <c r="D41" i="26" s="1"/>
  <c r="F77" i="25"/>
  <c r="G18" i="25"/>
  <c r="C6" i="25"/>
  <c r="G6" i="25" s="1"/>
  <c r="J35" i="24"/>
  <c r="G35" i="25" s="1"/>
  <c r="J33" i="24"/>
  <c r="G10" i="25" s="1"/>
  <c r="J32" i="24"/>
  <c r="G9" i="25" s="1"/>
  <c r="J30" i="24"/>
  <c r="G14" i="25" s="1"/>
  <c r="G15" i="25" s="1"/>
  <c r="G16" i="25" s="1"/>
  <c r="F27" i="24"/>
  <c r="G22" i="25" s="1"/>
  <c r="J24" i="24"/>
  <c r="G11" i="25" s="1"/>
  <c r="X23" i="24"/>
  <c r="I22" i="24"/>
  <c r="V23" i="24" s="1"/>
  <c r="Y14" i="24"/>
  <c r="F77" i="23"/>
  <c r="G18" i="23"/>
  <c r="C6" i="23"/>
  <c r="G6" i="23" s="1"/>
  <c r="J35" i="22"/>
  <c r="G35" i="23" s="1"/>
  <c r="J33" i="22"/>
  <c r="G10" i="23" s="1"/>
  <c r="J32" i="22"/>
  <c r="G9" i="23" s="1"/>
  <c r="J30" i="22"/>
  <c r="R13" i="22" s="1"/>
  <c r="F27" i="22"/>
  <c r="G22" i="23" s="1"/>
  <c r="J24" i="22"/>
  <c r="G11" i="23" s="1"/>
  <c r="X23" i="22"/>
  <c r="R14" i="22" s="1"/>
  <c r="G7" i="23" s="1"/>
  <c r="G64" i="23" s="1"/>
  <c r="I22" i="22"/>
  <c r="V23" i="22" s="1"/>
  <c r="Y14" i="22"/>
  <c r="F30" i="22" s="1"/>
  <c r="C6" i="21"/>
  <c r="D60" i="21" s="1"/>
  <c r="F77" i="21"/>
  <c r="G18" i="21"/>
  <c r="D60" i="57" l="1"/>
  <c r="R14" i="26"/>
  <c r="G7" i="27" s="1"/>
  <c r="G64" i="27" s="1"/>
  <c r="R10" i="38"/>
  <c r="G31" i="39" s="1"/>
  <c r="R11" i="50"/>
  <c r="G29" i="51" s="1"/>
  <c r="G38" i="51" s="1"/>
  <c r="D60" i="55"/>
  <c r="R13" i="62"/>
  <c r="G27" i="63" s="1"/>
  <c r="R9" i="72"/>
  <c r="G30" i="7" s="1"/>
  <c r="G32" i="7"/>
  <c r="X14" i="48"/>
  <c r="F35" i="48" s="1"/>
  <c r="X14" i="66"/>
  <c r="K35" i="66" s="1"/>
  <c r="X14" i="32"/>
  <c r="C35" i="32" s="1"/>
  <c r="R12" i="50"/>
  <c r="G25" i="51" s="1"/>
  <c r="R12" i="70"/>
  <c r="G25" i="71" s="1"/>
  <c r="X14" i="28"/>
  <c r="C35" i="28" s="1"/>
  <c r="X14" i="26"/>
  <c r="L35" i="26" s="1"/>
  <c r="X14" i="30"/>
  <c r="L35" i="30" s="1"/>
  <c r="X14" i="38"/>
  <c r="L35" i="38" s="1"/>
  <c r="D41" i="38"/>
  <c r="X14" i="22"/>
  <c r="C35" i="22" s="1"/>
  <c r="R12" i="22"/>
  <c r="G25" i="23" s="1"/>
  <c r="F30" i="28"/>
  <c r="R21" i="34"/>
  <c r="G23" i="35" s="1"/>
  <c r="G55" i="35" s="1"/>
  <c r="G14" i="57"/>
  <c r="G15" i="57" s="1"/>
  <c r="G16" i="57" s="1"/>
  <c r="G14" i="47"/>
  <c r="G15" i="47" s="1"/>
  <c r="G16" i="47" s="1"/>
  <c r="R13" i="38"/>
  <c r="G27" i="39" s="1"/>
  <c r="X14" i="52"/>
  <c r="D35" i="52" s="1"/>
  <c r="G14" i="23"/>
  <c r="G15" i="23" s="1"/>
  <c r="G16" i="23" s="1"/>
  <c r="X14" i="36"/>
  <c r="C35" i="36" s="1"/>
  <c r="R25" i="62"/>
  <c r="R9" i="62" s="1"/>
  <c r="G30" i="63" s="1"/>
  <c r="R22" i="46"/>
  <c r="G24" i="47" s="1"/>
  <c r="F30" i="36"/>
  <c r="R13" i="26"/>
  <c r="G26" i="27" s="1"/>
  <c r="F30" i="34"/>
  <c r="X14" i="60"/>
  <c r="C35" i="60" s="1"/>
  <c r="G53" i="69"/>
  <c r="R12" i="62"/>
  <c r="G25" i="63" s="1"/>
  <c r="G14" i="69"/>
  <c r="G15" i="69" s="1"/>
  <c r="G16" i="69" s="1"/>
  <c r="R22" i="26"/>
  <c r="G24" i="27" s="1"/>
  <c r="R21" i="28"/>
  <c r="G23" i="29" s="1"/>
  <c r="G55" i="29" s="1"/>
  <c r="R25" i="50"/>
  <c r="G32" i="51" s="1"/>
  <c r="R12" i="54"/>
  <c r="G25" i="55" s="1"/>
  <c r="X14" i="40"/>
  <c r="C35" i="40" s="1"/>
  <c r="R21" i="44"/>
  <c r="G23" i="45" s="1"/>
  <c r="G55" i="45" s="1"/>
  <c r="R13" i="52"/>
  <c r="G27" i="53" s="1"/>
  <c r="R22" i="30"/>
  <c r="G24" i="31" s="1"/>
  <c r="R21" i="30"/>
  <c r="G23" i="31" s="1"/>
  <c r="G55" i="31" s="1"/>
  <c r="R25" i="30"/>
  <c r="G32" i="31" s="1"/>
  <c r="R20" i="30"/>
  <c r="G21" i="31" s="1"/>
  <c r="G40" i="31" s="1"/>
  <c r="G54" i="31" s="1"/>
  <c r="R25" i="66"/>
  <c r="G32" i="67" s="1"/>
  <c r="R20" i="66"/>
  <c r="G21" i="67" s="1"/>
  <c r="G40" i="67" s="1"/>
  <c r="R21" i="66"/>
  <c r="G23" i="67" s="1"/>
  <c r="G55" i="67" s="1"/>
  <c r="R22" i="32"/>
  <c r="G24" i="33" s="1"/>
  <c r="R21" i="32"/>
  <c r="G23" i="33" s="1"/>
  <c r="G55" i="33" s="1"/>
  <c r="R25" i="32"/>
  <c r="G32" i="33" s="1"/>
  <c r="R22" i="68"/>
  <c r="G24" i="69" s="1"/>
  <c r="R20" i="68"/>
  <c r="G21" i="69" s="1"/>
  <c r="G40" i="69" s="1"/>
  <c r="G54" i="69" s="1"/>
  <c r="R25" i="68"/>
  <c r="R21" i="68"/>
  <c r="G23" i="69" s="1"/>
  <c r="G55" i="69" s="1"/>
  <c r="R22" i="48"/>
  <c r="G24" i="49" s="1"/>
  <c r="R20" i="54"/>
  <c r="G21" i="55" s="1"/>
  <c r="G40" i="55" s="1"/>
  <c r="G54" i="55" s="1"/>
  <c r="R25" i="54"/>
  <c r="G32" i="55" s="1"/>
  <c r="R21" i="54"/>
  <c r="G23" i="55" s="1"/>
  <c r="G55" i="55" s="1"/>
  <c r="G12" i="67"/>
  <c r="R25" i="52"/>
  <c r="G32" i="53" s="1"/>
  <c r="R20" i="52"/>
  <c r="G21" i="53" s="1"/>
  <c r="G40" i="53" s="1"/>
  <c r="G54" i="53" s="1"/>
  <c r="R22" i="52"/>
  <c r="G24" i="53" s="1"/>
  <c r="R22" i="70"/>
  <c r="G24" i="71" s="1"/>
  <c r="R13" i="32"/>
  <c r="G26" i="33" s="1"/>
  <c r="G14" i="39"/>
  <c r="G15" i="39" s="1"/>
  <c r="G16" i="39" s="1"/>
  <c r="R13" i="50"/>
  <c r="G27" i="51" s="1"/>
  <c r="G47" i="51" s="1"/>
  <c r="F30" i="52"/>
  <c r="D41" i="54"/>
  <c r="R13" i="56"/>
  <c r="G26" i="57" s="1"/>
  <c r="F30" i="66"/>
  <c r="L35" i="58"/>
  <c r="D41" i="30"/>
  <c r="R12" i="34"/>
  <c r="G25" i="35" s="1"/>
  <c r="D41" i="44"/>
  <c r="R20" i="46"/>
  <c r="G21" i="47" s="1"/>
  <c r="G40" i="47" s="1"/>
  <c r="G54" i="47" s="1"/>
  <c r="R25" i="46"/>
  <c r="G32" i="47" s="1"/>
  <c r="F30" i="50"/>
  <c r="X14" i="54"/>
  <c r="L35" i="54" s="1"/>
  <c r="R20" i="62"/>
  <c r="G21" i="63" s="1"/>
  <c r="G40" i="63" s="1"/>
  <c r="G54" i="63" s="1"/>
  <c r="F30" i="62"/>
  <c r="R12" i="64"/>
  <c r="G25" i="65" s="1"/>
  <c r="G14" i="67"/>
  <c r="G15" i="67" s="1"/>
  <c r="G16" i="67" s="1"/>
  <c r="R12" i="24"/>
  <c r="G25" i="25" s="1"/>
  <c r="R22" i="28"/>
  <c r="G24" i="29" s="1"/>
  <c r="R25" i="34"/>
  <c r="G32" i="35" s="1"/>
  <c r="G14" i="35"/>
  <c r="G15" i="35" s="1"/>
  <c r="G16" i="35" s="1"/>
  <c r="R21" i="46"/>
  <c r="G23" i="47" s="1"/>
  <c r="G55" i="47" s="1"/>
  <c r="R13" i="24"/>
  <c r="G27" i="25" s="1"/>
  <c r="R22" i="34"/>
  <c r="G24" i="35" s="1"/>
  <c r="D41" i="42"/>
  <c r="C35" i="44"/>
  <c r="F30" i="26"/>
  <c r="F30" i="32"/>
  <c r="D41" i="40"/>
  <c r="X14" i="42"/>
  <c r="D35" i="42" s="1"/>
  <c r="F30" i="44"/>
  <c r="R22" i="50"/>
  <c r="G24" i="51" s="1"/>
  <c r="G14" i="53"/>
  <c r="G15" i="53" s="1"/>
  <c r="G16" i="53" s="1"/>
  <c r="G14" i="55"/>
  <c r="G15" i="55" s="1"/>
  <c r="G16" i="55" s="1"/>
  <c r="R22" i="56"/>
  <c r="G24" i="57" s="1"/>
  <c r="R25" i="70"/>
  <c r="G32" i="71" s="1"/>
  <c r="R15" i="70"/>
  <c r="E71" i="71" s="1"/>
  <c r="E80" i="71" s="1"/>
  <c r="D60" i="71"/>
  <c r="R14" i="70"/>
  <c r="G7" i="71" s="1"/>
  <c r="G64" i="71" s="1"/>
  <c r="G69" i="71" s="1"/>
  <c r="D60" i="69"/>
  <c r="R15" i="62"/>
  <c r="E71" i="63" s="1"/>
  <c r="E80" i="63" s="1"/>
  <c r="R11" i="60"/>
  <c r="G29" i="61" s="1"/>
  <c r="G38" i="61" s="1"/>
  <c r="R14" i="60"/>
  <c r="G7" i="61" s="1"/>
  <c r="G64" i="61" s="1"/>
  <c r="G69" i="61" s="1"/>
  <c r="G78" i="61" s="1"/>
  <c r="R15" i="58"/>
  <c r="E71" i="59" s="1"/>
  <c r="E80" i="59" s="1"/>
  <c r="G6" i="59"/>
  <c r="R10" i="58"/>
  <c r="G31" i="59" s="1"/>
  <c r="R9" i="54"/>
  <c r="G30" i="55" s="1"/>
  <c r="R14" i="52"/>
  <c r="G7" i="53" s="1"/>
  <c r="G64" i="53" s="1"/>
  <c r="G69" i="53" s="1"/>
  <c r="R11" i="52"/>
  <c r="G29" i="53" s="1"/>
  <c r="G38" i="53" s="1"/>
  <c r="R15" i="52"/>
  <c r="E71" i="53" s="1"/>
  <c r="E80" i="53" s="1"/>
  <c r="R10" i="52"/>
  <c r="G31" i="53" s="1"/>
  <c r="R10" i="50"/>
  <c r="G31" i="51" s="1"/>
  <c r="R14" i="48"/>
  <c r="G7" i="49" s="1"/>
  <c r="G64" i="49" s="1"/>
  <c r="G69" i="49" s="1"/>
  <c r="G6" i="47"/>
  <c r="R15" i="44"/>
  <c r="E71" i="45" s="1"/>
  <c r="E80" i="45" s="1"/>
  <c r="R14" i="44"/>
  <c r="G7" i="45" s="1"/>
  <c r="G64" i="45" s="1"/>
  <c r="G69" i="45" s="1"/>
  <c r="R10" i="42"/>
  <c r="G31" i="43" s="1"/>
  <c r="R10" i="40"/>
  <c r="G31" i="41" s="1"/>
  <c r="R11" i="40"/>
  <c r="G29" i="41" s="1"/>
  <c r="G38" i="41" s="1"/>
  <c r="R15" i="40"/>
  <c r="E71" i="41" s="1"/>
  <c r="E80" i="41" s="1"/>
  <c r="D60" i="41"/>
  <c r="R11" i="36"/>
  <c r="G29" i="37" s="1"/>
  <c r="G38" i="37" s="1"/>
  <c r="G6" i="37"/>
  <c r="R10" i="30"/>
  <c r="G31" i="31" s="1"/>
  <c r="R11" i="30"/>
  <c r="G29" i="31" s="1"/>
  <c r="G38" i="31" s="1"/>
  <c r="D60" i="31"/>
  <c r="R15" i="30"/>
  <c r="E71" i="31" s="1"/>
  <c r="E80" i="31" s="1"/>
  <c r="R10" i="28"/>
  <c r="G31" i="29" s="1"/>
  <c r="R11" i="28"/>
  <c r="G29" i="29" s="1"/>
  <c r="G38" i="29" s="1"/>
  <c r="R14" i="28"/>
  <c r="G7" i="29" s="1"/>
  <c r="G64" i="29" s="1"/>
  <c r="G69" i="29" s="1"/>
  <c r="G6" i="29"/>
  <c r="G6" i="27"/>
  <c r="G26" i="67"/>
  <c r="D60" i="25"/>
  <c r="D60" i="23"/>
  <c r="G26" i="55"/>
  <c r="G26" i="63"/>
  <c r="G46" i="63" s="1"/>
  <c r="G26" i="69"/>
  <c r="G26" i="35"/>
  <c r="G12" i="55"/>
  <c r="G69" i="59"/>
  <c r="G53" i="53"/>
  <c r="R9" i="52"/>
  <c r="G30" i="53" s="1"/>
  <c r="G69" i="57"/>
  <c r="G53" i="65"/>
  <c r="G53" i="55"/>
  <c r="R21" i="52"/>
  <c r="G23" i="53" s="1"/>
  <c r="R11" i="54"/>
  <c r="G29" i="55" s="1"/>
  <c r="G38" i="55" s="1"/>
  <c r="G12" i="71"/>
  <c r="G6" i="53"/>
  <c r="G14" i="61"/>
  <c r="R12" i="60"/>
  <c r="G25" i="61" s="1"/>
  <c r="R13" i="60"/>
  <c r="G6" i="61"/>
  <c r="R22" i="54"/>
  <c r="G24" i="55" s="1"/>
  <c r="X14" i="56"/>
  <c r="R25" i="58"/>
  <c r="G32" i="59" s="1"/>
  <c r="R21" i="58"/>
  <c r="G23" i="59" s="1"/>
  <c r="G55" i="59" s="1"/>
  <c r="R20" i="58"/>
  <c r="G21" i="59" s="1"/>
  <c r="G40" i="59" s="1"/>
  <c r="R22" i="58"/>
  <c r="G24" i="59" s="1"/>
  <c r="R20" i="60"/>
  <c r="G21" i="61" s="1"/>
  <c r="G40" i="61" s="1"/>
  <c r="R22" i="60"/>
  <c r="G24" i="61" s="1"/>
  <c r="G12" i="63"/>
  <c r="G47" i="63" s="1"/>
  <c r="G55" i="71"/>
  <c r="R25" i="64"/>
  <c r="R21" i="64"/>
  <c r="G23" i="65" s="1"/>
  <c r="G55" i="65" s="1"/>
  <c r="R22" i="64"/>
  <c r="G24" i="65" s="1"/>
  <c r="R20" i="64"/>
  <c r="G21" i="65" s="1"/>
  <c r="G40" i="65" s="1"/>
  <c r="R11" i="56"/>
  <c r="G29" i="57" s="1"/>
  <c r="G38" i="57" s="1"/>
  <c r="R12" i="58"/>
  <c r="G25" i="59" s="1"/>
  <c r="G14" i="59"/>
  <c r="R13" i="58"/>
  <c r="R15" i="54"/>
  <c r="E71" i="55" s="1"/>
  <c r="E80" i="55" s="1"/>
  <c r="R10" i="54"/>
  <c r="G31" i="55" s="1"/>
  <c r="D41" i="56"/>
  <c r="R9" i="56"/>
  <c r="G30" i="57" s="1"/>
  <c r="R15" i="56"/>
  <c r="E71" i="57" s="1"/>
  <c r="E80" i="57" s="1"/>
  <c r="C35" i="64"/>
  <c r="L35" i="64"/>
  <c r="K35" i="64"/>
  <c r="D35" i="64"/>
  <c r="F30" i="68"/>
  <c r="D41" i="68"/>
  <c r="X14" i="68"/>
  <c r="G15" i="71"/>
  <c r="G16" i="71" s="1"/>
  <c r="R14" i="54"/>
  <c r="G7" i="55" s="1"/>
  <c r="G64" i="55" s="1"/>
  <c r="R10" i="56"/>
  <c r="G31" i="57" s="1"/>
  <c r="R20" i="56"/>
  <c r="G21" i="57" s="1"/>
  <c r="G40" i="57" s="1"/>
  <c r="R21" i="56"/>
  <c r="G23" i="57" s="1"/>
  <c r="G55" i="57" s="1"/>
  <c r="G53" i="57"/>
  <c r="R25" i="60"/>
  <c r="D41" i="64"/>
  <c r="F30" i="64"/>
  <c r="F35" i="64"/>
  <c r="G53" i="59"/>
  <c r="G55" i="61"/>
  <c r="G53" i="61"/>
  <c r="X14" i="70"/>
  <c r="F30" i="70"/>
  <c r="D41" i="70"/>
  <c r="R11" i="58"/>
  <c r="G29" i="59" s="1"/>
  <c r="G38" i="59" s="1"/>
  <c r="R9" i="58"/>
  <c r="G30" i="59" s="1"/>
  <c r="G12" i="59"/>
  <c r="R14" i="64"/>
  <c r="G7" i="65" s="1"/>
  <c r="G64" i="65" s="1"/>
  <c r="R15" i="64"/>
  <c r="E71" i="65" s="1"/>
  <c r="E80" i="65" s="1"/>
  <c r="R10" i="64"/>
  <c r="G31" i="65" s="1"/>
  <c r="R21" i="62"/>
  <c r="G23" i="63" s="1"/>
  <c r="G12" i="65"/>
  <c r="G69" i="67"/>
  <c r="R14" i="68"/>
  <c r="G7" i="69" s="1"/>
  <c r="G64" i="69" s="1"/>
  <c r="R15" i="68"/>
  <c r="E71" i="69" s="1"/>
  <c r="E80" i="69" s="1"/>
  <c r="R10" i="68"/>
  <c r="G31" i="69" s="1"/>
  <c r="R11" i="64"/>
  <c r="G29" i="65" s="1"/>
  <c r="G38" i="65" s="1"/>
  <c r="D60" i="65"/>
  <c r="G6" i="65"/>
  <c r="R22" i="66"/>
  <c r="G24" i="67" s="1"/>
  <c r="G12" i="69"/>
  <c r="D35" i="58"/>
  <c r="C35" i="58"/>
  <c r="K35" i="58"/>
  <c r="F30" i="58"/>
  <c r="D41" i="58"/>
  <c r="G53" i="63"/>
  <c r="G53" i="67"/>
  <c r="G6" i="67"/>
  <c r="G53" i="71"/>
  <c r="F30" i="60"/>
  <c r="R11" i="62"/>
  <c r="G29" i="63" s="1"/>
  <c r="G38" i="63" s="1"/>
  <c r="R13" i="70"/>
  <c r="R11" i="70"/>
  <c r="G29" i="71" s="1"/>
  <c r="G38" i="71" s="1"/>
  <c r="R12" i="66"/>
  <c r="G25" i="67" s="1"/>
  <c r="R10" i="60"/>
  <c r="G31" i="61" s="1"/>
  <c r="X14" i="62"/>
  <c r="R13" i="64"/>
  <c r="R12" i="68"/>
  <c r="G25" i="69" s="1"/>
  <c r="R20" i="70"/>
  <c r="G21" i="71" s="1"/>
  <c r="G40" i="71" s="1"/>
  <c r="R22" i="42"/>
  <c r="G24" i="43" s="1"/>
  <c r="R25" i="42"/>
  <c r="R21" i="42"/>
  <c r="G23" i="43" s="1"/>
  <c r="G55" i="43" s="1"/>
  <c r="R20" i="42"/>
  <c r="G21" i="43" s="1"/>
  <c r="G40" i="43" s="1"/>
  <c r="G12" i="43"/>
  <c r="G69" i="39"/>
  <c r="G15" i="45"/>
  <c r="G16" i="45" s="1"/>
  <c r="G53" i="39"/>
  <c r="R25" i="36"/>
  <c r="R21" i="36"/>
  <c r="G23" i="37" s="1"/>
  <c r="G55" i="37" s="1"/>
  <c r="R20" i="36"/>
  <c r="G21" i="37" s="1"/>
  <c r="G40" i="37" s="1"/>
  <c r="R22" i="36"/>
  <c r="G24" i="37" s="1"/>
  <c r="R22" i="38"/>
  <c r="G24" i="39" s="1"/>
  <c r="R25" i="38"/>
  <c r="R20" i="38"/>
  <c r="G21" i="39" s="1"/>
  <c r="G40" i="39" s="1"/>
  <c r="R21" i="38"/>
  <c r="G23" i="39" s="1"/>
  <c r="G55" i="39" s="1"/>
  <c r="G53" i="43"/>
  <c r="R22" i="40"/>
  <c r="G24" i="41" s="1"/>
  <c r="R20" i="40"/>
  <c r="G21" i="41" s="1"/>
  <c r="G40" i="41" s="1"/>
  <c r="R25" i="40"/>
  <c r="R21" i="40"/>
  <c r="G23" i="41" s="1"/>
  <c r="G55" i="41" s="1"/>
  <c r="G53" i="41"/>
  <c r="G69" i="41"/>
  <c r="G12" i="39"/>
  <c r="G6" i="43"/>
  <c r="D60" i="43"/>
  <c r="G12" i="49"/>
  <c r="G53" i="51"/>
  <c r="R12" i="36"/>
  <c r="G25" i="37" s="1"/>
  <c r="D60" i="39"/>
  <c r="G12" i="41"/>
  <c r="G27" i="47"/>
  <c r="G26" i="47"/>
  <c r="F30" i="48"/>
  <c r="R12" i="44"/>
  <c r="G25" i="45" s="1"/>
  <c r="G6" i="45"/>
  <c r="R12" i="48"/>
  <c r="G25" i="49" s="1"/>
  <c r="G14" i="49"/>
  <c r="R14" i="36"/>
  <c r="G7" i="37" s="1"/>
  <c r="G64" i="37" s="1"/>
  <c r="R14" i="42"/>
  <c r="G7" i="43" s="1"/>
  <c r="G64" i="43" s="1"/>
  <c r="R13" i="44"/>
  <c r="G53" i="47"/>
  <c r="G15" i="51"/>
  <c r="G16" i="51" s="1"/>
  <c r="D60" i="51"/>
  <c r="G53" i="45"/>
  <c r="G15" i="37"/>
  <c r="G16" i="37" s="1"/>
  <c r="G53" i="37"/>
  <c r="R9" i="46"/>
  <c r="G30" i="47" s="1"/>
  <c r="R14" i="46"/>
  <c r="G7" i="47" s="1"/>
  <c r="G64" i="47" s="1"/>
  <c r="R9" i="48"/>
  <c r="G30" i="49" s="1"/>
  <c r="R20" i="50"/>
  <c r="G21" i="51" s="1"/>
  <c r="G40" i="51" s="1"/>
  <c r="R20" i="44"/>
  <c r="G21" i="45" s="1"/>
  <c r="G40" i="45" s="1"/>
  <c r="G26" i="41"/>
  <c r="R10" i="36"/>
  <c r="G31" i="37" s="1"/>
  <c r="R13" i="42"/>
  <c r="G14" i="43"/>
  <c r="L35" i="44"/>
  <c r="K35" i="44"/>
  <c r="R25" i="44"/>
  <c r="G32" i="45" s="1"/>
  <c r="F35" i="44"/>
  <c r="X14" i="46"/>
  <c r="F30" i="46"/>
  <c r="R25" i="48"/>
  <c r="G32" i="49" s="1"/>
  <c r="R21" i="48"/>
  <c r="G23" i="49" s="1"/>
  <c r="G55" i="49" s="1"/>
  <c r="R20" i="48"/>
  <c r="G21" i="49" s="1"/>
  <c r="G40" i="49" s="1"/>
  <c r="R21" i="50"/>
  <c r="G23" i="51" s="1"/>
  <c r="G55" i="51" s="1"/>
  <c r="R22" i="44"/>
  <c r="G24" i="45" s="1"/>
  <c r="R13" i="36"/>
  <c r="R12" i="40"/>
  <c r="G25" i="41" s="1"/>
  <c r="G14" i="41"/>
  <c r="R15" i="42"/>
  <c r="E71" i="43" s="1"/>
  <c r="E80" i="43" s="1"/>
  <c r="R13" i="48"/>
  <c r="R11" i="48"/>
  <c r="G29" i="49" s="1"/>
  <c r="G38" i="49" s="1"/>
  <c r="R15" i="48"/>
  <c r="E71" i="49" s="1"/>
  <c r="E80" i="49" s="1"/>
  <c r="G53" i="49"/>
  <c r="R9" i="44"/>
  <c r="G30" i="45" s="1"/>
  <c r="R12" i="46"/>
  <c r="G25" i="47" s="1"/>
  <c r="R14" i="50"/>
  <c r="G7" i="51" s="1"/>
  <c r="G64" i="51" s="1"/>
  <c r="R9" i="50"/>
  <c r="G30" i="51" s="1"/>
  <c r="X14" i="50"/>
  <c r="G12" i="29"/>
  <c r="G32" i="29"/>
  <c r="R9" i="28"/>
  <c r="G30" i="29" s="1"/>
  <c r="G69" i="31"/>
  <c r="G15" i="29"/>
  <c r="G16" i="29" s="1"/>
  <c r="G15" i="31"/>
  <c r="G16" i="31" s="1"/>
  <c r="R13" i="28"/>
  <c r="R11" i="32"/>
  <c r="G29" i="33" s="1"/>
  <c r="G38" i="33" s="1"/>
  <c r="R15" i="32"/>
  <c r="E71" i="33" s="1"/>
  <c r="E80" i="33" s="1"/>
  <c r="G12" i="33"/>
  <c r="G6" i="35"/>
  <c r="R13" i="30"/>
  <c r="R12" i="30"/>
  <c r="G25" i="31" s="1"/>
  <c r="R20" i="28"/>
  <c r="G21" i="29" s="1"/>
  <c r="G40" i="29" s="1"/>
  <c r="G53" i="31"/>
  <c r="R10" i="32"/>
  <c r="G31" i="33" s="1"/>
  <c r="G14" i="33"/>
  <c r="R20" i="34"/>
  <c r="G21" i="35" s="1"/>
  <c r="G40" i="35" s="1"/>
  <c r="R14" i="32"/>
  <c r="G7" i="33" s="1"/>
  <c r="G64" i="33" s="1"/>
  <c r="G53" i="35"/>
  <c r="G53" i="29"/>
  <c r="R12" i="28"/>
  <c r="G25" i="29" s="1"/>
  <c r="R20" i="32"/>
  <c r="G21" i="33" s="1"/>
  <c r="G40" i="33" s="1"/>
  <c r="G53" i="33"/>
  <c r="R14" i="34"/>
  <c r="G7" i="35" s="1"/>
  <c r="G64" i="35" s="1"/>
  <c r="X14" i="34"/>
  <c r="R11" i="24"/>
  <c r="G29" i="25" s="1"/>
  <c r="G38" i="25" s="1"/>
  <c r="R14" i="24"/>
  <c r="G7" i="25" s="1"/>
  <c r="G64" i="25" s="1"/>
  <c r="R15" i="24"/>
  <c r="E71" i="25" s="1"/>
  <c r="E80" i="25" s="1"/>
  <c r="G53" i="25"/>
  <c r="X14" i="24"/>
  <c r="F30" i="24"/>
  <c r="D41" i="24"/>
  <c r="G53" i="27"/>
  <c r="R21" i="24"/>
  <c r="G23" i="25" s="1"/>
  <c r="G55" i="25" s="1"/>
  <c r="R20" i="24"/>
  <c r="G21" i="25" s="1"/>
  <c r="G40" i="25" s="1"/>
  <c r="R22" i="24"/>
  <c r="G24" i="25" s="1"/>
  <c r="R25" i="24"/>
  <c r="G32" i="25" s="1"/>
  <c r="G32" i="27"/>
  <c r="R9" i="26"/>
  <c r="G30" i="27" s="1"/>
  <c r="G12" i="25"/>
  <c r="G12" i="27"/>
  <c r="R10" i="24"/>
  <c r="G31" i="25" s="1"/>
  <c r="G69" i="27"/>
  <c r="R11" i="26"/>
  <c r="G29" i="27" s="1"/>
  <c r="G38" i="27" s="1"/>
  <c r="R20" i="26"/>
  <c r="G21" i="27" s="1"/>
  <c r="G40" i="27" s="1"/>
  <c r="R21" i="26"/>
  <c r="G23" i="27" s="1"/>
  <c r="G55" i="27" s="1"/>
  <c r="G14" i="27"/>
  <c r="R10" i="26"/>
  <c r="G31" i="27" s="1"/>
  <c r="G12" i="23"/>
  <c r="G27" i="23"/>
  <c r="G26" i="23"/>
  <c r="G69" i="23"/>
  <c r="G53" i="23"/>
  <c r="R10" i="22"/>
  <c r="G31" i="23" s="1"/>
  <c r="D41" i="22"/>
  <c r="R21" i="22"/>
  <c r="G23" i="23" s="1"/>
  <c r="G55" i="23" s="1"/>
  <c r="R22" i="22"/>
  <c r="G24" i="23" s="1"/>
  <c r="R15" i="22"/>
  <c r="E71" i="23" s="1"/>
  <c r="E80" i="23" s="1"/>
  <c r="R11" i="22"/>
  <c r="G29" i="23" s="1"/>
  <c r="G38" i="23" s="1"/>
  <c r="R20" i="22"/>
  <c r="G21" i="23" s="1"/>
  <c r="G40" i="23" s="1"/>
  <c r="R25" i="22"/>
  <c r="G32" i="23" s="1"/>
  <c r="G6" i="21"/>
  <c r="J35" i="20"/>
  <c r="G35" i="21" s="1"/>
  <c r="J33" i="20"/>
  <c r="G10" i="21" s="1"/>
  <c r="J32" i="20"/>
  <c r="G9" i="21" s="1"/>
  <c r="J30" i="20"/>
  <c r="G14" i="21" s="1"/>
  <c r="G15" i="21" s="1"/>
  <c r="G16" i="21" s="1"/>
  <c r="F27" i="20"/>
  <c r="G22" i="21" s="1"/>
  <c r="J24" i="20"/>
  <c r="G11" i="21" s="1"/>
  <c r="G12" i="21" s="1"/>
  <c r="I22" i="20"/>
  <c r="Y14" i="20"/>
  <c r="L35" i="48" l="1"/>
  <c r="C35" i="48"/>
  <c r="R9" i="34"/>
  <c r="G30" i="35" s="1"/>
  <c r="K35" i="48"/>
  <c r="D35" i="48"/>
  <c r="G27" i="27"/>
  <c r="G47" i="27" s="1"/>
  <c r="C35" i="66"/>
  <c r="D35" i="66"/>
  <c r="F35" i="66"/>
  <c r="L35" i="66"/>
  <c r="R9" i="30"/>
  <c r="G30" i="31" s="1"/>
  <c r="L35" i="32"/>
  <c r="F35" i="32"/>
  <c r="F35" i="52"/>
  <c r="K35" i="52"/>
  <c r="K35" i="32"/>
  <c r="D35" i="32"/>
  <c r="L35" i="52"/>
  <c r="G46" i="23"/>
  <c r="L35" i="60"/>
  <c r="G26" i="51"/>
  <c r="G46" i="51" s="1"/>
  <c r="K35" i="26"/>
  <c r="F35" i="60"/>
  <c r="G46" i="69"/>
  <c r="F35" i="28"/>
  <c r="K35" i="28"/>
  <c r="L35" i="28"/>
  <c r="D35" i="28"/>
  <c r="D35" i="54"/>
  <c r="K35" i="36"/>
  <c r="K35" i="54"/>
  <c r="G47" i="23"/>
  <c r="F35" i="54"/>
  <c r="G47" i="25"/>
  <c r="K35" i="30"/>
  <c r="K35" i="38"/>
  <c r="D35" i="22"/>
  <c r="C35" i="30"/>
  <c r="C35" i="54"/>
  <c r="F35" i="38"/>
  <c r="D35" i="26"/>
  <c r="C35" i="38"/>
  <c r="F35" i="26"/>
  <c r="D35" i="38"/>
  <c r="D35" i="30"/>
  <c r="G26" i="39"/>
  <c r="G46" i="39" s="1"/>
  <c r="G47" i="69"/>
  <c r="C35" i="26"/>
  <c r="F35" i="30"/>
  <c r="R9" i="70"/>
  <c r="G30" i="71" s="1"/>
  <c r="G26" i="25"/>
  <c r="G46" i="25" s="1"/>
  <c r="L35" i="40"/>
  <c r="G32" i="63"/>
  <c r="L35" i="22"/>
  <c r="K35" i="22"/>
  <c r="L35" i="36"/>
  <c r="F35" i="36"/>
  <c r="F35" i="22"/>
  <c r="G39" i="31"/>
  <c r="R30" i="30" s="1"/>
  <c r="K35" i="40"/>
  <c r="D35" i="36"/>
  <c r="G46" i="57"/>
  <c r="G46" i="33"/>
  <c r="G47" i="53"/>
  <c r="G53" i="21"/>
  <c r="F35" i="40"/>
  <c r="G57" i="55"/>
  <c r="F68" i="55" s="1"/>
  <c r="G46" i="67"/>
  <c r="G57" i="69"/>
  <c r="F68" i="69" s="1"/>
  <c r="G46" i="47"/>
  <c r="G26" i="53"/>
  <c r="G46" i="53" s="1"/>
  <c r="D35" i="40"/>
  <c r="G46" i="41"/>
  <c r="G47" i="47"/>
  <c r="G39" i="53"/>
  <c r="R30" i="52" s="1"/>
  <c r="C35" i="52"/>
  <c r="C35" i="42"/>
  <c r="G27" i="57"/>
  <c r="G47" i="57" s="1"/>
  <c r="G47" i="67"/>
  <c r="D35" i="60"/>
  <c r="K35" i="60"/>
  <c r="G39" i="55"/>
  <c r="R30" i="54" s="1"/>
  <c r="G47" i="55"/>
  <c r="G27" i="33"/>
  <c r="G47" i="33" s="1"/>
  <c r="G54" i="67"/>
  <c r="G57" i="67" s="1"/>
  <c r="F68" i="67" s="1"/>
  <c r="G39" i="67"/>
  <c r="R30" i="66" s="1"/>
  <c r="R9" i="32"/>
  <c r="G30" i="33" s="1"/>
  <c r="G46" i="55"/>
  <c r="K35" i="42"/>
  <c r="G39" i="47"/>
  <c r="R30" i="46" s="1"/>
  <c r="G57" i="63"/>
  <c r="F68" i="63" s="1"/>
  <c r="R9" i="66"/>
  <c r="G30" i="67" s="1"/>
  <c r="F35" i="42"/>
  <c r="G47" i="35"/>
  <c r="G47" i="39"/>
  <c r="G39" i="63"/>
  <c r="R30" i="62" s="1"/>
  <c r="G55" i="63"/>
  <c r="G46" i="35"/>
  <c r="G57" i="31"/>
  <c r="F68" i="31" s="1"/>
  <c r="L35" i="42"/>
  <c r="G39" i="69"/>
  <c r="R30" i="68" s="1"/>
  <c r="G47" i="41"/>
  <c r="G32" i="69"/>
  <c r="R9" i="68"/>
  <c r="G30" i="69" s="1"/>
  <c r="G39" i="61"/>
  <c r="G54" i="61"/>
  <c r="G57" i="61" s="1"/>
  <c r="F68" i="61" s="1"/>
  <c r="G15" i="61"/>
  <c r="G16" i="61" s="1"/>
  <c r="L35" i="62"/>
  <c r="K35" i="62"/>
  <c r="D35" i="62"/>
  <c r="F35" i="62"/>
  <c r="C35" i="62"/>
  <c r="G27" i="71"/>
  <c r="G47" i="71" s="1"/>
  <c r="G26" i="71"/>
  <c r="G46" i="71" s="1"/>
  <c r="G69" i="69"/>
  <c r="G69" i="65"/>
  <c r="G55" i="53"/>
  <c r="G27" i="61"/>
  <c r="G47" i="61" s="1"/>
  <c r="G26" i="61"/>
  <c r="G46" i="61" s="1"/>
  <c r="G78" i="57"/>
  <c r="F35" i="68"/>
  <c r="L35" i="68"/>
  <c r="K35" i="68"/>
  <c r="C35" i="68"/>
  <c r="D35" i="68"/>
  <c r="R9" i="64"/>
  <c r="G30" i="65" s="1"/>
  <c r="G32" i="65"/>
  <c r="G57" i="53"/>
  <c r="F68" i="53" s="1"/>
  <c r="G26" i="65"/>
  <c r="G46" i="65" s="1"/>
  <c r="G27" i="65"/>
  <c r="G47" i="65" s="1"/>
  <c r="K35" i="70"/>
  <c r="L35" i="70"/>
  <c r="F35" i="70"/>
  <c r="C35" i="70"/>
  <c r="D35" i="70"/>
  <c r="G69" i="55"/>
  <c r="G26" i="59"/>
  <c r="G46" i="59" s="1"/>
  <c r="G27" i="59"/>
  <c r="G47" i="59" s="1"/>
  <c r="G78" i="67"/>
  <c r="G54" i="57"/>
  <c r="G57" i="57" s="1"/>
  <c r="F68" i="57" s="1"/>
  <c r="G39" i="57"/>
  <c r="G43" i="57" s="1"/>
  <c r="G44" i="57" s="1"/>
  <c r="G15" i="59"/>
  <c r="G16" i="59" s="1"/>
  <c r="G39" i="65"/>
  <c r="G43" i="65" s="1"/>
  <c r="G44" i="65" s="1"/>
  <c r="G54" i="65"/>
  <c r="G57" i="65" s="1"/>
  <c r="F68" i="65" s="1"/>
  <c r="G78" i="59"/>
  <c r="G78" i="71"/>
  <c r="G39" i="59"/>
  <c r="R30" i="58" s="1"/>
  <c r="G54" i="59"/>
  <c r="G57" i="59" s="1"/>
  <c r="F68" i="59" s="1"/>
  <c r="G39" i="71"/>
  <c r="G54" i="71"/>
  <c r="G57" i="71" s="1"/>
  <c r="F68" i="71" s="1"/>
  <c r="L35" i="56"/>
  <c r="F35" i="56"/>
  <c r="K35" i="56"/>
  <c r="D35" i="56"/>
  <c r="C35" i="56"/>
  <c r="G32" i="61"/>
  <c r="R9" i="60"/>
  <c r="G30" i="61" s="1"/>
  <c r="G78" i="53"/>
  <c r="G26" i="49"/>
  <c r="G46" i="49" s="1"/>
  <c r="G27" i="49"/>
  <c r="G47" i="49" s="1"/>
  <c r="G27" i="37"/>
  <c r="G47" i="37" s="1"/>
  <c r="G26" i="37"/>
  <c r="G46" i="37" s="1"/>
  <c r="G15" i="43"/>
  <c r="G16" i="43" s="1"/>
  <c r="G54" i="37"/>
  <c r="G57" i="37" s="1"/>
  <c r="F68" i="37" s="1"/>
  <c r="G39" i="37"/>
  <c r="G78" i="41"/>
  <c r="G39" i="43"/>
  <c r="G54" i="43"/>
  <c r="G57" i="43" s="1"/>
  <c r="F68" i="43" s="1"/>
  <c r="L35" i="50"/>
  <c r="K35" i="50"/>
  <c r="F35" i="50"/>
  <c r="D35" i="50"/>
  <c r="C35" i="50"/>
  <c r="G39" i="49"/>
  <c r="R30" i="48" s="1"/>
  <c r="G54" i="49"/>
  <c r="G57" i="49" s="1"/>
  <c r="F68" i="49" s="1"/>
  <c r="G69" i="47"/>
  <c r="G54" i="51"/>
  <c r="G57" i="51" s="1"/>
  <c r="F68" i="51" s="1"/>
  <c r="G39" i="51"/>
  <c r="G69" i="37"/>
  <c r="G15" i="49"/>
  <c r="G16" i="49" s="1"/>
  <c r="G54" i="41"/>
  <c r="G57" i="41" s="1"/>
  <c r="F68" i="41" s="1"/>
  <c r="G39" i="41"/>
  <c r="R30" i="40" s="1"/>
  <c r="R9" i="36"/>
  <c r="G30" i="37" s="1"/>
  <c r="G32" i="37"/>
  <c r="G78" i="45"/>
  <c r="G69" i="43"/>
  <c r="K35" i="46"/>
  <c r="F35" i="46"/>
  <c r="D35" i="46"/>
  <c r="C35" i="46"/>
  <c r="L35" i="46"/>
  <c r="R9" i="38"/>
  <c r="G30" i="39" s="1"/>
  <c r="G32" i="39"/>
  <c r="G69" i="51"/>
  <c r="G57" i="47"/>
  <c r="F68" i="47" s="1"/>
  <c r="G78" i="49"/>
  <c r="G32" i="43"/>
  <c r="R9" i="42"/>
  <c r="G30" i="43" s="1"/>
  <c r="G54" i="39"/>
  <c r="G57" i="39" s="1"/>
  <c r="F68" i="39" s="1"/>
  <c r="G39" i="39"/>
  <c r="G27" i="43"/>
  <c r="G47" i="43" s="1"/>
  <c r="G26" i="43"/>
  <c r="G46" i="43" s="1"/>
  <c r="R9" i="40"/>
  <c r="G30" i="41" s="1"/>
  <c r="G32" i="41"/>
  <c r="G78" i="39"/>
  <c r="G15" i="41"/>
  <c r="G16" i="41" s="1"/>
  <c r="G54" i="45"/>
  <c r="G57" i="45" s="1"/>
  <c r="F68" i="45" s="1"/>
  <c r="G39" i="45"/>
  <c r="G43" i="45" s="1"/>
  <c r="G44" i="45" s="1"/>
  <c r="G26" i="45"/>
  <c r="G46" i="45" s="1"/>
  <c r="G27" i="45"/>
  <c r="G47" i="45" s="1"/>
  <c r="G27" i="31"/>
  <c r="G47" i="31" s="1"/>
  <c r="G26" i="31"/>
  <c r="G46" i="31" s="1"/>
  <c r="G78" i="31"/>
  <c r="G15" i="33"/>
  <c r="G16" i="33" s="1"/>
  <c r="G69" i="35"/>
  <c r="G54" i="35"/>
  <c r="G57" i="35" s="1"/>
  <c r="F68" i="35" s="1"/>
  <c r="G39" i="35"/>
  <c r="G27" i="29"/>
  <c r="G47" i="29" s="1"/>
  <c r="G26" i="29"/>
  <c r="G46" i="29" s="1"/>
  <c r="G54" i="33"/>
  <c r="G57" i="33" s="1"/>
  <c r="F68" i="33" s="1"/>
  <c r="G39" i="33"/>
  <c r="R30" i="32" s="1"/>
  <c r="G78" i="29"/>
  <c r="L35" i="34"/>
  <c r="K35" i="34"/>
  <c r="F35" i="34"/>
  <c r="D35" i="34"/>
  <c r="C35" i="34"/>
  <c r="G69" i="33"/>
  <c r="G54" i="29"/>
  <c r="G57" i="29" s="1"/>
  <c r="F68" i="29" s="1"/>
  <c r="G39" i="29"/>
  <c r="G15" i="27"/>
  <c r="G16" i="27" s="1"/>
  <c r="G78" i="27"/>
  <c r="G46" i="27"/>
  <c r="G69" i="25"/>
  <c r="R9" i="24"/>
  <c r="G30" i="25" s="1"/>
  <c r="G54" i="27"/>
  <c r="G57" i="27" s="1"/>
  <c r="F68" i="27" s="1"/>
  <c r="G39" i="27"/>
  <c r="R30" i="26" s="1"/>
  <c r="G39" i="25"/>
  <c r="G54" i="25"/>
  <c r="G57" i="25" s="1"/>
  <c r="F68" i="25" s="1"/>
  <c r="C35" i="24"/>
  <c r="K35" i="24"/>
  <c r="F35" i="24"/>
  <c r="D35" i="24"/>
  <c r="L35" i="24"/>
  <c r="G78" i="23"/>
  <c r="G54" i="23"/>
  <c r="G57" i="23" s="1"/>
  <c r="F68" i="23" s="1"/>
  <c r="G39" i="23"/>
  <c r="R9" i="22"/>
  <c r="G30" i="23" s="1"/>
  <c r="D41" i="20"/>
  <c r="F30" i="20"/>
  <c r="X23" i="20"/>
  <c r="X10" i="20" s="1"/>
  <c r="X11" i="20" s="1"/>
  <c r="V23" i="20"/>
  <c r="R22" i="20" s="1"/>
  <c r="G24" i="21" s="1"/>
  <c r="X14" i="20"/>
  <c r="L35" i="20" s="1"/>
  <c r="R13" i="20"/>
  <c r="R12" i="20"/>
  <c r="G25" i="21" s="1"/>
  <c r="R11" i="20"/>
  <c r="G29" i="21" s="1"/>
  <c r="G38" i="21" s="1"/>
  <c r="G43" i="69" l="1"/>
  <c r="G44" i="69" s="1"/>
  <c r="G51" i="69" s="1"/>
  <c r="G43" i="53"/>
  <c r="G44" i="53" s="1"/>
  <c r="G51" i="53" s="1"/>
  <c r="G43" i="31"/>
  <c r="G43" i="55"/>
  <c r="G44" i="55" s="1"/>
  <c r="G51" i="55" s="1"/>
  <c r="G43" i="49"/>
  <c r="G43" i="67"/>
  <c r="G44" i="67" s="1"/>
  <c r="G51" i="67" s="1"/>
  <c r="G43" i="63"/>
  <c r="G44" i="63" s="1"/>
  <c r="G51" i="63" s="1"/>
  <c r="G43" i="47"/>
  <c r="G44" i="47" s="1"/>
  <c r="G51" i="47" s="1"/>
  <c r="G26" i="21"/>
  <c r="G46" i="21" s="1"/>
  <c r="G27" i="21"/>
  <c r="G47" i="21" s="1"/>
  <c r="R30" i="60"/>
  <c r="G43" i="61"/>
  <c r="G43" i="59"/>
  <c r="G78" i="55"/>
  <c r="R30" i="64"/>
  <c r="G51" i="57"/>
  <c r="G51" i="65"/>
  <c r="G78" i="65"/>
  <c r="R30" i="70"/>
  <c r="R30" i="56"/>
  <c r="G43" i="71"/>
  <c r="G44" i="71" s="1"/>
  <c r="G78" i="69"/>
  <c r="G51" i="45"/>
  <c r="G78" i="43"/>
  <c r="R30" i="50"/>
  <c r="G43" i="51"/>
  <c r="G44" i="51" s="1"/>
  <c r="R30" i="36"/>
  <c r="G78" i="51"/>
  <c r="R30" i="42"/>
  <c r="G43" i="43"/>
  <c r="G44" i="43" s="1"/>
  <c r="R30" i="44"/>
  <c r="G43" i="41"/>
  <c r="G44" i="41" s="1"/>
  <c r="G78" i="47"/>
  <c r="R30" i="38"/>
  <c r="G43" i="39"/>
  <c r="G44" i="39" s="1"/>
  <c r="G78" i="37"/>
  <c r="G43" i="37"/>
  <c r="G44" i="37" s="1"/>
  <c r="R30" i="28"/>
  <c r="G43" i="33"/>
  <c r="G44" i="33" s="1"/>
  <c r="G78" i="35"/>
  <c r="R30" i="34"/>
  <c r="G43" i="35"/>
  <c r="G44" i="35" s="1"/>
  <c r="G78" i="33"/>
  <c r="G43" i="29"/>
  <c r="G44" i="29" s="1"/>
  <c r="R30" i="24"/>
  <c r="G43" i="25"/>
  <c r="G44" i="25" s="1"/>
  <c r="G78" i="25"/>
  <c r="G43" i="27"/>
  <c r="G44" i="27" s="1"/>
  <c r="R30" i="22"/>
  <c r="G43" i="23"/>
  <c r="G44" i="23" s="1"/>
  <c r="C35" i="20"/>
  <c r="D35" i="20"/>
  <c r="F35" i="20"/>
  <c r="K35" i="20"/>
  <c r="R10" i="20"/>
  <c r="G31" i="21" s="1"/>
  <c r="R15" i="20"/>
  <c r="E71" i="21" s="1"/>
  <c r="E80" i="21" s="1"/>
  <c r="R25" i="20"/>
  <c r="G32" i="21" s="1"/>
  <c r="R14" i="20"/>
  <c r="G7" i="21" s="1"/>
  <c r="G64" i="21" s="1"/>
  <c r="G69" i="21" s="1"/>
  <c r="G78" i="21" s="1"/>
  <c r="R20" i="20"/>
  <c r="G21" i="21" s="1"/>
  <c r="G40" i="21" s="1"/>
  <c r="R21" i="20"/>
  <c r="G23" i="21" s="1"/>
  <c r="G55" i="21" s="1"/>
  <c r="H22" i="2"/>
  <c r="H40" i="2"/>
  <c r="H39" i="2"/>
  <c r="H21" i="2" s="1"/>
  <c r="H37" i="2"/>
  <c r="H36" i="2"/>
  <c r="H25" i="2"/>
  <c r="H26" i="2" s="1"/>
  <c r="H27" i="2" s="1"/>
  <c r="H28" i="2" s="1"/>
  <c r="H29" i="2" s="1"/>
  <c r="H30" i="2" s="1"/>
  <c r="H31" i="2" s="1"/>
  <c r="H32" i="2" s="1"/>
  <c r="H33" i="2" s="1"/>
  <c r="H34" i="2" l="1"/>
  <c r="H35" i="2" s="1"/>
  <c r="H20" i="2"/>
  <c r="G44" i="31"/>
  <c r="G44" i="49"/>
  <c r="R9" i="20"/>
  <c r="G30" i="21" s="1"/>
  <c r="G54" i="21"/>
  <c r="G57" i="21" s="1"/>
  <c r="F68" i="21" s="1"/>
  <c r="G39" i="21"/>
  <c r="Y21" i="11" s="1"/>
  <c r="G44" i="61"/>
  <c r="G44" i="59"/>
  <c r="G51" i="71"/>
  <c r="G51" i="51"/>
  <c r="G51" i="37"/>
  <c r="G51" i="41"/>
  <c r="G51" i="39"/>
  <c r="G51" i="43"/>
  <c r="G51" i="29"/>
  <c r="G51" i="35"/>
  <c r="G51" i="33"/>
  <c r="G51" i="25"/>
  <c r="G51" i="27"/>
  <c r="G51" i="23"/>
  <c r="D46" i="2"/>
  <c r="D47" i="2" s="1"/>
  <c r="D48" i="2" s="1"/>
  <c r="D49" i="2" s="1"/>
  <c r="D39" i="2"/>
  <c r="D24" i="2"/>
  <c r="D25" i="2" s="1"/>
  <c r="D26" i="2" s="1"/>
  <c r="D27" i="2" s="1"/>
  <c r="D28" i="2" s="1"/>
  <c r="D29" i="2" s="1"/>
  <c r="D30" i="2" s="1"/>
  <c r="D31" i="2" s="1"/>
  <c r="D32" i="2" s="1"/>
  <c r="D33" i="2" s="1"/>
  <c r="D34" i="2" s="1"/>
  <c r="D35" i="2" s="1"/>
  <c r="C24" i="2"/>
  <c r="X10" i="22" s="1"/>
  <c r="X11" i="22" s="1"/>
  <c r="C25" i="2" l="1"/>
  <c r="G51" i="31"/>
  <c r="G51" i="49"/>
  <c r="R30" i="20"/>
  <c r="G43" i="21"/>
  <c r="G44" i="21" s="1"/>
  <c r="G51" i="21" s="1"/>
  <c r="G51" i="61"/>
  <c r="G51" i="59"/>
  <c r="AI14" i="11"/>
  <c r="X10" i="24" l="1"/>
  <c r="X11" i="24" s="1"/>
  <c r="C26" i="2"/>
  <c r="F49" i="11"/>
  <c r="D21" i="74"/>
  <c r="D49" i="11"/>
  <c r="F21" i="74"/>
  <c r="G21" i="74"/>
  <c r="P49" i="11"/>
  <c r="C49" i="11"/>
  <c r="C27" i="2" l="1"/>
  <c r="X10" i="26"/>
  <c r="X11" i="26" s="1"/>
  <c r="C28" i="2" l="1"/>
  <c r="X10" i="28"/>
  <c r="X11" i="28" s="1"/>
  <c r="F44" i="11"/>
  <c r="C29" i="2" l="1"/>
  <c r="C30" i="2" s="1"/>
  <c r="X10" i="30"/>
  <c r="X11" i="30" s="1"/>
  <c r="G11" i="9"/>
  <c r="G10" i="9"/>
  <c r="G9" i="9"/>
  <c r="G12" i="7"/>
  <c r="C31" i="2" l="1"/>
  <c r="X10" i="32"/>
  <c r="X11" i="32" s="1"/>
  <c r="AG37" i="11"/>
  <c r="C32" i="2" l="1"/>
  <c r="X10" i="34"/>
  <c r="X11" i="34" s="1"/>
  <c r="Y14" i="11"/>
  <c r="Y11" i="11"/>
  <c r="Y10" i="11"/>
  <c r="C33" i="2" l="1"/>
  <c r="X10" i="36"/>
  <c r="X11" i="36" s="1"/>
  <c r="O49" i="11"/>
  <c r="C34" i="2" l="1"/>
  <c r="X10" i="38"/>
  <c r="X11" i="38" s="1"/>
  <c r="G35" i="9"/>
  <c r="C35" i="2" l="1"/>
  <c r="X10" i="42" s="1"/>
  <c r="X11" i="42" s="1"/>
  <c r="X10" i="40"/>
  <c r="X11" i="40" s="1"/>
  <c r="G22" i="9"/>
  <c r="G18" i="7"/>
  <c r="G14" i="9"/>
  <c r="G12" i="9"/>
  <c r="C6" i="9"/>
  <c r="G29" i="9" l="1"/>
  <c r="G32" i="9"/>
  <c r="G31" i="9"/>
  <c r="G7" i="9"/>
  <c r="G23" i="9"/>
  <c r="G24" i="9"/>
  <c r="G25" i="9"/>
  <c r="G27" i="9"/>
  <c r="G26" i="9"/>
  <c r="G30" i="9" l="1"/>
  <c r="G18" i="9" l="1"/>
  <c r="G7" i="2" l="1"/>
  <c r="J22" i="2" l="1"/>
  <c r="E22" i="2"/>
  <c r="E21" i="2"/>
  <c r="J21" i="2"/>
  <c r="G20" i="2"/>
  <c r="J20" i="2"/>
  <c r="C11" i="2" l="1"/>
  <c r="C10" i="2"/>
  <c r="Y9" i="11" s="1"/>
  <c r="F8" i="2"/>
  <c r="C8" i="2"/>
  <c r="C7" i="2"/>
  <c r="G21" i="9" l="1"/>
  <c r="F9" i="2"/>
  <c r="G8" i="2"/>
  <c r="R27" i="72" l="1"/>
  <c r="R23" i="22"/>
  <c r="R23" i="44"/>
  <c r="R23" i="26"/>
  <c r="R23" i="30"/>
  <c r="R23" i="48"/>
  <c r="R23" i="54"/>
  <c r="R23" i="60"/>
  <c r="R23" i="62"/>
  <c r="R23" i="40"/>
  <c r="R23" i="24"/>
  <c r="R23" i="34"/>
  <c r="R23" i="50"/>
  <c r="R23" i="58"/>
  <c r="R23" i="46"/>
  <c r="R23" i="32"/>
  <c r="R23" i="52"/>
  <c r="R23" i="70"/>
  <c r="R23" i="28"/>
  <c r="R23" i="64"/>
  <c r="R23" i="56"/>
  <c r="R23" i="66"/>
  <c r="R23" i="68"/>
  <c r="R23" i="42"/>
  <c r="R23" i="36"/>
  <c r="R23" i="38"/>
  <c r="R23" i="20"/>
  <c r="G9" i="2"/>
  <c r="F10" i="2"/>
  <c r="R28" i="72" l="1"/>
  <c r="G34" i="7" s="1"/>
  <c r="G41" i="7" s="1"/>
  <c r="R24" i="62"/>
  <c r="G34" i="63" s="1"/>
  <c r="G41" i="63" s="1"/>
  <c r="R24" i="66"/>
  <c r="G34" i="67" s="1"/>
  <c r="G41" i="67" s="1"/>
  <c r="R24" i="52"/>
  <c r="G34" i="53" s="1"/>
  <c r="G41" i="53" s="1"/>
  <c r="R24" i="54"/>
  <c r="G34" i="55" s="1"/>
  <c r="G41" i="55" s="1"/>
  <c r="R24" i="58"/>
  <c r="G34" i="59" s="1"/>
  <c r="G41" i="59" s="1"/>
  <c r="R24" i="56"/>
  <c r="G34" i="57" s="1"/>
  <c r="G41" i="57" s="1"/>
  <c r="R24" i="70"/>
  <c r="G34" i="71" s="1"/>
  <c r="G41" i="71" s="1"/>
  <c r="R24" i="36"/>
  <c r="G34" i="37" s="1"/>
  <c r="G41" i="37" s="1"/>
  <c r="R24" i="38"/>
  <c r="G34" i="39" s="1"/>
  <c r="G41" i="39" s="1"/>
  <c r="R24" i="40"/>
  <c r="G34" i="41" s="1"/>
  <c r="G41" i="41" s="1"/>
  <c r="R24" i="28"/>
  <c r="G34" i="29" s="1"/>
  <c r="G41" i="29" s="1"/>
  <c r="R24" i="32"/>
  <c r="G34" i="33" s="1"/>
  <c r="G41" i="33" s="1"/>
  <c r="R24" i="24"/>
  <c r="G34" i="25" s="1"/>
  <c r="G41" i="25" s="1"/>
  <c r="R24" i="50"/>
  <c r="G34" i="51" s="1"/>
  <c r="G41" i="51" s="1"/>
  <c r="R24" i="30"/>
  <c r="G34" i="31" s="1"/>
  <c r="G41" i="31" s="1"/>
  <c r="R24" i="46"/>
  <c r="G34" i="47" s="1"/>
  <c r="G41" i="47" s="1"/>
  <c r="R24" i="34"/>
  <c r="G34" i="35" s="1"/>
  <c r="G41" i="35" s="1"/>
  <c r="R24" i="60"/>
  <c r="G34" i="61" s="1"/>
  <c r="G41" i="61" s="1"/>
  <c r="R24" i="64"/>
  <c r="G34" i="65" s="1"/>
  <c r="G41" i="65" s="1"/>
  <c r="R24" i="68"/>
  <c r="G34" i="69" s="1"/>
  <c r="G41" i="69" s="1"/>
  <c r="R24" i="42"/>
  <c r="G34" i="43" s="1"/>
  <c r="G41" i="43" s="1"/>
  <c r="R24" i="44"/>
  <c r="G34" i="45" s="1"/>
  <c r="G41" i="45" s="1"/>
  <c r="R24" i="48"/>
  <c r="G34" i="49" s="1"/>
  <c r="G41" i="49" s="1"/>
  <c r="R24" i="26"/>
  <c r="G34" i="27" s="1"/>
  <c r="G41" i="27" s="1"/>
  <c r="R24" i="22"/>
  <c r="G34" i="23" s="1"/>
  <c r="G41" i="23" s="1"/>
  <c r="R24" i="20"/>
  <c r="G34" i="21" s="1"/>
  <c r="G41" i="21" s="1"/>
  <c r="G10" i="2"/>
  <c r="Y13" i="11" s="1"/>
  <c r="Y12" i="11"/>
  <c r="F11" i="2"/>
  <c r="G11" i="2" s="1"/>
  <c r="D60" i="9"/>
  <c r="G64" i="9"/>
  <c r="G40" i="9"/>
  <c r="D60" i="7"/>
  <c r="K21" i="2"/>
  <c r="K22" i="2"/>
  <c r="K20" i="2"/>
  <c r="G15" i="7"/>
  <c r="G64" i="7"/>
  <c r="R31" i="48" l="1"/>
  <c r="G45" i="49"/>
  <c r="G50" i="49" s="1"/>
  <c r="G63" i="49" s="1"/>
  <c r="R31" i="64"/>
  <c r="G45" i="65"/>
  <c r="G50" i="65" s="1"/>
  <c r="G63" i="65" s="1"/>
  <c r="R31" i="30"/>
  <c r="G45" i="31"/>
  <c r="G50" i="31" s="1"/>
  <c r="G63" i="31" s="1"/>
  <c r="R31" i="24"/>
  <c r="G45" i="25"/>
  <c r="G50" i="25" s="1"/>
  <c r="G63" i="25" s="1"/>
  <c r="R31" i="28"/>
  <c r="G45" i="29"/>
  <c r="G50" i="29" s="1"/>
  <c r="G63" i="29" s="1"/>
  <c r="R31" i="38"/>
  <c r="G45" i="39"/>
  <c r="G50" i="39" s="1"/>
  <c r="G63" i="39" s="1"/>
  <c r="R31" i="70"/>
  <c r="G45" i="71"/>
  <c r="G50" i="71" s="1"/>
  <c r="G63" i="71" s="1"/>
  <c r="R31" i="58"/>
  <c r="G45" i="59"/>
  <c r="G50" i="59" s="1"/>
  <c r="G63" i="59" s="1"/>
  <c r="R31" i="52"/>
  <c r="G45" i="53"/>
  <c r="G50" i="53" s="1"/>
  <c r="G63" i="53" s="1"/>
  <c r="R31" i="62"/>
  <c r="G45" i="63"/>
  <c r="G50" i="63" s="1"/>
  <c r="G63" i="63" s="1"/>
  <c r="R31" i="22"/>
  <c r="G45" i="23"/>
  <c r="G50" i="23" s="1"/>
  <c r="G63" i="23" s="1"/>
  <c r="R31" i="42"/>
  <c r="G45" i="43"/>
  <c r="G50" i="43" s="1"/>
  <c r="G63" i="43" s="1"/>
  <c r="R31" i="34"/>
  <c r="G45" i="35"/>
  <c r="G50" i="35" s="1"/>
  <c r="G63" i="35" s="1"/>
  <c r="R31" i="20"/>
  <c r="G45" i="21"/>
  <c r="G50" i="21" s="1"/>
  <c r="G63" i="21" s="1"/>
  <c r="R31" i="26"/>
  <c r="G45" i="27"/>
  <c r="G50" i="27" s="1"/>
  <c r="G63" i="27" s="1"/>
  <c r="R31" i="44"/>
  <c r="G45" i="45"/>
  <c r="G50" i="45" s="1"/>
  <c r="G63" i="45" s="1"/>
  <c r="R31" i="68"/>
  <c r="G45" i="69"/>
  <c r="G50" i="69" s="1"/>
  <c r="G63" i="69" s="1"/>
  <c r="R31" i="60"/>
  <c r="G45" i="61"/>
  <c r="G50" i="61" s="1"/>
  <c r="G63" i="61" s="1"/>
  <c r="R31" i="46"/>
  <c r="G45" i="47"/>
  <c r="G50" i="47" s="1"/>
  <c r="G63" i="47" s="1"/>
  <c r="R31" i="50"/>
  <c r="G45" i="51"/>
  <c r="G50" i="51" s="1"/>
  <c r="G63" i="51" s="1"/>
  <c r="R31" i="32"/>
  <c r="G45" i="33"/>
  <c r="G50" i="33" s="1"/>
  <c r="G63" i="33" s="1"/>
  <c r="R31" i="40"/>
  <c r="G45" i="41"/>
  <c r="G50" i="41" s="1"/>
  <c r="G63" i="41" s="1"/>
  <c r="R31" i="36"/>
  <c r="G45" i="37"/>
  <c r="G50" i="37" s="1"/>
  <c r="G63" i="37" s="1"/>
  <c r="R31" i="56"/>
  <c r="G45" i="57"/>
  <c r="G50" i="57" s="1"/>
  <c r="G63" i="57" s="1"/>
  <c r="R31" i="54"/>
  <c r="G45" i="55"/>
  <c r="G50" i="55" s="1"/>
  <c r="G63" i="55" s="1"/>
  <c r="R31" i="66"/>
  <c r="G45" i="67"/>
  <c r="G50" i="67" s="1"/>
  <c r="G63" i="67" s="1"/>
  <c r="G34" i="9"/>
  <c r="G41" i="9" s="1"/>
  <c r="E80" i="7"/>
  <c r="E71" i="9"/>
  <c r="E80" i="9" s="1"/>
  <c r="R34" i="72"/>
  <c r="G69" i="9"/>
  <c r="G39" i="9"/>
  <c r="G6" i="9"/>
  <c r="G15" i="9"/>
  <c r="G6" i="7"/>
  <c r="G16" i="7"/>
  <c r="G69" i="7"/>
  <c r="G68" i="67" l="1"/>
  <c r="F69" i="67" s="1"/>
  <c r="E70" i="67" s="1"/>
  <c r="F64" i="67"/>
  <c r="G77" i="67"/>
  <c r="G77" i="55"/>
  <c r="F64" i="55"/>
  <c r="G68" i="55"/>
  <c r="F69" i="55" s="1"/>
  <c r="E70" i="55" s="1"/>
  <c r="G68" i="57"/>
  <c r="F69" i="57" s="1"/>
  <c r="E70" i="57" s="1"/>
  <c r="G77" i="57"/>
  <c r="F64" i="57"/>
  <c r="F64" i="37"/>
  <c r="G77" i="37"/>
  <c r="G68" i="37"/>
  <c r="F69" i="37" s="1"/>
  <c r="E70" i="37" s="1"/>
  <c r="G77" i="41"/>
  <c r="G68" i="41"/>
  <c r="F69" i="41" s="1"/>
  <c r="E70" i="41" s="1"/>
  <c r="F64" i="41"/>
  <c r="G77" i="33"/>
  <c r="G68" i="33"/>
  <c r="F69" i="33" s="1"/>
  <c r="E70" i="33" s="1"/>
  <c r="F64" i="33"/>
  <c r="G77" i="51"/>
  <c r="G68" i="51"/>
  <c r="F69" i="51" s="1"/>
  <c r="E70" i="51" s="1"/>
  <c r="F64" i="51"/>
  <c r="G68" i="47"/>
  <c r="F69" i="47" s="1"/>
  <c r="E70" i="47" s="1"/>
  <c r="G77" i="47"/>
  <c r="F64" i="47"/>
  <c r="F64" i="61"/>
  <c r="G77" i="61"/>
  <c r="G68" i="61"/>
  <c r="F69" i="61" s="1"/>
  <c r="E70" i="61" s="1"/>
  <c r="G77" i="69"/>
  <c r="F64" i="69"/>
  <c r="G68" i="69"/>
  <c r="F69" i="69" s="1"/>
  <c r="E70" i="69" s="1"/>
  <c r="G77" i="45"/>
  <c r="F64" i="45"/>
  <c r="G68" i="45"/>
  <c r="F69" i="45" s="1"/>
  <c r="E70" i="45" s="1"/>
  <c r="G77" i="27"/>
  <c r="G68" i="27"/>
  <c r="F69" i="27" s="1"/>
  <c r="E70" i="27" s="1"/>
  <c r="F64" i="27"/>
  <c r="G68" i="21"/>
  <c r="F69" i="21" s="1"/>
  <c r="E70" i="21" s="1"/>
  <c r="F64" i="21"/>
  <c r="G77" i="21"/>
  <c r="G77" i="35"/>
  <c r="G68" i="35"/>
  <c r="F69" i="35" s="1"/>
  <c r="E70" i="35" s="1"/>
  <c r="F64" i="35"/>
  <c r="G77" i="43"/>
  <c r="G68" i="43"/>
  <c r="F69" i="43" s="1"/>
  <c r="E70" i="43" s="1"/>
  <c r="F64" i="43"/>
  <c r="G77" i="23"/>
  <c r="F64" i="23"/>
  <c r="G68" i="23"/>
  <c r="F69" i="23" s="1"/>
  <c r="E70" i="23" s="1"/>
  <c r="F64" i="63"/>
  <c r="G77" i="63"/>
  <c r="G68" i="63"/>
  <c r="F69" i="63" s="1"/>
  <c r="E70" i="63" s="1"/>
  <c r="G68" i="53"/>
  <c r="F69" i="53" s="1"/>
  <c r="E70" i="53" s="1"/>
  <c r="G77" i="53"/>
  <c r="F64" i="53"/>
  <c r="G77" i="59"/>
  <c r="G68" i="59"/>
  <c r="F69" i="59" s="1"/>
  <c r="E70" i="59" s="1"/>
  <c r="F64" i="59"/>
  <c r="G77" i="71"/>
  <c r="F64" i="71"/>
  <c r="G68" i="71"/>
  <c r="F69" i="71" s="1"/>
  <c r="E70" i="71" s="1"/>
  <c r="F64" i="39"/>
  <c r="G77" i="39"/>
  <c r="G68" i="39"/>
  <c r="F69" i="39" s="1"/>
  <c r="E70" i="39" s="1"/>
  <c r="F64" i="29"/>
  <c r="G77" i="29"/>
  <c r="G68" i="29"/>
  <c r="F69" i="29" s="1"/>
  <c r="E70" i="29" s="1"/>
  <c r="F64" i="25"/>
  <c r="G77" i="25"/>
  <c r="G68" i="25"/>
  <c r="F69" i="25" s="1"/>
  <c r="E70" i="25" s="1"/>
  <c r="F64" i="31"/>
  <c r="G77" i="31"/>
  <c r="G68" i="31"/>
  <c r="F69" i="31" s="1"/>
  <c r="E70" i="31" s="1"/>
  <c r="G68" i="65"/>
  <c r="F69" i="65" s="1"/>
  <c r="E70" i="65" s="1"/>
  <c r="F64" i="65"/>
  <c r="G77" i="65"/>
  <c r="G68" i="49"/>
  <c r="F69" i="49" s="1"/>
  <c r="E70" i="49" s="1"/>
  <c r="F64" i="49"/>
  <c r="G77" i="49"/>
  <c r="R35" i="72"/>
  <c r="G16" i="9"/>
  <c r="G78" i="9"/>
  <c r="G78" i="7"/>
  <c r="F78" i="49" l="1"/>
  <c r="E79" i="49" s="1"/>
  <c r="F65" i="49"/>
  <c r="E72" i="65"/>
  <c r="E73" i="65"/>
  <c r="E74" i="65" s="1"/>
  <c r="E73" i="25"/>
  <c r="E74" i="25" s="1"/>
  <c r="E72" i="25"/>
  <c r="F78" i="25"/>
  <c r="E79" i="25" s="1"/>
  <c r="F65" i="25"/>
  <c r="E73" i="39"/>
  <c r="E74" i="39" s="1"/>
  <c r="E72" i="39"/>
  <c r="F78" i="39"/>
  <c r="E79" i="39" s="1"/>
  <c r="F65" i="39"/>
  <c r="F78" i="71"/>
  <c r="E79" i="71" s="1"/>
  <c r="F65" i="71"/>
  <c r="F78" i="59"/>
  <c r="E79" i="59" s="1"/>
  <c r="F65" i="59"/>
  <c r="E72" i="63"/>
  <c r="E73" i="63"/>
  <c r="E74" i="63" s="1"/>
  <c r="F65" i="63"/>
  <c r="F78" i="63"/>
  <c r="E79" i="63" s="1"/>
  <c r="F78" i="23"/>
  <c r="E79" i="23" s="1"/>
  <c r="F65" i="23"/>
  <c r="F78" i="43"/>
  <c r="E79" i="43" s="1"/>
  <c r="F65" i="43"/>
  <c r="E73" i="35"/>
  <c r="E74" i="35" s="1"/>
  <c r="E72" i="35"/>
  <c r="E72" i="21"/>
  <c r="E73" i="21"/>
  <c r="E74" i="21" s="1"/>
  <c r="E72" i="27"/>
  <c r="E73" i="27"/>
  <c r="E74" i="27" s="1"/>
  <c r="E73" i="45"/>
  <c r="E74" i="45" s="1"/>
  <c r="E72" i="45"/>
  <c r="F65" i="69"/>
  <c r="F78" i="69"/>
  <c r="E79" i="69" s="1"/>
  <c r="E73" i="61"/>
  <c r="E74" i="61" s="1"/>
  <c r="E72" i="61"/>
  <c r="F65" i="61"/>
  <c r="F78" i="61"/>
  <c r="E79" i="61" s="1"/>
  <c r="F65" i="51"/>
  <c r="F78" i="51"/>
  <c r="E79" i="51" s="1"/>
  <c r="E72" i="33"/>
  <c r="E73" i="33"/>
  <c r="E74" i="33" s="1"/>
  <c r="F78" i="41"/>
  <c r="E79" i="41" s="1"/>
  <c r="F65" i="41"/>
  <c r="F65" i="57"/>
  <c r="F78" i="57"/>
  <c r="E79" i="57" s="1"/>
  <c r="E72" i="57"/>
  <c r="E73" i="57"/>
  <c r="E74" i="57" s="1"/>
  <c r="F78" i="55"/>
  <c r="E79" i="55" s="1"/>
  <c r="F65" i="55"/>
  <c r="E72" i="67"/>
  <c r="E73" i="67"/>
  <c r="E74" i="67" s="1"/>
  <c r="E72" i="49"/>
  <c r="E73" i="49"/>
  <c r="E74" i="49" s="1"/>
  <c r="F78" i="65"/>
  <c r="E79" i="65" s="1"/>
  <c r="F65" i="65"/>
  <c r="E73" i="31"/>
  <c r="E74" i="31" s="1"/>
  <c r="E72" i="31"/>
  <c r="F65" i="31"/>
  <c r="F78" i="31"/>
  <c r="E79" i="31" s="1"/>
  <c r="E73" i="29"/>
  <c r="E74" i="29" s="1"/>
  <c r="E72" i="29"/>
  <c r="F65" i="29"/>
  <c r="F78" i="29"/>
  <c r="E79" i="29" s="1"/>
  <c r="E73" i="71"/>
  <c r="E74" i="71" s="1"/>
  <c r="E72" i="71"/>
  <c r="E73" i="59"/>
  <c r="E74" i="59" s="1"/>
  <c r="E72" i="59"/>
  <c r="F65" i="53"/>
  <c r="F78" i="53"/>
  <c r="E79" i="53" s="1"/>
  <c r="E72" i="53"/>
  <c r="E73" i="53"/>
  <c r="E74" i="53" s="1"/>
  <c r="E73" i="23"/>
  <c r="E74" i="23" s="1"/>
  <c r="E72" i="23"/>
  <c r="E72" i="43"/>
  <c r="E73" i="43"/>
  <c r="E74" i="43" s="1"/>
  <c r="F65" i="35"/>
  <c r="F78" i="35"/>
  <c r="E79" i="35" s="1"/>
  <c r="F78" i="21"/>
  <c r="E79" i="21" s="1"/>
  <c r="F65" i="21"/>
  <c r="F65" i="27"/>
  <c r="F78" i="27"/>
  <c r="E79" i="27" s="1"/>
  <c r="F78" i="45"/>
  <c r="E79" i="45" s="1"/>
  <c r="F65" i="45"/>
  <c r="E73" i="69"/>
  <c r="E74" i="69" s="1"/>
  <c r="E72" i="69"/>
  <c r="F65" i="47"/>
  <c r="F78" i="47"/>
  <c r="E79" i="47" s="1"/>
  <c r="E72" i="47"/>
  <c r="E73" i="47"/>
  <c r="E74" i="47" s="1"/>
  <c r="E73" i="51"/>
  <c r="E74" i="51" s="1"/>
  <c r="E72" i="51"/>
  <c r="F78" i="33"/>
  <c r="E79" i="33" s="1"/>
  <c r="F65" i="33"/>
  <c r="E72" i="41"/>
  <c r="E73" i="41"/>
  <c r="E74" i="41" s="1"/>
  <c r="E73" i="37"/>
  <c r="E74" i="37" s="1"/>
  <c r="E72" i="37"/>
  <c r="F78" i="37"/>
  <c r="E79" i="37" s="1"/>
  <c r="F65" i="37"/>
  <c r="E72" i="55"/>
  <c r="E73" i="55"/>
  <c r="E74" i="55" s="1"/>
  <c r="F78" i="67"/>
  <c r="E79" i="67" s="1"/>
  <c r="F65" i="67"/>
  <c r="I21" i="2"/>
  <c r="I22" i="2"/>
  <c r="E82" i="47" l="1"/>
  <c r="E83" i="47" s="1"/>
  <c r="E81" i="47"/>
  <c r="E82" i="27"/>
  <c r="E83" i="27" s="1"/>
  <c r="E81" i="27"/>
  <c r="E82" i="35"/>
  <c r="E83" i="35" s="1"/>
  <c r="E81" i="35"/>
  <c r="E82" i="53"/>
  <c r="E83" i="53" s="1"/>
  <c r="E81" i="53"/>
  <c r="E82" i="29"/>
  <c r="E83" i="29" s="1"/>
  <c r="E81" i="29"/>
  <c r="E81" i="31"/>
  <c r="E82" i="31"/>
  <c r="E83" i="31" s="1"/>
  <c r="E81" i="57"/>
  <c r="E82" i="57"/>
  <c r="E83" i="57" s="1"/>
  <c r="E82" i="51"/>
  <c r="E83" i="51" s="1"/>
  <c r="E81" i="51"/>
  <c r="E82" i="61"/>
  <c r="E83" i="61" s="1"/>
  <c r="E81" i="61"/>
  <c r="E82" i="69"/>
  <c r="E83" i="69" s="1"/>
  <c r="E81" i="69"/>
  <c r="E82" i="63"/>
  <c r="E83" i="63" s="1"/>
  <c r="E81" i="63"/>
  <c r="E82" i="67"/>
  <c r="E83" i="67" s="1"/>
  <c r="E81" i="67"/>
  <c r="E81" i="37"/>
  <c r="E82" i="37"/>
  <c r="E83" i="37" s="1"/>
  <c r="E82" i="33"/>
  <c r="E83" i="33" s="1"/>
  <c r="E81" i="33"/>
  <c r="E82" i="45"/>
  <c r="E83" i="45" s="1"/>
  <c r="E81" i="45"/>
  <c r="E82" i="21"/>
  <c r="E83" i="21" s="1"/>
  <c r="E81" i="21"/>
  <c r="E81" i="65"/>
  <c r="E82" i="65"/>
  <c r="E83" i="65" s="1"/>
  <c r="E81" i="55"/>
  <c r="E82" i="55"/>
  <c r="E83" i="55" s="1"/>
  <c r="E82" i="41"/>
  <c r="E83" i="41" s="1"/>
  <c r="E81" i="41"/>
  <c r="E82" i="43"/>
  <c r="E83" i="43" s="1"/>
  <c r="E81" i="43"/>
  <c r="E82" i="23"/>
  <c r="E83" i="23" s="1"/>
  <c r="E81" i="23"/>
  <c r="E81" i="59"/>
  <c r="E82" i="59"/>
  <c r="E83" i="59" s="1"/>
  <c r="E81" i="71"/>
  <c r="E82" i="71"/>
  <c r="E83" i="71" s="1"/>
  <c r="E82" i="39"/>
  <c r="E83" i="39" s="1"/>
  <c r="E81" i="39"/>
  <c r="E81" i="25"/>
  <c r="E82" i="25"/>
  <c r="E83" i="25" s="1"/>
  <c r="E82" i="49"/>
  <c r="E83" i="49" s="1"/>
  <c r="E81" i="49"/>
  <c r="F20" i="2"/>
  <c r="K41" i="48" l="1"/>
  <c r="G41" i="48"/>
  <c r="K41" i="38"/>
  <c r="G41" i="38"/>
  <c r="K41" i="22"/>
  <c r="G41" i="22"/>
  <c r="K41" i="42"/>
  <c r="G41" i="42"/>
  <c r="K41" i="40"/>
  <c r="G41" i="40"/>
  <c r="K41" i="20"/>
  <c r="G41" i="20"/>
  <c r="K41" i="44"/>
  <c r="G41" i="44"/>
  <c r="K41" i="32"/>
  <c r="G41" i="32"/>
  <c r="K41" i="66"/>
  <c r="G41" i="66"/>
  <c r="K41" i="62"/>
  <c r="G41" i="62"/>
  <c r="K41" i="68"/>
  <c r="G41" i="68"/>
  <c r="K41" i="60"/>
  <c r="G41" i="60"/>
  <c r="K41" i="50"/>
  <c r="G41" i="50"/>
  <c r="K41" i="28"/>
  <c r="G41" i="28"/>
  <c r="K41" i="52"/>
  <c r="G41" i="52"/>
  <c r="K41" i="34"/>
  <c r="G41" i="34"/>
  <c r="K41" i="26"/>
  <c r="G41" i="26"/>
  <c r="K41" i="46"/>
  <c r="G41" i="46"/>
  <c r="K41" i="24"/>
  <c r="G41" i="24"/>
  <c r="K41" i="70"/>
  <c r="G41" i="70"/>
  <c r="K41" i="58"/>
  <c r="G41" i="58"/>
  <c r="K41" i="54"/>
  <c r="G41" i="54"/>
  <c r="K41" i="64"/>
  <c r="G41" i="64"/>
  <c r="K41" i="36"/>
  <c r="G41" i="36"/>
  <c r="K41" i="56"/>
  <c r="G41" i="56"/>
  <c r="K41" i="30"/>
  <c r="G41" i="30"/>
  <c r="G38" i="9"/>
  <c r="G38" i="7"/>
  <c r="I20" i="2"/>
  <c r="G28" i="74" l="1"/>
  <c r="E61" i="11"/>
  <c r="G61" i="11" s="1"/>
  <c r="G44" i="74"/>
  <c r="P65" i="11"/>
  <c r="R65" i="11" s="1"/>
  <c r="G34" i="74"/>
  <c r="E67" i="11"/>
  <c r="G67" i="11" s="1"/>
  <c r="G47" i="74"/>
  <c r="X59" i="11"/>
  <c r="Z59" i="11" s="1"/>
  <c r="G43" i="74"/>
  <c r="P64" i="11"/>
  <c r="R64" i="11" s="1"/>
  <c r="G40" i="74"/>
  <c r="P61" i="11"/>
  <c r="R61" i="11" s="1"/>
  <c r="G49" i="74"/>
  <c r="X61" i="11"/>
  <c r="Z61" i="11" s="1"/>
  <c r="E58" i="11"/>
  <c r="G58" i="11" s="1"/>
  <c r="G25" i="74"/>
  <c r="G36" i="74"/>
  <c r="P57" i="11"/>
  <c r="R57" i="11" s="1"/>
  <c r="G26" i="74"/>
  <c r="E59" i="11"/>
  <c r="G59" i="11" s="1"/>
  <c r="E66" i="11"/>
  <c r="G66" i="11" s="1"/>
  <c r="G33" i="74"/>
  <c r="G37" i="74"/>
  <c r="P58" i="11"/>
  <c r="R58" i="11" s="1"/>
  <c r="G27" i="74"/>
  <c r="E60" i="11"/>
  <c r="G60" i="11" s="1"/>
  <c r="G42" i="74"/>
  <c r="P63" i="11"/>
  <c r="R63" i="11" s="1"/>
  <c r="G38" i="74"/>
  <c r="P59" i="11"/>
  <c r="R59" i="11" s="1"/>
  <c r="G48" i="74"/>
  <c r="X60" i="11"/>
  <c r="Z60" i="11" s="1"/>
  <c r="G45" i="74"/>
  <c r="X57" i="11"/>
  <c r="Z57" i="11" s="1"/>
  <c r="G46" i="74"/>
  <c r="X58" i="11"/>
  <c r="Z58" i="11" s="1"/>
  <c r="E65" i="11"/>
  <c r="G65" i="11" s="1"/>
  <c r="G32" i="74"/>
  <c r="G41" i="74"/>
  <c r="P62" i="11"/>
  <c r="R62" i="11" s="1"/>
  <c r="E57" i="11"/>
  <c r="G57" i="11" s="1"/>
  <c r="G24" i="74"/>
  <c r="G29" i="74"/>
  <c r="E62" i="11"/>
  <c r="G62" i="11" s="1"/>
  <c r="G35" i="74"/>
  <c r="E68" i="11"/>
  <c r="G68" i="11" s="1"/>
  <c r="G30" i="74"/>
  <c r="E63" i="11"/>
  <c r="G63" i="11" s="1"/>
  <c r="E64" i="11"/>
  <c r="G64" i="11" s="1"/>
  <c r="G31" i="74"/>
  <c r="G39" i="74"/>
  <c r="P60" i="11"/>
  <c r="R60" i="11" s="1"/>
  <c r="I28" i="74"/>
  <c r="I61" i="11"/>
  <c r="K61" i="11" s="1"/>
  <c r="I44" i="74"/>
  <c r="S65" i="11"/>
  <c r="U65" i="11" s="1"/>
  <c r="I34" i="74"/>
  <c r="I67" i="11"/>
  <c r="K67" i="11" s="1"/>
  <c r="I47" i="74"/>
  <c r="AA59" i="11"/>
  <c r="AC59" i="11" s="1"/>
  <c r="I43" i="74"/>
  <c r="S64" i="11"/>
  <c r="U64" i="11" s="1"/>
  <c r="I40" i="74"/>
  <c r="S61" i="11"/>
  <c r="U61" i="11" s="1"/>
  <c r="I49" i="74"/>
  <c r="AA61" i="11"/>
  <c r="AC61" i="11" s="1"/>
  <c r="I58" i="11"/>
  <c r="K58" i="11" s="1"/>
  <c r="I25" i="74"/>
  <c r="I36" i="74"/>
  <c r="S57" i="11"/>
  <c r="U57" i="11" s="1"/>
  <c r="I26" i="74"/>
  <c r="I59" i="11"/>
  <c r="K59" i="11" s="1"/>
  <c r="I66" i="11"/>
  <c r="K66" i="11" s="1"/>
  <c r="I33" i="74"/>
  <c r="I37" i="74"/>
  <c r="S58" i="11"/>
  <c r="U58" i="11" s="1"/>
  <c r="I27" i="74"/>
  <c r="I60" i="11"/>
  <c r="K60" i="11" s="1"/>
  <c r="I42" i="74"/>
  <c r="S63" i="11"/>
  <c r="U63" i="11" s="1"/>
  <c r="I38" i="74"/>
  <c r="S59" i="11"/>
  <c r="U59" i="11" s="1"/>
  <c r="I48" i="74"/>
  <c r="AA60" i="11"/>
  <c r="AC60" i="11" s="1"/>
  <c r="I45" i="74"/>
  <c r="AA57" i="11"/>
  <c r="AC57" i="11" s="1"/>
  <c r="I46" i="74"/>
  <c r="AA58" i="11"/>
  <c r="AC58" i="11" s="1"/>
  <c r="I65" i="11"/>
  <c r="K65" i="11" s="1"/>
  <c r="I32" i="74"/>
  <c r="I41" i="74"/>
  <c r="S62" i="11"/>
  <c r="U62" i="11" s="1"/>
  <c r="I57" i="11"/>
  <c r="K57" i="11" s="1"/>
  <c r="I24" i="74"/>
  <c r="I29" i="74"/>
  <c r="I62" i="11"/>
  <c r="K62" i="11" s="1"/>
  <c r="I35" i="74"/>
  <c r="I68" i="11"/>
  <c r="K68" i="11" s="1"/>
  <c r="I30" i="74"/>
  <c r="I63" i="11"/>
  <c r="K63" i="11" s="1"/>
  <c r="I64" i="11"/>
  <c r="K64" i="11" s="1"/>
  <c r="I31" i="74"/>
  <c r="I39" i="74"/>
  <c r="S60" i="11"/>
  <c r="U60" i="11" s="1"/>
  <c r="G43" i="7"/>
  <c r="G44" i="7" s="1"/>
  <c r="G47" i="7" l="1"/>
  <c r="G43" i="9"/>
  <c r="G45" i="9" s="1"/>
  <c r="G47" i="9"/>
  <c r="G45" i="7"/>
  <c r="G44" i="9" l="1"/>
  <c r="G53" i="7" l="1"/>
  <c r="G55" i="7" l="1"/>
  <c r="G54" i="7"/>
  <c r="G57" i="7" s="1"/>
  <c r="G46" i="9"/>
  <c r="G55" i="9"/>
  <c r="G54" i="9"/>
  <c r="G53" i="9"/>
  <c r="G46" i="7"/>
  <c r="F68" i="7" l="1"/>
  <c r="G50" i="7"/>
  <c r="G63" i="7" s="1"/>
  <c r="F77" i="9"/>
  <c r="G57" i="9"/>
  <c r="F68" i="9" s="1"/>
  <c r="F77" i="7"/>
  <c r="G51" i="7"/>
  <c r="G50" i="9"/>
  <c r="G63" i="9" s="1"/>
  <c r="G51" i="9"/>
  <c r="F64" i="7" l="1"/>
  <c r="F65" i="7" s="1"/>
  <c r="G68" i="7"/>
  <c r="G68" i="9"/>
  <c r="G77" i="9"/>
  <c r="F64" i="9"/>
  <c r="F65" i="9" s="1"/>
  <c r="G77" i="7"/>
  <c r="F78" i="7" l="1"/>
  <c r="E79" i="7" s="1"/>
  <c r="F78" i="9"/>
  <c r="E79" i="9" s="1"/>
  <c r="E81" i="9" s="1"/>
  <c r="F69" i="7"/>
  <c r="E70" i="7" s="1"/>
  <c r="E72" i="7" s="1"/>
  <c r="F69" i="9"/>
  <c r="E70" i="9" s="1"/>
  <c r="E72" i="9" s="1"/>
  <c r="E81" i="7" l="1"/>
  <c r="E73" i="7"/>
  <c r="E74" i="7" s="1"/>
  <c r="E82" i="7"/>
  <c r="E83" i="7" s="1"/>
  <c r="E82" i="9"/>
  <c r="E83" i="9" s="1"/>
  <c r="E73" i="9"/>
  <c r="K41" i="72" l="1"/>
  <c r="F26" i="19" s="1"/>
  <c r="G41" i="72"/>
  <c r="F23" i="19" s="1"/>
  <c r="E74" i="9"/>
  <c r="D21" i="2"/>
  <c r="D36" i="2" s="1"/>
  <c r="D37" i="2" s="1"/>
  <c r="D22" i="2" l="1"/>
  <c r="C36" i="2" l="1"/>
  <c r="X10" i="44" s="1"/>
  <c r="X11" i="44" s="1"/>
  <c r="C37" i="2"/>
  <c r="C38" i="2" l="1"/>
  <c r="X10" i="72"/>
  <c r="X11" i="72" s="1"/>
  <c r="X10" i="46"/>
  <c r="X11" i="46" s="1"/>
  <c r="C39" i="2" l="1"/>
  <c r="X10" i="48"/>
  <c r="X11" i="48" s="1"/>
  <c r="C40" i="2" l="1"/>
  <c r="X10" i="50"/>
  <c r="X11" i="50" s="1"/>
  <c r="C41" i="2" l="1"/>
  <c r="X10" i="52"/>
  <c r="X11" i="52" s="1"/>
  <c r="C42" i="2" l="1"/>
  <c r="X10" i="54"/>
  <c r="X11" i="54" s="1"/>
  <c r="C43" i="2" l="1"/>
  <c r="X10" i="56"/>
  <c r="X11" i="56" s="1"/>
  <c r="C44" i="2" l="1"/>
  <c r="X10" i="58"/>
  <c r="X11" i="58" s="1"/>
  <c r="C45" i="2" l="1"/>
  <c r="X10" i="60"/>
  <c r="X11" i="60" s="1"/>
  <c r="C46" i="2" l="1"/>
  <c r="X10" i="62"/>
  <c r="X11" i="62" s="1"/>
  <c r="C47" i="2" l="1"/>
  <c r="X10" i="64"/>
  <c r="X11" i="64" s="1"/>
  <c r="C48" i="2" l="1"/>
  <c r="X10" i="66"/>
  <c r="X11" i="66" s="1"/>
  <c r="X10" i="68" l="1"/>
  <c r="X11" i="68" s="1"/>
  <c r="C49" i="2"/>
  <c r="X10" i="70" l="1"/>
  <c r="X11" i="70" s="1"/>
  <c r="AI10" i="11"/>
  <c r="AI11" i="11" s="1"/>
</calcChain>
</file>

<file path=xl/comments1.xml><?xml version="1.0" encoding="utf-8"?>
<comments xmlns="http://schemas.openxmlformats.org/spreadsheetml/2006/main">
  <authors>
    <author>作成者</author>
  </authors>
  <commentList>
    <comment ref="H23" authorId="0" shapeId="0">
      <text>
        <r>
          <rPr>
            <b/>
            <sz val="9"/>
            <color indexed="81"/>
            <rFont val="ＭＳ Ｐゴシック"/>
            <family val="3"/>
            <charset val="128"/>
          </rPr>
          <t>19/3/11
元は「200」→環境省指示により、現行一般値を元にした値に修正</t>
        </r>
      </text>
    </comment>
    <comment ref="B28" authorId="0" shapeId="0">
      <text>
        <r>
          <rPr>
            <sz val="9"/>
            <color indexed="81"/>
            <rFont val="ＭＳ Ｐゴシック"/>
            <family val="3"/>
            <charset val="128"/>
          </rPr>
          <t>18/17/17
元は「シス-1,2-ジクロロエチレン」</t>
        </r>
      </text>
    </comment>
    <comment ref="B29" authorId="0" shapeId="0">
      <text>
        <r>
          <rPr>
            <sz val="9"/>
            <color indexed="81"/>
            <rFont val="ＭＳ Ｐゴシック"/>
            <family val="3"/>
            <charset val="128"/>
          </rPr>
          <t>18/17/17
元は「トランス-1,2-ジクロロエチレン」
→「1,2-ジクロロエチレン」に統合</t>
        </r>
      </text>
    </comment>
    <comment ref="H38" authorId="0" shapeId="0">
      <text>
        <r>
          <rPr>
            <b/>
            <sz val="9"/>
            <color indexed="81"/>
            <rFont val="ＭＳ Ｐゴシック"/>
            <family val="3"/>
            <charset val="128"/>
          </rPr>
          <t>19/3/11
元は「25」→環境省指示により、現行一般値を元にした値に修正</t>
        </r>
      </text>
    </comment>
    <comment ref="I41" authorId="0" shapeId="0">
      <text>
        <r>
          <rPr>
            <b/>
            <sz val="9"/>
            <color indexed="81"/>
            <rFont val="ＭＳ Ｐゴシック"/>
            <family val="3"/>
            <charset val="128"/>
          </rPr>
          <t>19/3/11
元は「5」→環境省指示により、現行一般値を元にした値に修正</t>
        </r>
      </text>
    </comment>
    <comment ref="H42" authorId="0" shapeId="0">
      <text>
        <r>
          <rPr>
            <b/>
            <sz val="9"/>
            <color indexed="81"/>
            <rFont val="ＭＳ Ｐゴシック"/>
            <family val="3"/>
            <charset val="128"/>
          </rPr>
          <t>19/3/11
元は「50」→環境省指示により、現行一般値を元にした値に修正</t>
        </r>
      </text>
    </comment>
    <comment ref="I42" authorId="0" shapeId="0">
      <text>
        <r>
          <rPr>
            <b/>
            <sz val="9"/>
            <color indexed="81"/>
            <rFont val="ＭＳ Ｐゴシック"/>
            <family val="3"/>
            <charset val="128"/>
          </rPr>
          <t>19/3/11
元は「5」→環境省指示により、現行一般値を元にした値に修正</t>
        </r>
      </text>
    </comment>
    <comment ref="H43" authorId="0" shapeId="0">
      <text>
        <r>
          <rPr>
            <b/>
            <sz val="9"/>
            <color indexed="81"/>
            <rFont val="ＭＳ Ｐゴシック"/>
            <family val="3"/>
            <charset val="128"/>
          </rPr>
          <t>19/3/11
元は「25」→環境省指示により、現行一般値を元にした値に修正</t>
        </r>
      </text>
    </comment>
    <comment ref="I43" authorId="0" shapeId="0">
      <text>
        <r>
          <rPr>
            <b/>
            <sz val="9"/>
            <color indexed="81"/>
            <rFont val="ＭＳ Ｐゴシック"/>
            <family val="3"/>
            <charset val="128"/>
          </rPr>
          <t>19/3/11
元は「2.5」→環境省指示により、現行一般値を元にした値に修正</t>
        </r>
      </text>
    </comment>
    <comment ref="H45" authorId="0" shapeId="0">
      <text>
        <r>
          <rPr>
            <b/>
            <sz val="9"/>
            <color indexed="81"/>
            <rFont val="ＭＳ Ｐゴシック"/>
            <family val="3"/>
            <charset val="128"/>
          </rPr>
          <t>19/3/11
元は「25」→環境省指示により、現行一般値を元にした値に修正</t>
        </r>
      </text>
    </comment>
    <comment ref="J48" authorId="0" shapeId="0">
      <text>
        <r>
          <rPr>
            <b/>
            <sz val="9"/>
            <color indexed="81"/>
            <rFont val="ＭＳ Ｐゴシック"/>
            <family val="3"/>
            <charset val="128"/>
          </rPr>
          <t>18/06/12
0.0003→0.0005に修正</t>
        </r>
      </text>
    </comment>
    <comment ref="J49" authorId="0" shapeId="0">
      <text>
        <r>
          <rPr>
            <b/>
            <sz val="9"/>
            <color indexed="81"/>
            <rFont val="ＭＳ Ｐゴシック"/>
            <family val="3"/>
            <charset val="128"/>
          </rPr>
          <t>18/06/12
0.001→0.1に修正</t>
        </r>
      </text>
    </comment>
    <comment ref="K49" authorId="0" shapeId="0">
      <text>
        <r>
          <rPr>
            <b/>
            <sz val="9"/>
            <color indexed="81"/>
            <rFont val="ＭＳ Ｐゴシック"/>
            <family val="3"/>
            <charset val="128"/>
          </rPr>
          <t>18/06/12
0.01→1に修正</t>
        </r>
      </text>
    </comment>
  </commentList>
</comments>
</file>

<file path=xl/sharedStrings.xml><?xml version="1.0" encoding="utf-8"?>
<sst xmlns="http://schemas.openxmlformats.org/spreadsheetml/2006/main" count="10123" uniqueCount="443">
  <si>
    <t>土質情報</t>
    <rPh sb="0" eb="2">
      <t>ドシツ</t>
    </rPh>
    <rPh sb="2" eb="4">
      <t>ジョウホウ</t>
    </rPh>
    <phoneticPr fontId="4"/>
  </si>
  <si>
    <t>土質名称</t>
    <rPh sb="0" eb="2">
      <t>ドシツ</t>
    </rPh>
    <rPh sb="2" eb="4">
      <t>メイショウ</t>
    </rPh>
    <phoneticPr fontId="4"/>
  </si>
  <si>
    <t>透水係数</t>
    <rPh sb="0" eb="2">
      <t>トウスイ</t>
    </rPh>
    <rPh sb="2" eb="4">
      <t>ケイスウ</t>
    </rPh>
    <phoneticPr fontId="4"/>
  </si>
  <si>
    <t>有効間隙率</t>
    <rPh sb="0" eb="2">
      <t>ユウコウ</t>
    </rPh>
    <rPh sb="2" eb="4">
      <t>カンゲキ</t>
    </rPh>
    <rPh sb="4" eb="5">
      <t>リツ</t>
    </rPh>
    <phoneticPr fontId="4"/>
  </si>
  <si>
    <t>土粒子密度</t>
    <rPh sb="0" eb="1">
      <t>ド</t>
    </rPh>
    <rPh sb="1" eb="3">
      <t>リュウシ</t>
    </rPh>
    <rPh sb="3" eb="5">
      <t>ミツド</t>
    </rPh>
    <phoneticPr fontId="4"/>
  </si>
  <si>
    <t>単位</t>
    <rPh sb="0" eb="2">
      <t>タンイ</t>
    </rPh>
    <phoneticPr fontId="4"/>
  </si>
  <si>
    <t>m/s</t>
    <phoneticPr fontId="4"/>
  </si>
  <si>
    <t>記号</t>
    <rPh sb="0" eb="2">
      <t>キゴウ</t>
    </rPh>
    <phoneticPr fontId="4"/>
  </si>
  <si>
    <t>k</t>
    <phoneticPr fontId="4"/>
  </si>
  <si>
    <t>ne</t>
    <phoneticPr fontId="4"/>
  </si>
  <si>
    <t>ρs</t>
    <phoneticPr fontId="4"/>
  </si>
  <si>
    <t>乾燥土壌密度</t>
    <rPh sb="0" eb="2">
      <t>カンソウ</t>
    </rPh>
    <rPh sb="2" eb="4">
      <t>ドジョウ</t>
    </rPh>
    <rPh sb="4" eb="6">
      <t>ミツド</t>
    </rPh>
    <phoneticPr fontId="4"/>
  </si>
  <si>
    <t>ρｄ</t>
    <phoneticPr fontId="4"/>
  </si>
  <si>
    <t>土質パラメーター</t>
    <rPh sb="0" eb="2">
      <t>ドシツ</t>
    </rPh>
    <phoneticPr fontId="4"/>
  </si>
  <si>
    <t>名称</t>
    <rPh sb="0" eb="2">
      <t>メイショウ</t>
    </rPh>
    <phoneticPr fontId="4"/>
  </si>
  <si>
    <t>数値</t>
    <rPh sb="0" eb="2">
      <t>スウチ</t>
    </rPh>
    <phoneticPr fontId="4"/>
  </si>
  <si>
    <t>m/m</t>
    <phoneticPr fontId="4"/>
  </si>
  <si>
    <t>m</t>
    <phoneticPr fontId="4"/>
  </si>
  <si>
    <t>物質種類</t>
    <rPh sb="0" eb="2">
      <t>ブッシツ</t>
    </rPh>
    <rPh sb="2" eb="4">
      <t>シュルイ</t>
    </rPh>
    <phoneticPr fontId="4"/>
  </si>
  <si>
    <t>物質パラメーター</t>
    <rPh sb="0" eb="2">
      <t>ブッシツ</t>
    </rPh>
    <phoneticPr fontId="4"/>
  </si>
  <si>
    <t>Sw</t>
    <phoneticPr fontId="4"/>
  </si>
  <si>
    <t>Cgw</t>
    <phoneticPr fontId="4"/>
  </si>
  <si>
    <t>汚染源地下水濃度</t>
    <rPh sb="0" eb="3">
      <t>オセンゲン</t>
    </rPh>
    <rPh sb="3" eb="6">
      <t>チカスイ</t>
    </rPh>
    <rPh sb="6" eb="8">
      <t>ノウド</t>
    </rPh>
    <phoneticPr fontId="4"/>
  </si>
  <si>
    <t>土壌ｰ水分配係数</t>
    <rPh sb="0" eb="2">
      <t>ドジョウ</t>
    </rPh>
    <rPh sb="3" eb="4">
      <t>ミズ</t>
    </rPh>
    <rPh sb="4" eb="6">
      <t>ブンパイ</t>
    </rPh>
    <rPh sb="6" eb="8">
      <t>ケイスウ</t>
    </rPh>
    <phoneticPr fontId="4"/>
  </si>
  <si>
    <t>半減期</t>
    <rPh sb="0" eb="3">
      <t>ハンゲンキ</t>
    </rPh>
    <phoneticPr fontId="4"/>
  </si>
  <si>
    <t>ｙ</t>
    <phoneticPr fontId="4"/>
  </si>
  <si>
    <t>Kd</t>
    <phoneticPr fontId="4"/>
  </si>
  <si>
    <t>L/kg</t>
    <phoneticPr fontId="4"/>
  </si>
  <si>
    <t>mg/L</t>
    <phoneticPr fontId="4"/>
  </si>
  <si>
    <t>土壌汚染範囲・汚染源幅</t>
    <rPh sb="0" eb="2">
      <t>ドジョウ</t>
    </rPh>
    <rPh sb="2" eb="4">
      <t>オセン</t>
    </rPh>
    <rPh sb="4" eb="6">
      <t>ハンイ</t>
    </rPh>
    <rPh sb="7" eb="10">
      <t>オセンゲン</t>
    </rPh>
    <rPh sb="10" eb="11">
      <t>ハバ</t>
    </rPh>
    <phoneticPr fontId="4"/>
  </si>
  <si>
    <t>半減期（一次分解速度定数）</t>
    <rPh sb="0" eb="3">
      <t>ハンゲンキ</t>
    </rPh>
    <rPh sb="4" eb="6">
      <t>イチジ</t>
    </rPh>
    <rPh sb="6" eb="8">
      <t>ブンカイ</t>
    </rPh>
    <rPh sb="8" eb="10">
      <t>ソクド</t>
    </rPh>
    <rPh sb="10" eb="12">
      <t>テイスウ</t>
    </rPh>
    <phoneticPr fontId="4"/>
  </si>
  <si>
    <t>(k)</t>
    <phoneticPr fontId="4"/>
  </si>
  <si>
    <t>物質情報</t>
    <rPh sb="0" eb="2">
      <t>ブッシツ</t>
    </rPh>
    <rPh sb="2" eb="4">
      <t>ジョウホウ</t>
    </rPh>
    <phoneticPr fontId="4"/>
  </si>
  <si>
    <t>物質名称</t>
    <rPh sb="0" eb="2">
      <t>ブッシツ</t>
    </rPh>
    <rPh sb="2" eb="4">
      <t>メイショウ</t>
    </rPh>
    <phoneticPr fontId="4"/>
  </si>
  <si>
    <t>Koc</t>
    <phoneticPr fontId="4"/>
  </si>
  <si>
    <t>foc</t>
    <phoneticPr fontId="4"/>
  </si>
  <si>
    <t>g/g</t>
    <phoneticPr fontId="4"/>
  </si>
  <si>
    <t>有機性炭素含有率</t>
    <rPh sb="0" eb="3">
      <t>ユウキセイ</t>
    </rPh>
    <rPh sb="3" eb="5">
      <t>タンソ</t>
    </rPh>
    <rPh sb="5" eb="7">
      <t>ガンユウ</t>
    </rPh>
    <rPh sb="7" eb="8">
      <t>リツ</t>
    </rPh>
    <phoneticPr fontId="4"/>
  </si>
  <si>
    <t>有機炭素分配係数</t>
    <rPh sb="0" eb="2">
      <t>ユウキ</t>
    </rPh>
    <rPh sb="2" eb="4">
      <t>タンソ</t>
    </rPh>
    <rPh sb="4" eb="6">
      <t>ブンパイ</t>
    </rPh>
    <rPh sb="6" eb="8">
      <t>ケイスウ</t>
    </rPh>
    <phoneticPr fontId="4"/>
  </si>
  <si>
    <t>記号</t>
    <rPh sb="0" eb="2">
      <t>キゴウ</t>
    </rPh>
    <phoneticPr fontId="9"/>
  </si>
  <si>
    <t>名称</t>
    <rPh sb="0" eb="2">
      <t>メイショウ</t>
    </rPh>
    <phoneticPr fontId="9"/>
  </si>
  <si>
    <t>単位</t>
    <rPh sb="0" eb="2">
      <t>タンイ</t>
    </rPh>
    <phoneticPr fontId="9"/>
  </si>
  <si>
    <t>数値</t>
    <rPh sb="0" eb="2">
      <t>スウチ</t>
    </rPh>
    <phoneticPr fontId="9"/>
  </si>
  <si>
    <t>ｍ</t>
    <phoneticPr fontId="9"/>
  </si>
  <si>
    <t>経過時間</t>
    <rPh sb="0" eb="2">
      <t>ケイカ</t>
    </rPh>
    <rPh sb="2" eb="4">
      <t>ジカン</t>
    </rPh>
    <phoneticPr fontId="9"/>
  </si>
  <si>
    <t>汚染源幅</t>
    <rPh sb="0" eb="3">
      <t>オセンゲン</t>
    </rPh>
    <rPh sb="3" eb="4">
      <t>ハバ</t>
    </rPh>
    <phoneticPr fontId="9"/>
  </si>
  <si>
    <t>ｘ方向の分散長</t>
    <rPh sb="1" eb="3">
      <t>ホウコウ</t>
    </rPh>
    <rPh sb="4" eb="6">
      <t>ブンサン</t>
    </rPh>
    <rPh sb="6" eb="7">
      <t>チョウ</t>
    </rPh>
    <phoneticPr fontId="9"/>
  </si>
  <si>
    <t>ｙ方向の分散長</t>
    <rPh sb="1" eb="3">
      <t>ホウコウ</t>
    </rPh>
    <rPh sb="4" eb="6">
      <t>ブンサン</t>
    </rPh>
    <rPh sb="6" eb="7">
      <t>チョウ</t>
    </rPh>
    <phoneticPr fontId="9"/>
  </si>
  <si>
    <t>ｚ方向の分散長</t>
    <rPh sb="1" eb="3">
      <t>ホウコウ</t>
    </rPh>
    <rPh sb="4" eb="6">
      <t>ブンサン</t>
    </rPh>
    <rPh sb="6" eb="7">
      <t>チョウ</t>
    </rPh>
    <phoneticPr fontId="9"/>
  </si>
  <si>
    <t>透水係数</t>
    <rPh sb="0" eb="2">
      <t>トウスイ</t>
    </rPh>
    <rPh sb="2" eb="4">
      <t>ケイスウ</t>
    </rPh>
    <phoneticPr fontId="9"/>
  </si>
  <si>
    <t>動水勾配</t>
    <rPh sb="0" eb="1">
      <t>ウゴ</t>
    </rPh>
    <rPh sb="1" eb="2">
      <t>スイ</t>
    </rPh>
    <rPh sb="2" eb="4">
      <t>コウバイ</t>
    </rPh>
    <phoneticPr fontId="9"/>
  </si>
  <si>
    <t>-</t>
    <phoneticPr fontId="9"/>
  </si>
  <si>
    <t>半減期</t>
    <rPh sb="0" eb="3">
      <t>ハンゲンキ</t>
    </rPh>
    <phoneticPr fontId="9"/>
  </si>
  <si>
    <t>土壌-水分配係数（計算値）</t>
    <rPh sb="9" eb="12">
      <t>ケイサンチ</t>
    </rPh>
    <phoneticPr fontId="9"/>
  </si>
  <si>
    <t>一次分解定数</t>
    <rPh sb="0" eb="2">
      <t>イチジ</t>
    </rPh>
    <rPh sb="2" eb="4">
      <t>ブンカイ</t>
    </rPh>
    <rPh sb="4" eb="6">
      <t>テイスウ</t>
    </rPh>
    <phoneticPr fontId="9"/>
  </si>
  <si>
    <t>地下水流速</t>
    <rPh sb="0" eb="3">
      <t>チカスイ</t>
    </rPh>
    <rPh sb="3" eb="5">
      <t>リュウソク</t>
    </rPh>
    <phoneticPr fontId="9"/>
  </si>
  <si>
    <t>帯水層の遅延係数</t>
    <rPh sb="0" eb="1">
      <t>タイ</t>
    </rPh>
    <rPh sb="1" eb="2">
      <t>スイ</t>
    </rPh>
    <rPh sb="2" eb="3">
      <t>ソウ</t>
    </rPh>
    <rPh sb="4" eb="6">
      <t>チエン</t>
    </rPh>
    <rPh sb="6" eb="8">
      <t>ケイスウ</t>
    </rPh>
    <phoneticPr fontId="9"/>
  </si>
  <si>
    <t>②時間項</t>
    <rPh sb="1" eb="3">
      <t>ジカン</t>
    </rPh>
    <rPh sb="3" eb="4">
      <t>コウ</t>
    </rPh>
    <phoneticPr fontId="9"/>
  </si>
  <si>
    <t>③ｙ減衰項</t>
    <rPh sb="2" eb="4">
      <t>ゲンスイ</t>
    </rPh>
    <rPh sb="4" eb="5">
      <t>コウ</t>
    </rPh>
    <phoneticPr fontId="9"/>
  </si>
  <si>
    <t>④ｚ減衰項</t>
    <rPh sb="2" eb="4">
      <t>ゲンスイ</t>
    </rPh>
    <rPh sb="4" eb="5">
      <t>コウ</t>
    </rPh>
    <phoneticPr fontId="9"/>
  </si>
  <si>
    <t>縦分散長</t>
    <rPh sb="0" eb="1">
      <t>タテ</t>
    </rPh>
    <rPh sb="1" eb="3">
      <t>ブンサン</t>
    </rPh>
    <rPh sb="3" eb="4">
      <t>チョウ</t>
    </rPh>
    <phoneticPr fontId="4"/>
  </si>
  <si>
    <t>横分散長</t>
    <rPh sb="0" eb="1">
      <t>ヨコ</t>
    </rPh>
    <rPh sb="1" eb="3">
      <t>ブンサン</t>
    </rPh>
    <rPh sb="3" eb="4">
      <t>チョウ</t>
    </rPh>
    <phoneticPr fontId="4"/>
  </si>
  <si>
    <t>αx</t>
    <phoneticPr fontId="4"/>
  </si>
  <si>
    <t>αｙ</t>
    <phoneticPr fontId="4"/>
  </si>
  <si>
    <t>ｍ</t>
    <phoneticPr fontId="4"/>
  </si>
  <si>
    <t>地下水基準</t>
    <rPh sb="0" eb="3">
      <t>チカスイ</t>
    </rPh>
    <rPh sb="3" eb="5">
      <t>キジュン</t>
    </rPh>
    <phoneticPr fontId="4"/>
  </si>
  <si>
    <t>mg/L</t>
    <phoneticPr fontId="4"/>
  </si>
  <si>
    <t>【計算結果】</t>
    <rPh sb="1" eb="3">
      <t>ケイサン</t>
    </rPh>
    <rPh sb="3" eb="5">
      <t>ケッカ</t>
    </rPh>
    <phoneticPr fontId="4"/>
  </si>
  <si>
    <t>【入力値】</t>
    <rPh sb="1" eb="4">
      <t>ニュウリョクチ</t>
    </rPh>
    <phoneticPr fontId="4"/>
  </si>
  <si>
    <t>地形情報（動水勾配）</t>
    <rPh sb="0" eb="2">
      <t>チケイ</t>
    </rPh>
    <rPh sb="2" eb="4">
      <t>ジョウホウ</t>
    </rPh>
    <rPh sb="5" eb="6">
      <t>ウゴ</t>
    </rPh>
    <rPh sb="6" eb="7">
      <t>スイ</t>
    </rPh>
    <rPh sb="7" eb="9">
      <t>コウバイ</t>
    </rPh>
    <phoneticPr fontId="4"/>
  </si>
  <si>
    <t>汚染源の大きさ</t>
    <rPh sb="0" eb="3">
      <t>オセンゲン</t>
    </rPh>
    <rPh sb="4" eb="5">
      <t>オオ</t>
    </rPh>
    <phoneticPr fontId="8"/>
  </si>
  <si>
    <t>ｍ</t>
    <phoneticPr fontId="9"/>
  </si>
  <si>
    <t>汚染源長さ</t>
    <rPh sb="0" eb="3">
      <t>オセンゲン</t>
    </rPh>
    <rPh sb="3" eb="4">
      <t>ナガ</t>
    </rPh>
    <phoneticPr fontId="9"/>
  </si>
  <si>
    <t>Sd</t>
    <phoneticPr fontId="9"/>
  </si>
  <si>
    <t>汚染源深さ（帯水層）</t>
    <rPh sb="0" eb="3">
      <t>オセンゲン</t>
    </rPh>
    <rPh sb="3" eb="4">
      <t>フカ</t>
    </rPh>
    <rPh sb="6" eb="9">
      <t>タイスイソウ</t>
    </rPh>
    <phoneticPr fontId="9"/>
  </si>
  <si>
    <t>Sd_max</t>
    <phoneticPr fontId="9"/>
  </si>
  <si>
    <t>帯水層厚さ（上限）</t>
    <rPh sb="0" eb="3">
      <t>タイスイソウ</t>
    </rPh>
    <rPh sb="3" eb="4">
      <t>アツ</t>
    </rPh>
    <rPh sb="6" eb="8">
      <t>ジョウゲン</t>
    </rPh>
    <phoneticPr fontId="9"/>
  </si>
  <si>
    <r>
      <rPr>
        <b/>
        <sz val="14"/>
        <rFont val="ＭＳ 明朝"/>
        <family val="2"/>
        <charset val="128"/>
      </rPr>
      <t>距離</t>
    </r>
    <rPh sb="0" eb="2">
      <t>キョリ</t>
    </rPh>
    <phoneticPr fontId="8"/>
  </si>
  <si>
    <t>X1</t>
    <phoneticPr fontId="8"/>
  </si>
  <si>
    <t>ｍ</t>
    <phoneticPr fontId="8"/>
  </si>
  <si>
    <t>X2</t>
    <phoneticPr fontId="8"/>
  </si>
  <si>
    <t>測定井戸までの距離</t>
    <rPh sb="0" eb="2">
      <t>ソクテイ</t>
    </rPh>
    <rPh sb="2" eb="4">
      <t>イド</t>
    </rPh>
    <rPh sb="7" eb="9">
      <t>キョリ</t>
    </rPh>
    <phoneticPr fontId="8"/>
  </si>
  <si>
    <t>ｍ</t>
    <phoneticPr fontId="8"/>
  </si>
  <si>
    <t>X3</t>
    <phoneticPr fontId="8"/>
  </si>
  <si>
    <t>評価地点までの距離</t>
    <rPh sb="0" eb="2">
      <t>ヒョウカ</t>
    </rPh>
    <rPh sb="2" eb="4">
      <t>チテン</t>
    </rPh>
    <rPh sb="7" eb="9">
      <t>キョリ</t>
    </rPh>
    <phoneticPr fontId="8"/>
  </si>
  <si>
    <t>汚染源の目標値の算定式</t>
    <rPh sb="0" eb="3">
      <t>オセンゲン</t>
    </rPh>
    <rPh sb="4" eb="7">
      <t>モクヒョウチ</t>
    </rPh>
    <rPh sb="8" eb="10">
      <t>サンテイ</t>
    </rPh>
    <rPh sb="10" eb="11">
      <t>シキ</t>
    </rPh>
    <phoneticPr fontId="8"/>
  </si>
  <si>
    <t>対象物質</t>
    <rPh sb="0" eb="2">
      <t>タイショウ</t>
    </rPh>
    <rPh sb="2" eb="4">
      <t>ブッシツ</t>
    </rPh>
    <phoneticPr fontId="8"/>
  </si>
  <si>
    <t>C_target</t>
    <phoneticPr fontId="8"/>
  </si>
  <si>
    <t>地下水基準</t>
    <phoneticPr fontId="8"/>
  </si>
  <si>
    <t>mg/L</t>
    <phoneticPr fontId="9"/>
  </si>
  <si>
    <t>Sw</t>
    <phoneticPr fontId="9"/>
  </si>
  <si>
    <r>
      <t>S</t>
    </r>
    <r>
      <rPr>
        <sz val="10"/>
        <rFont val="Times New Roman"/>
        <family val="1"/>
      </rPr>
      <t>L</t>
    </r>
    <phoneticPr fontId="9"/>
  </si>
  <si>
    <r>
      <rPr>
        <b/>
        <sz val="11"/>
        <color theme="1"/>
        <rFont val="ＭＳ 明朝"/>
        <family val="2"/>
        <charset val="128"/>
      </rPr>
      <t>時間</t>
    </r>
    <rPh sb="0" eb="2">
      <t>ジカン</t>
    </rPh>
    <phoneticPr fontId="8"/>
  </si>
  <si>
    <t>t</t>
    <phoneticPr fontId="9"/>
  </si>
  <si>
    <t>year</t>
    <phoneticPr fontId="9"/>
  </si>
  <si>
    <t>地下水パラメーター</t>
    <rPh sb="0" eb="3">
      <t>チカスイ</t>
    </rPh>
    <phoneticPr fontId="8"/>
  </si>
  <si>
    <t>k</t>
    <phoneticPr fontId="9"/>
  </si>
  <si>
    <t>m/s</t>
    <phoneticPr fontId="9"/>
  </si>
  <si>
    <t>i</t>
    <phoneticPr fontId="9"/>
  </si>
  <si>
    <t>m/m</t>
    <phoneticPr fontId="9"/>
  </si>
  <si>
    <t>-</t>
    <phoneticPr fontId="9"/>
  </si>
  <si>
    <r>
      <t>α</t>
    </r>
    <r>
      <rPr>
        <vertAlign val="subscript"/>
        <sz val="14"/>
        <rFont val="Times New Roman"/>
        <family val="1"/>
      </rPr>
      <t>x</t>
    </r>
    <phoneticPr fontId="9"/>
  </si>
  <si>
    <r>
      <t>α</t>
    </r>
    <r>
      <rPr>
        <vertAlign val="subscript"/>
        <sz val="14"/>
        <rFont val="ＭＳ Ｐゴシック"/>
        <family val="3"/>
        <charset val="128"/>
      </rPr>
      <t>ｙ</t>
    </r>
    <phoneticPr fontId="9"/>
  </si>
  <si>
    <r>
      <t>α</t>
    </r>
    <r>
      <rPr>
        <vertAlign val="subscript"/>
        <sz val="14"/>
        <rFont val="Times New Roman"/>
        <family val="1"/>
      </rPr>
      <t>z</t>
    </r>
    <phoneticPr fontId="9"/>
  </si>
  <si>
    <r>
      <rPr>
        <b/>
        <sz val="14"/>
        <rFont val="ＭＳ 明朝"/>
        <family val="2"/>
        <charset val="128"/>
      </rPr>
      <t>対象物質の物性</t>
    </r>
    <rPh sb="0" eb="2">
      <t>タイショウ</t>
    </rPh>
    <rPh sb="2" eb="4">
      <t>ブッシツ</t>
    </rPh>
    <rPh sb="5" eb="7">
      <t>ブッセイ</t>
    </rPh>
    <phoneticPr fontId="8"/>
  </si>
  <si>
    <r>
      <t>t</t>
    </r>
    <r>
      <rPr>
        <vertAlign val="subscript"/>
        <sz val="14"/>
        <rFont val="Times New Roman"/>
        <family val="1"/>
      </rPr>
      <t>1/2</t>
    </r>
    <phoneticPr fontId="9"/>
  </si>
  <si>
    <t>year</t>
    <phoneticPr fontId="9"/>
  </si>
  <si>
    <t>Kd</t>
    <phoneticPr fontId="9"/>
  </si>
  <si>
    <t>cm3-H2O/g-soil</t>
    <phoneticPr fontId="9"/>
  </si>
  <si>
    <t>Koc</t>
    <phoneticPr fontId="9"/>
  </si>
  <si>
    <t>有機炭素－水分配係数</t>
    <phoneticPr fontId="9"/>
  </si>
  <si>
    <t>cm3-H2O/g-OC</t>
    <phoneticPr fontId="9"/>
  </si>
  <si>
    <t>foc</t>
    <phoneticPr fontId="9"/>
  </si>
  <si>
    <t>有機炭素含有量</t>
    <phoneticPr fontId="9"/>
  </si>
  <si>
    <t>g-C/g-soil</t>
    <phoneticPr fontId="9"/>
  </si>
  <si>
    <t>ρd</t>
    <phoneticPr fontId="9"/>
  </si>
  <si>
    <t>土壌乾燥密度</t>
    <phoneticPr fontId="9"/>
  </si>
  <si>
    <t>kg/L</t>
    <phoneticPr fontId="9"/>
  </si>
  <si>
    <t>G</t>
    <phoneticPr fontId="9"/>
  </si>
  <si>
    <t>涵養量</t>
    <rPh sb="0" eb="2">
      <t>カンヨウ</t>
    </rPh>
    <rPh sb="2" eb="3">
      <t>リョウ</t>
    </rPh>
    <phoneticPr fontId="9"/>
  </si>
  <si>
    <t>m/year</t>
    <phoneticPr fontId="9"/>
  </si>
  <si>
    <t>ｆ</t>
    <phoneticPr fontId="9"/>
  </si>
  <si>
    <t>浸透過程での濃度減衰率</t>
    <rPh sb="0" eb="2">
      <t>シントウ</t>
    </rPh>
    <rPh sb="2" eb="4">
      <t>カテイ</t>
    </rPh>
    <rPh sb="6" eb="8">
      <t>ノウド</t>
    </rPh>
    <rPh sb="8" eb="10">
      <t>ゲンスイ</t>
    </rPh>
    <rPh sb="10" eb="11">
      <t>リツ</t>
    </rPh>
    <phoneticPr fontId="9"/>
  </si>
  <si>
    <t>―</t>
    <phoneticPr fontId="9"/>
  </si>
  <si>
    <t>計算値</t>
    <rPh sb="0" eb="3">
      <t>ケイサンチ</t>
    </rPh>
    <phoneticPr fontId="8"/>
  </si>
  <si>
    <t>λ</t>
    <phoneticPr fontId="9"/>
  </si>
  <si>
    <t>１／ｙ</t>
    <phoneticPr fontId="9"/>
  </si>
  <si>
    <t>v</t>
    <phoneticPr fontId="9"/>
  </si>
  <si>
    <t>m/ｙ</t>
    <phoneticPr fontId="9"/>
  </si>
  <si>
    <t>k</t>
    <phoneticPr fontId="9"/>
  </si>
  <si>
    <t>RET</t>
    <phoneticPr fontId="9"/>
  </si>
  <si>
    <r>
      <rPr>
        <sz val="14"/>
        <rFont val="ＭＳ 明朝"/>
        <family val="2"/>
        <charset val="128"/>
      </rPr>
      <t>計算値</t>
    </r>
    <rPh sb="0" eb="3">
      <t>ケイサンチ</t>
    </rPh>
    <phoneticPr fontId="8"/>
  </si>
  <si>
    <t>①の中の式</t>
    <rPh sb="2" eb="3">
      <t>ナカ</t>
    </rPh>
    <rPh sb="4" eb="5">
      <t>シキ</t>
    </rPh>
    <phoneticPr fontId="8"/>
  </si>
  <si>
    <t>①X減衰項</t>
    <rPh sb="2" eb="4">
      <t>ゲンスイ</t>
    </rPh>
    <rPh sb="4" eb="5">
      <t>コウ</t>
    </rPh>
    <phoneticPr fontId="9"/>
  </si>
  <si>
    <t>←汚染源深さの上限を設定</t>
    <rPh sb="1" eb="4">
      <t>オセンゲン</t>
    </rPh>
    <rPh sb="4" eb="5">
      <t>フカ</t>
    </rPh>
    <rPh sb="7" eb="9">
      <t>ジョウゲン</t>
    </rPh>
    <rPh sb="10" eb="12">
      <t>セッテイ</t>
    </rPh>
    <phoneticPr fontId="8"/>
  </si>
  <si>
    <r>
      <t>C</t>
    </r>
    <r>
      <rPr>
        <vertAlign val="subscript"/>
        <sz val="14"/>
        <rFont val="Times New Roman"/>
        <family val="1"/>
      </rPr>
      <t>GW</t>
    </r>
    <r>
      <rPr>
        <sz val="14"/>
        <rFont val="Times New Roman"/>
        <family val="1"/>
      </rPr>
      <t>(x,y,t)/Cgw_0</t>
    </r>
    <phoneticPr fontId="9"/>
  </si>
  <si>
    <t>地下水濃度減衰比（t考慮）</t>
    <rPh sb="0" eb="3">
      <t>チカスイ</t>
    </rPh>
    <rPh sb="3" eb="5">
      <t>ノウド</t>
    </rPh>
    <rPh sb="5" eb="7">
      <t>ゲンスイ</t>
    </rPh>
    <rPh sb="7" eb="8">
      <t>ヒ</t>
    </rPh>
    <rPh sb="10" eb="12">
      <t>コウリョ</t>
    </rPh>
    <phoneticPr fontId="9"/>
  </si>
  <si>
    <t>比率</t>
    <rPh sb="0" eb="2">
      <t>ヒリツ</t>
    </rPh>
    <phoneticPr fontId="8"/>
  </si>
  <si>
    <r>
      <t>C</t>
    </r>
    <r>
      <rPr>
        <vertAlign val="subscript"/>
        <sz val="14"/>
        <rFont val="Times New Roman"/>
        <family val="1"/>
      </rPr>
      <t>GW</t>
    </r>
    <r>
      <rPr>
        <sz val="14"/>
        <rFont val="Times New Roman"/>
        <family val="1"/>
      </rPr>
      <t>(x,y,</t>
    </r>
    <r>
      <rPr>
        <sz val="14"/>
        <rFont val="ＭＳ Ｐ明朝"/>
        <family val="1"/>
        <charset val="128"/>
      </rPr>
      <t>∞</t>
    </r>
    <r>
      <rPr>
        <sz val="14"/>
        <rFont val="Times New Roman"/>
        <family val="1"/>
      </rPr>
      <t>)/Cgw_0</t>
    </r>
    <phoneticPr fontId="9"/>
  </si>
  <si>
    <t>地下水濃度減衰比（t=∞）</t>
    <rPh sb="0" eb="3">
      <t>チカスイ</t>
    </rPh>
    <rPh sb="3" eb="5">
      <t>ノウド</t>
    </rPh>
    <rPh sb="5" eb="7">
      <t>ゲンスイ</t>
    </rPh>
    <rPh sb="7" eb="8">
      <t>ヒ</t>
    </rPh>
    <phoneticPr fontId="9"/>
  </si>
  <si>
    <t>地上部からの灌水量</t>
    <rPh sb="0" eb="2">
      <t>チジョウ</t>
    </rPh>
    <rPh sb="2" eb="3">
      <t>ブ</t>
    </rPh>
    <rPh sb="6" eb="8">
      <t>カンスイ</t>
    </rPh>
    <rPh sb="8" eb="9">
      <t>リョウ</t>
    </rPh>
    <phoneticPr fontId="9"/>
  </si>
  <si>
    <t>m3/year</t>
    <phoneticPr fontId="9"/>
  </si>
  <si>
    <t>地下水流入量</t>
    <rPh sb="0" eb="3">
      <t>チカスイ</t>
    </rPh>
    <rPh sb="3" eb="5">
      <t>リュウニュウ</t>
    </rPh>
    <rPh sb="5" eb="6">
      <t>リョウ</t>
    </rPh>
    <phoneticPr fontId="9"/>
  </si>
  <si>
    <t>汚染帯水層の間隙水量</t>
    <rPh sb="0" eb="2">
      <t>オセン</t>
    </rPh>
    <rPh sb="2" eb="5">
      <t>タイスイソウ</t>
    </rPh>
    <rPh sb="6" eb="8">
      <t>カンゲキ</t>
    </rPh>
    <rPh sb="8" eb="9">
      <t>スイ</t>
    </rPh>
    <rPh sb="9" eb="10">
      <t>リョウ</t>
    </rPh>
    <phoneticPr fontId="9"/>
  </si>
  <si>
    <t>m3</t>
    <phoneticPr fontId="9"/>
  </si>
  <si>
    <t>措置の目標値</t>
    <rPh sb="0" eb="2">
      <t>ソチ</t>
    </rPh>
    <rPh sb="3" eb="6">
      <t>モクヒョウチ</t>
    </rPh>
    <phoneticPr fontId="8"/>
  </si>
  <si>
    <t>(1)汚染源地下水</t>
    <rPh sb="3" eb="6">
      <t>オセンゲン</t>
    </rPh>
    <rPh sb="6" eb="9">
      <t>チカスイ</t>
    </rPh>
    <phoneticPr fontId="8"/>
  </si>
  <si>
    <t>汚染源地下水</t>
    <rPh sb="0" eb="3">
      <t>オセンゲン</t>
    </rPh>
    <rPh sb="3" eb="6">
      <t>チカスイ</t>
    </rPh>
    <phoneticPr fontId="8"/>
  </si>
  <si>
    <t>評価地点</t>
    <rPh sb="0" eb="2">
      <t>ヒョウカ</t>
    </rPh>
    <rPh sb="2" eb="4">
      <t>チテン</t>
    </rPh>
    <phoneticPr fontId="8"/>
  </si>
  <si>
    <t>減衰率</t>
    <rPh sb="0" eb="2">
      <t>ゲンスイ</t>
    </rPh>
    <rPh sb="2" eb="3">
      <t>リツ</t>
    </rPh>
    <phoneticPr fontId="9"/>
  </si>
  <si>
    <t>目標地下水濃度(mg/L）</t>
    <rPh sb="0" eb="2">
      <t>モクヒョウ</t>
    </rPh>
    <rPh sb="2" eb="5">
      <t>チカスイ</t>
    </rPh>
    <rPh sb="5" eb="7">
      <t>ノウド</t>
    </rPh>
    <phoneticPr fontId="9"/>
  </si>
  <si>
    <t>（２）地表部土壌（土壌溶出量）</t>
    <rPh sb="3" eb="5">
      <t>チヒョウ</t>
    </rPh>
    <rPh sb="5" eb="6">
      <t>ブ</t>
    </rPh>
    <rPh sb="6" eb="8">
      <t>ドジョウ</t>
    </rPh>
    <rPh sb="9" eb="11">
      <t>ドジョウ</t>
    </rPh>
    <rPh sb="11" eb="13">
      <t>ヨウシュツ</t>
    </rPh>
    <rPh sb="13" eb="14">
      <t>リョウ</t>
    </rPh>
    <phoneticPr fontId="8"/>
  </si>
  <si>
    <t>土壌</t>
    <rPh sb="0" eb="2">
      <t>ドジョウ</t>
    </rPh>
    <phoneticPr fontId="8"/>
  </si>
  <si>
    <t>-</t>
    <phoneticPr fontId="8"/>
  </si>
  <si>
    <t>目標土壌溶出量濃度(mg/L)</t>
    <rPh sb="0" eb="2">
      <t>モクヒョウ</t>
    </rPh>
    <rPh sb="2" eb="4">
      <t>ドジョウ</t>
    </rPh>
    <rPh sb="4" eb="6">
      <t>ヨウシュツ</t>
    </rPh>
    <rPh sb="6" eb="7">
      <t>リョウ</t>
    </rPh>
    <rPh sb="7" eb="9">
      <t>ノウド</t>
    </rPh>
    <phoneticPr fontId="8"/>
  </si>
  <si>
    <t>第2土壌溶出量濃度(mg/L)</t>
    <rPh sb="0" eb="1">
      <t>ダイ</t>
    </rPh>
    <rPh sb="2" eb="4">
      <t>ドジョウ</t>
    </rPh>
    <rPh sb="4" eb="6">
      <t>ヨウシュツ</t>
    </rPh>
    <rPh sb="6" eb="7">
      <t>リョウ</t>
    </rPh>
    <rPh sb="7" eb="9">
      <t>ノウド</t>
    </rPh>
    <phoneticPr fontId="8"/>
  </si>
  <si>
    <t>対策目標・土壌溶出量</t>
    <rPh sb="0" eb="2">
      <t>タイサク</t>
    </rPh>
    <rPh sb="2" eb="4">
      <t>モクヒョウ</t>
    </rPh>
    <rPh sb="5" eb="7">
      <t>ドジョウ</t>
    </rPh>
    <rPh sb="7" eb="9">
      <t>ヨウシュツ</t>
    </rPh>
    <rPh sb="9" eb="10">
      <t>リョウ</t>
    </rPh>
    <phoneticPr fontId="8"/>
  </si>
  <si>
    <t>mg/L</t>
    <phoneticPr fontId="8"/>
  </si>
  <si>
    <t>（3）帯水層土壌（土壌溶出量）</t>
    <rPh sb="3" eb="4">
      <t>オビ</t>
    </rPh>
    <rPh sb="4" eb="6">
      <t>スイソウ</t>
    </rPh>
    <rPh sb="6" eb="8">
      <t>ドジョウ</t>
    </rPh>
    <rPh sb="9" eb="11">
      <t>ドジョウ</t>
    </rPh>
    <rPh sb="11" eb="13">
      <t>ヨウシュツ</t>
    </rPh>
    <rPh sb="13" eb="14">
      <t>リョウ</t>
    </rPh>
    <phoneticPr fontId="8"/>
  </si>
  <si>
    <t>第2溶出量基準</t>
    <rPh sb="0" eb="1">
      <t>ダイ</t>
    </rPh>
    <rPh sb="2" eb="4">
      <t>ヨウシュツ</t>
    </rPh>
    <rPh sb="4" eb="5">
      <t>リョウ</t>
    </rPh>
    <rPh sb="5" eb="7">
      <t>キジュン</t>
    </rPh>
    <phoneticPr fontId="4"/>
  </si>
  <si>
    <t>間隙率</t>
    <rPh sb="0" eb="2">
      <t>カンゲキ</t>
    </rPh>
    <rPh sb="2" eb="3">
      <t>リツ</t>
    </rPh>
    <phoneticPr fontId="4"/>
  </si>
  <si>
    <t>k</t>
    <phoneticPr fontId="4"/>
  </si>
  <si>
    <t>ne</t>
    <phoneticPr fontId="4"/>
  </si>
  <si>
    <t>n</t>
    <phoneticPr fontId="4"/>
  </si>
  <si>
    <t>ρs</t>
    <phoneticPr fontId="4"/>
  </si>
  <si>
    <t>ρｄ</t>
    <phoneticPr fontId="4"/>
  </si>
  <si>
    <t>foc</t>
    <phoneticPr fontId="4"/>
  </si>
  <si>
    <t>m/s</t>
    <phoneticPr fontId="4"/>
  </si>
  <si>
    <t>m3/m3</t>
    <phoneticPr fontId="4"/>
  </si>
  <si>
    <t>t/m3</t>
    <phoneticPr fontId="4"/>
  </si>
  <si>
    <t>g/g</t>
    <phoneticPr fontId="4"/>
  </si>
  <si>
    <t>ＰＣＢ</t>
    <phoneticPr fontId="4"/>
  </si>
  <si>
    <t>有機炭素分配係数</t>
    <phoneticPr fontId="4"/>
  </si>
  <si>
    <t>-</t>
    <phoneticPr fontId="4"/>
  </si>
  <si>
    <t>テトラクロロエチレン</t>
    <phoneticPr fontId="4"/>
  </si>
  <si>
    <t>n</t>
    <phoneticPr fontId="4"/>
  </si>
  <si>
    <t>ne</t>
    <phoneticPr fontId="9"/>
  </si>
  <si>
    <t>間隙率</t>
    <rPh sb="0" eb="2">
      <t>カンゲキ</t>
    </rPh>
    <rPh sb="2" eb="3">
      <t>リツ</t>
    </rPh>
    <phoneticPr fontId="9"/>
  </si>
  <si>
    <t>帯水層の有効間隙率</t>
    <rPh sb="0" eb="1">
      <t>オビ</t>
    </rPh>
    <rPh sb="1" eb="2">
      <t>スイ</t>
    </rPh>
    <rPh sb="2" eb="3">
      <t>ソウ</t>
    </rPh>
    <rPh sb="4" eb="6">
      <t>ユウコウ</t>
    </rPh>
    <rPh sb="6" eb="8">
      <t>カンゲキ</t>
    </rPh>
    <rPh sb="8" eb="9">
      <t>リツ</t>
    </rPh>
    <phoneticPr fontId="9"/>
  </si>
  <si>
    <t>地上部からの灌水量/地下水流入量</t>
    <rPh sb="0" eb="2">
      <t>チジョウ</t>
    </rPh>
    <rPh sb="2" eb="3">
      <t>ブ</t>
    </rPh>
    <rPh sb="6" eb="8">
      <t>カンスイ</t>
    </rPh>
    <rPh sb="8" eb="9">
      <t>リョウ</t>
    </rPh>
    <rPh sb="10" eb="13">
      <t>チカスイ</t>
    </rPh>
    <rPh sb="13" eb="15">
      <t>リュウニュウ</t>
    </rPh>
    <rPh sb="15" eb="16">
      <t>リョウ</t>
    </rPh>
    <phoneticPr fontId="9"/>
  </si>
  <si>
    <t>汚染帯水層の間隙水量/地下水流入量</t>
    <rPh sb="0" eb="2">
      <t>オセン</t>
    </rPh>
    <rPh sb="2" eb="3">
      <t>タイ</t>
    </rPh>
    <rPh sb="3" eb="4">
      <t>スイ</t>
    </rPh>
    <rPh sb="4" eb="5">
      <t>ソウ</t>
    </rPh>
    <rPh sb="6" eb="8">
      <t>カンゲキ</t>
    </rPh>
    <rPh sb="8" eb="10">
      <t>スイリョウ</t>
    </rPh>
    <rPh sb="11" eb="14">
      <t>チカスイ</t>
    </rPh>
    <rPh sb="14" eb="16">
      <t>リュウニュウ</t>
    </rPh>
    <rPh sb="16" eb="17">
      <t>リョウ</t>
    </rPh>
    <phoneticPr fontId="9"/>
  </si>
  <si>
    <r>
      <t>Cgw_0/C</t>
    </r>
    <r>
      <rPr>
        <vertAlign val="subscript"/>
        <sz val="14"/>
        <rFont val="ＭＳ Ｐ明朝"/>
        <family val="1"/>
        <charset val="128"/>
      </rPr>
      <t>SL</t>
    </r>
    <phoneticPr fontId="8"/>
  </si>
  <si>
    <t>170904修正=灌水量/(灌水量＋地下水流入量)</t>
    <rPh sb="6" eb="8">
      <t>シュウセイ</t>
    </rPh>
    <rPh sb="9" eb="11">
      <t>カンスイ</t>
    </rPh>
    <rPh sb="11" eb="12">
      <t>リョウ</t>
    </rPh>
    <rPh sb="14" eb="16">
      <t>カンスイ</t>
    </rPh>
    <rPh sb="16" eb="17">
      <t>リョウ</t>
    </rPh>
    <rPh sb="18" eb="21">
      <t>チカスイ</t>
    </rPh>
    <rPh sb="21" eb="23">
      <t>リュウニュウ</t>
    </rPh>
    <rPh sb="23" eb="24">
      <t>リョウ</t>
    </rPh>
    <phoneticPr fontId="4"/>
  </si>
  <si>
    <r>
      <rPr>
        <sz val="11"/>
        <color rgb="FFFF0000"/>
        <rFont val="ＭＳ 明朝"/>
        <family val="1"/>
        <charset val="128"/>
      </rPr>
      <t>170908</t>
    </r>
    <r>
      <rPr>
        <sz val="11"/>
        <color rgb="FFFF0000"/>
        <rFont val="ＭＳ 明朝"/>
        <family val="2"/>
        <charset val="128"/>
      </rPr>
      <t>帯水層では希釈されないとして、Cgw_0=C</t>
    </r>
    <r>
      <rPr>
        <vertAlign val="subscript"/>
        <sz val="11"/>
        <color rgb="FFFF0000"/>
        <rFont val="ＭＳ 明朝"/>
        <family val="1"/>
        <charset val="128"/>
      </rPr>
      <t>SL</t>
    </r>
    <rPh sb="6" eb="7">
      <t>タイ</t>
    </rPh>
    <rPh sb="7" eb="8">
      <t>スイ</t>
    </rPh>
    <rPh sb="8" eb="9">
      <t>ソウ</t>
    </rPh>
    <rPh sb="11" eb="13">
      <t>キシャク</t>
    </rPh>
    <phoneticPr fontId="4"/>
  </si>
  <si>
    <r>
      <t>170908修正_</t>
    </r>
    <r>
      <rPr>
        <sz val="11"/>
        <color rgb="FFFF0000"/>
        <rFont val="ＭＳ 明朝"/>
        <family val="2"/>
        <charset val="128"/>
      </rPr>
      <t>帯水層では希釈されないとして、Cgw_0=C</t>
    </r>
    <r>
      <rPr>
        <vertAlign val="subscript"/>
        <sz val="11"/>
        <color rgb="FFFF0000"/>
        <rFont val="ＭＳ 明朝"/>
        <family val="1"/>
        <charset val="128"/>
      </rPr>
      <t>SL</t>
    </r>
    <rPh sb="6" eb="8">
      <t>シュウセイ</t>
    </rPh>
    <rPh sb="9" eb="10">
      <t>タイ</t>
    </rPh>
    <rPh sb="10" eb="11">
      <t>スイ</t>
    </rPh>
    <rPh sb="11" eb="12">
      <t>ソウ</t>
    </rPh>
    <rPh sb="14" eb="16">
      <t>キシャク</t>
    </rPh>
    <phoneticPr fontId="4"/>
  </si>
  <si>
    <t>整理番号</t>
  </si>
  <si>
    <t>指定年月日</t>
  </si>
  <si>
    <t>指定番号</t>
  </si>
  <si>
    <t>①</t>
    <phoneticPr fontId="4"/>
  </si>
  <si>
    <t>②</t>
    <phoneticPr fontId="4"/>
  </si>
  <si>
    <t>③</t>
    <phoneticPr fontId="4"/>
  </si>
  <si>
    <t>地形情報パラメーター</t>
    <rPh sb="0" eb="2">
      <t>チケイ</t>
    </rPh>
    <rPh sb="2" eb="4">
      <t>ジョウホウ</t>
    </rPh>
    <phoneticPr fontId="4"/>
  </si>
  <si>
    <t>実流速</t>
    <rPh sb="0" eb="1">
      <t>ジツ</t>
    </rPh>
    <rPh sb="1" eb="3">
      <t>リュウソク</t>
    </rPh>
    <phoneticPr fontId="4"/>
  </si>
  <si>
    <t>Vs</t>
    <phoneticPr fontId="4"/>
  </si>
  <si>
    <t>m/y</t>
    <phoneticPr fontId="4"/>
  </si>
  <si>
    <t>遅延係数</t>
    <rPh sb="0" eb="2">
      <t>チエン</t>
    </rPh>
    <rPh sb="2" eb="4">
      <t>ケイスウ</t>
    </rPh>
    <phoneticPr fontId="4"/>
  </si>
  <si>
    <t>Rd</t>
    <phoneticPr fontId="4"/>
  </si>
  <si>
    <t>距　離</t>
    <rPh sb="0" eb="1">
      <t>キョ</t>
    </rPh>
    <rPh sb="2" eb="3">
      <t>ハナレ</t>
    </rPh>
    <phoneticPr fontId="8"/>
  </si>
  <si>
    <r>
      <t>T</t>
    </r>
    <r>
      <rPr>
        <vertAlign val="subscript"/>
        <sz val="12"/>
        <color theme="1"/>
        <rFont val="ＭＳ Ｐゴシック"/>
        <family val="3"/>
        <charset val="128"/>
        <scheme val="major"/>
      </rPr>
      <t>1/2</t>
    </r>
    <phoneticPr fontId="4"/>
  </si>
  <si>
    <t>備　考</t>
    <rPh sb="0" eb="1">
      <t>ソナエ</t>
    </rPh>
    <rPh sb="2" eb="3">
      <t>コウ</t>
    </rPh>
    <phoneticPr fontId="4"/>
  </si>
  <si>
    <t>【区域情報】</t>
    <rPh sb="1" eb="3">
      <t>クイキ</t>
    </rPh>
    <rPh sb="3" eb="5">
      <t>ジョウホウ</t>
    </rPh>
    <phoneticPr fontId="4"/>
  </si>
  <si>
    <t>（参考）文献値①</t>
  </si>
  <si>
    <r>
      <t>＜第一種特定有害物質：</t>
    </r>
    <r>
      <rPr>
        <sz val="11"/>
        <color rgb="FF000000"/>
        <rFont val="Arial"/>
        <family val="2"/>
      </rPr>
      <t>Koc</t>
    </r>
    <r>
      <rPr>
        <sz val="11"/>
        <color rgb="FF000000"/>
        <rFont val="ＭＳ Ｐゴシック"/>
        <family val="3"/>
        <charset val="128"/>
        <scheme val="minor"/>
      </rPr>
      <t>＞引用文献</t>
    </r>
    <phoneticPr fontId="4"/>
  </si>
  <si>
    <t>　1)U.S EPA(1996)：Soil Screening Guidance:User's Guide</t>
  </si>
  <si>
    <t>　2)(財)化学物質評価研究機構：化学物質安全性（ハザード）評価シート</t>
  </si>
  <si>
    <t>　3)Yaws(1999) Chemical Properties handbook, tha McGraw-Hill Co.</t>
  </si>
  <si>
    <t>　4)Texas Risk Reduction Program ,RG-366 TRRP-19,Toxicity Factors and Chemical/Physical Parameters,June 2011</t>
  </si>
  <si>
    <t>　5)CERI 有害性評価書</t>
  </si>
  <si>
    <t>　6)環境省 化学物質の環境リスク評価</t>
  </si>
  <si>
    <t>　7)Handbook of Environmental Degradation Ratesの地下水中におけるHalf Lives のHighとLowの内、Highの値を採用</t>
  </si>
  <si>
    <r>
      <t>（参考）</t>
    </r>
    <r>
      <rPr>
        <sz val="11"/>
        <color rgb="FF000000"/>
        <rFont val="Arial"/>
        <family val="2"/>
      </rPr>
      <t xml:space="preserve"> </t>
    </r>
    <r>
      <rPr>
        <sz val="11"/>
        <color rgb="FF000000"/>
        <rFont val="ＭＳ Ｐゴシック"/>
        <family val="3"/>
        <charset val="128"/>
        <scheme val="minor"/>
      </rPr>
      <t>文献値②</t>
    </r>
    <phoneticPr fontId="4"/>
  </si>
  <si>
    <r>
      <t>＜第二種特定有害物質、第三種特定有害物質</t>
    </r>
    <r>
      <rPr>
        <sz val="11"/>
        <color rgb="FF000000"/>
        <rFont val="Arial"/>
        <family val="2"/>
      </rPr>
      <t>K</t>
    </r>
    <r>
      <rPr>
        <vertAlign val="subscript"/>
        <sz val="11"/>
        <color rgb="FF000000"/>
        <rFont val="Arial"/>
        <family val="2"/>
      </rPr>
      <t>d</t>
    </r>
    <r>
      <rPr>
        <sz val="11"/>
        <color rgb="FF000000"/>
        <rFont val="ＭＳ Ｐゴシック"/>
        <family val="3"/>
        <charset val="128"/>
        <scheme val="minor"/>
      </rPr>
      <t>＞引用文献</t>
    </r>
    <phoneticPr fontId="4"/>
  </si>
  <si>
    <t>　1)建設省官民連携共同研究「地盤環境の性状保全型建設技術の開発」で行われたバッチ試験に基づく土の重金属吸着能の評価結果を踏まえ、吸着係数及び吸着指数を設定し、Kd＝k Cn-1）より算出.</t>
  </si>
  <si>
    <t>　2)西尾高好（1990）：産業公害，26(4)，289-295を日本地下水学会編（2010）：「地下水シミュレーション」. 技報堂出版が引用.</t>
  </si>
  <si>
    <t>　3) Texas Risk Reduction Program ,RG-366 TRRP-19,Toxicity Factors and Chemical/Physical Parameters,June 2011.</t>
  </si>
  <si>
    <t>　4) U.S.EPA(2005). Metal partition coefficients (log Kd) in L/kg for soil/soil water, PARTITION COEFFICIENTS FOR METALS IN SURFACE WATER, SOIL, AND WASTE, Table 3, EPA/600/R-05/074</t>
  </si>
  <si>
    <t>　5)Van den Hoop(1995)  6)Bockting et al.(1992)  7)Sauve(2000)  8)Otte et al.(2000)</t>
  </si>
  <si>
    <t>ｍ</t>
    <phoneticPr fontId="4"/>
  </si>
  <si>
    <t>G</t>
    <phoneticPr fontId="4"/>
  </si>
  <si>
    <t>汚染原位置</t>
    <rPh sb="0" eb="2">
      <t>オセン</t>
    </rPh>
    <rPh sb="2" eb="5">
      <t>ゲンイチ</t>
    </rPh>
    <phoneticPr fontId="4"/>
  </si>
  <si>
    <t>⑤</t>
    <phoneticPr fontId="4"/>
  </si>
  <si>
    <t>第一種特定有害物質</t>
    <rPh sb="0" eb="1">
      <t>ダイ</t>
    </rPh>
    <rPh sb="1" eb="2">
      <t>１</t>
    </rPh>
    <rPh sb="2" eb="3">
      <t>シュ</t>
    </rPh>
    <rPh sb="3" eb="5">
      <t>トクテイ</t>
    </rPh>
    <rPh sb="5" eb="7">
      <t>ユウガイ</t>
    </rPh>
    <rPh sb="7" eb="9">
      <t>ブッシツ</t>
    </rPh>
    <phoneticPr fontId="4"/>
  </si>
  <si>
    <t>第二種特定有害物質</t>
    <rPh sb="0" eb="1">
      <t>ダイ</t>
    </rPh>
    <rPh sb="1" eb="2">
      <t>２</t>
    </rPh>
    <rPh sb="2" eb="3">
      <t>シュ</t>
    </rPh>
    <rPh sb="3" eb="5">
      <t>トクテイ</t>
    </rPh>
    <rPh sb="5" eb="7">
      <t>ユウガイ</t>
    </rPh>
    <rPh sb="7" eb="9">
      <t>ブッシツ</t>
    </rPh>
    <phoneticPr fontId="4"/>
  </si>
  <si>
    <t>第三種特定有害物質</t>
    <rPh sb="0" eb="1">
      <t>ダイ</t>
    </rPh>
    <rPh sb="1" eb="2">
      <t>３</t>
    </rPh>
    <rPh sb="2" eb="3">
      <t>シュ</t>
    </rPh>
    <rPh sb="3" eb="5">
      <t>トクテイ</t>
    </rPh>
    <rPh sb="5" eb="7">
      <t>ユウガイ</t>
    </rPh>
    <rPh sb="7" eb="9">
      <t>ブッシツ</t>
    </rPh>
    <phoneticPr fontId="4"/>
  </si>
  <si>
    <t>クロロエチレン</t>
  </si>
  <si>
    <t>クロロエチレン</t>
    <phoneticPr fontId="8"/>
  </si>
  <si>
    <t>ジクロロメタン</t>
    <phoneticPr fontId="8"/>
  </si>
  <si>
    <t>四塩化炭素</t>
    <rPh sb="0" eb="1">
      <t>シ</t>
    </rPh>
    <rPh sb="1" eb="3">
      <t>エンカ</t>
    </rPh>
    <rPh sb="3" eb="5">
      <t>タンソ</t>
    </rPh>
    <phoneticPr fontId="8"/>
  </si>
  <si>
    <t>1,2-ジクロロエタン</t>
    <phoneticPr fontId="8"/>
  </si>
  <si>
    <t>1,1-ジクロロエチレン</t>
  </si>
  <si>
    <t>1,1-ジクロロエチレン</t>
    <phoneticPr fontId="8"/>
  </si>
  <si>
    <t>シス-1,2-ジクロロエチレン</t>
    <phoneticPr fontId="8"/>
  </si>
  <si>
    <t>トランス-1,2-ジクロロエチレン</t>
  </si>
  <si>
    <t>トランス-1,2-ジクロロエチレン</t>
    <phoneticPr fontId="8"/>
  </si>
  <si>
    <t>1,1,1-トリクロロエタン</t>
  </si>
  <si>
    <t>1,1,1-トリクロロエタン</t>
    <phoneticPr fontId="8"/>
  </si>
  <si>
    <t>1,1,2-トリクロロエタン</t>
  </si>
  <si>
    <t>1,1,2-トリクロロエタン</t>
    <phoneticPr fontId="8"/>
  </si>
  <si>
    <t>トリクロロエチレン</t>
  </si>
  <si>
    <t>トリクロロエチレン</t>
    <phoneticPr fontId="8"/>
  </si>
  <si>
    <t>テトラクロロエチレン</t>
  </si>
  <si>
    <t>テトラクロロエチレン</t>
    <phoneticPr fontId="8"/>
  </si>
  <si>
    <t>1,3-ジクロロプロペン</t>
  </si>
  <si>
    <t>1,3-ジクロロプロペン</t>
    <phoneticPr fontId="8"/>
  </si>
  <si>
    <t>ベンゼン</t>
  </si>
  <si>
    <t>ベンゼン</t>
    <phoneticPr fontId="8"/>
  </si>
  <si>
    <t>鉛</t>
    <rPh sb="0" eb="1">
      <t>ナマリ</t>
    </rPh>
    <phoneticPr fontId="8"/>
  </si>
  <si>
    <t>カドミウム</t>
    <phoneticPr fontId="8"/>
  </si>
  <si>
    <t>水銀</t>
    <rPh sb="0" eb="2">
      <t>スイギン</t>
    </rPh>
    <phoneticPr fontId="8"/>
  </si>
  <si>
    <t>砒素</t>
    <rPh sb="0" eb="2">
      <t>ヒソ</t>
    </rPh>
    <phoneticPr fontId="8"/>
  </si>
  <si>
    <t>六価クロム</t>
    <rPh sb="0" eb="1">
      <t>ロク</t>
    </rPh>
    <rPh sb="1" eb="2">
      <t>カ</t>
    </rPh>
    <phoneticPr fontId="8"/>
  </si>
  <si>
    <t>ふっ素</t>
    <rPh sb="2" eb="3">
      <t>ソ</t>
    </rPh>
    <phoneticPr fontId="8"/>
  </si>
  <si>
    <t>ほう素</t>
    <rPh sb="2" eb="3">
      <t>ソ</t>
    </rPh>
    <phoneticPr fontId="8"/>
  </si>
  <si>
    <t>セレン</t>
    <phoneticPr fontId="8"/>
  </si>
  <si>
    <t>シアン</t>
    <phoneticPr fontId="8"/>
  </si>
  <si>
    <t>シマジン</t>
  </si>
  <si>
    <t>シマジン</t>
    <phoneticPr fontId="8"/>
  </si>
  <si>
    <t>チウラム</t>
  </si>
  <si>
    <t>チウラム</t>
    <phoneticPr fontId="8"/>
  </si>
  <si>
    <t>チオベンカルブ</t>
  </si>
  <si>
    <t>チオベンカルブ</t>
    <phoneticPr fontId="8"/>
  </si>
  <si>
    <t>PCB</t>
  </si>
  <si>
    <t>PCB</t>
    <phoneticPr fontId="8"/>
  </si>
  <si>
    <t>有機リン</t>
    <rPh sb="0" eb="2">
      <t>ユウキ</t>
    </rPh>
    <phoneticPr fontId="8"/>
  </si>
  <si>
    <t>No</t>
    <phoneticPr fontId="4"/>
  </si>
  <si>
    <t>土質情報</t>
    <phoneticPr fontId="4"/>
  </si>
  <si>
    <t>礫</t>
    <rPh sb="0" eb="1">
      <t>レキ</t>
    </rPh>
    <phoneticPr fontId="4"/>
  </si>
  <si>
    <t>砂礫</t>
    <rPh sb="0" eb="2">
      <t>サレキ</t>
    </rPh>
    <phoneticPr fontId="4"/>
  </si>
  <si>
    <t>砂</t>
    <rPh sb="0" eb="1">
      <t>スナ</t>
    </rPh>
    <phoneticPr fontId="4"/>
  </si>
  <si>
    <t>mm/day</t>
    <phoneticPr fontId="4"/>
  </si>
  <si>
    <t>Sw</t>
    <phoneticPr fontId="9"/>
  </si>
  <si>
    <t>SL</t>
    <phoneticPr fontId="9"/>
  </si>
  <si>
    <t>備考</t>
    <rPh sb="0" eb="2">
      <t>ビコウ</t>
    </rPh>
    <phoneticPr fontId="4"/>
  </si>
  <si>
    <t>最大10m</t>
    <rPh sb="0" eb="2">
      <t>サイダイ</t>
    </rPh>
    <phoneticPr fontId="4"/>
  </si>
  <si>
    <t>※プルダウンリストより対象物質を選択</t>
    <rPh sb="11" eb="13">
      <t>タイショウ</t>
    </rPh>
    <rPh sb="13" eb="15">
      <t>ブッシツ</t>
    </rPh>
    <rPh sb="16" eb="18">
      <t>センタク</t>
    </rPh>
    <phoneticPr fontId="4"/>
  </si>
  <si>
    <t>面　積</t>
    <phoneticPr fontId="4"/>
  </si>
  <si>
    <t>所在地</t>
    <rPh sb="0" eb="3">
      <t>ショザイチ</t>
    </rPh>
    <phoneticPr fontId="4"/>
  </si>
  <si>
    <r>
      <t>ｍ</t>
    </r>
    <r>
      <rPr>
        <vertAlign val="superscript"/>
        <sz val="12"/>
        <color theme="1"/>
        <rFont val="ＭＳ Ｐゴシック"/>
        <family val="3"/>
        <charset val="128"/>
        <scheme val="major"/>
      </rPr>
      <t>２</t>
    </r>
    <phoneticPr fontId="4"/>
  </si>
  <si>
    <t>100年後の汚染濃度</t>
    <rPh sb="8" eb="10">
      <t>ノウド</t>
    </rPh>
    <phoneticPr fontId="4"/>
  </si>
  <si>
    <t>シルト質砂</t>
    <phoneticPr fontId="4"/>
  </si>
  <si>
    <t>mg/L</t>
    <phoneticPr fontId="4"/>
  </si>
  <si>
    <t>評価地点までの距離</t>
  </si>
  <si>
    <t>m</t>
    <phoneticPr fontId="4"/>
  </si>
  <si>
    <t>基準不適合土壌の位置</t>
    <rPh sb="0" eb="2">
      <t>キジュン</t>
    </rPh>
    <rPh sb="2" eb="5">
      <t>フテキゴウ</t>
    </rPh>
    <rPh sb="5" eb="7">
      <t>ドジョウ</t>
    </rPh>
    <rPh sb="8" eb="10">
      <t>イチ</t>
    </rPh>
    <phoneticPr fontId="4"/>
  </si>
  <si>
    <r>
      <t>m</t>
    </r>
    <r>
      <rPr>
        <vertAlign val="superscript"/>
        <sz val="12"/>
        <color theme="1"/>
        <rFont val="ＭＳ Ｐゴシック"/>
        <family val="3"/>
        <charset val="128"/>
        <scheme val="major"/>
      </rPr>
      <t>3</t>
    </r>
    <r>
      <rPr>
        <sz val="12"/>
        <color theme="1"/>
        <rFont val="ＭＳ Ｐゴシック"/>
        <family val="3"/>
        <charset val="128"/>
        <scheme val="major"/>
      </rPr>
      <t>/m</t>
    </r>
    <r>
      <rPr>
        <vertAlign val="superscript"/>
        <sz val="12"/>
        <color theme="1"/>
        <rFont val="ＭＳ Ｐゴシック"/>
        <family val="3"/>
        <charset val="128"/>
        <scheme val="major"/>
      </rPr>
      <t>3</t>
    </r>
    <phoneticPr fontId="4"/>
  </si>
  <si>
    <r>
      <t>t/m</t>
    </r>
    <r>
      <rPr>
        <vertAlign val="superscript"/>
        <sz val="12"/>
        <color theme="1"/>
        <rFont val="ＭＳ Ｐゴシック"/>
        <family val="3"/>
        <charset val="128"/>
        <scheme val="major"/>
      </rPr>
      <t>3</t>
    </r>
    <phoneticPr fontId="4"/>
  </si>
  <si>
    <r>
      <t>t/m</t>
    </r>
    <r>
      <rPr>
        <vertAlign val="superscript"/>
        <sz val="12"/>
        <color theme="1"/>
        <rFont val="ＭＳ Ｐゴシック"/>
        <family val="3"/>
        <charset val="128"/>
        <scheme val="major"/>
      </rPr>
      <t>3</t>
    </r>
    <phoneticPr fontId="4"/>
  </si>
  <si>
    <t>計算パラメーター</t>
    <rPh sb="0" eb="2">
      <t>ケイサン</t>
    </rPh>
    <phoneticPr fontId="4"/>
  </si>
  <si>
    <t xml:space="preserve">基準不適合土壌が地下水位より深い位置に分布している
</t>
    <phoneticPr fontId="4"/>
  </si>
  <si>
    <t xml:space="preserve">基準不適合土壌が地下水位を、またいだ位置に分布している
</t>
    <phoneticPr fontId="4"/>
  </si>
  <si>
    <t>基準不適合土壌が地下水位より浅い位置に分布している</t>
    <phoneticPr fontId="4"/>
  </si>
  <si>
    <t>基準不適合土壌の幅</t>
    <rPh sb="5" eb="7">
      <t>ドジョウ</t>
    </rPh>
    <phoneticPr fontId="4"/>
  </si>
  <si>
    <t>基準不適合土壌の長さ</t>
    <phoneticPr fontId="4"/>
  </si>
  <si>
    <t>基準不適合土壌の大きさ</t>
    <rPh sb="0" eb="2">
      <t>キジュン</t>
    </rPh>
    <rPh sb="2" eb="5">
      <t>フテキゴウ</t>
    </rPh>
    <rPh sb="8" eb="9">
      <t>オオ</t>
    </rPh>
    <phoneticPr fontId="8"/>
  </si>
  <si>
    <t>Ｘ</t>
    <phoneticPr fontId="4"/>
  </si>
  <si>
    <t>Ｓｗ</t>
    <phoneticPr fontId="4"/>
  </si>
  <si>
    <t>ＳＬ</t>
    <phoneticPr fontId="4"/>
  </si>
  <si>
    <t>Ｓｄ</t>
    <phoneticPr fontId="4"/>
  </si>
  <si>
    <t>Ｇ</t>
    <phoneticPr fontId="4"/>
  </si>
  <si>
    <t>基準不適合土壌の大きさ</t>
    <rPh sb="0" eb="2">
      <t>キジュン</t>
    </rPh>
    <rPh sb="2" eb="5">
      <t>フテキゴウ</t>
    </rPh>
    <rPh sb="5" eb="7">
      <t>ドジョウ</t>
    </rPh>
    <rPh sb="8" eb="9">
      <t>オオ</t>
    </rPh>
    <phoneticPr fontId="8"/>
  </si>
  <si>
    <t>⑥</t>
  </si>
  <si>
    <t>④</t>
  </si>
  <si>
    <t>帯水層</t>
    <rPh sb="0" eb="3">
      <t>タイスイソウ</t>
    </rPh>
    <phoneticPr fontId="4"/>
  </si>
  <si>
    <t>物質種類</t>
    <rPh sb="0" eb="2">
      <t>ブッシツ</t>
    </rPh>
    <rPh sb="2" eb="4">
      <t>シュルイ</t>
    </rPh>
    <phoneticPr fontId="4"/>
  </si>
  <si>
    <t>地形情報（動水勾配）</t>
    <rPh sb="0" eb="2">
      <t>チケイ</t>
    </rPh>
    <rPh sb="2" eb="4">
      <t>ジョウホウ</t>
    </rPh>
    <rPh sb="5" eb="6">
      <t>ドウ</t>
    </rPh>
    <rPh sb="6" eb="7">
      <t>スイ</t>
    </rPh>
    <rPh sb="7" eb="9">
      <t>コウバイ</t>
    </rPh>
    <phoneticPr fontId="4"/>
  </si>
  <si>
    <t>土　質</t>
    <rPh sb="0" eb="1">
      <t>ド</t>
    </rPh>
    <rPh sb="2" eb="3">
      <t>シツ</t>
    </rPh>
    <phoneticPr fontId="4"/>
  </si>
  <si>
    <t>土　質</t>
    <phoneticPr fontId="4"/>
  </si>
  <si>
    <t>名　称</t>
    <rPh sb="0" eb="1">
      <t>ナ</t>
    </rPh>
    <rPh sb="2" eb="3">
      <t>ショウ</t>
    </rPh>
    <phoneticPr fontId="4"/>
  </si>
  <si>
    <t>厚　さ</t>
    <rPh sb="0" eb="1">
      <t>アツ</t>
    </rPh>
    <phoneticPr fontId="4"/>
  </si>
  <si>
    <t>四塩化炭素</t>
    <rPh sb="0" eb="1">
      <t>シ</t>
    </rPh>
    <rPh sb="1" eb="3">
      <t>エンカ</t>
    </rPh>
    <rPh sb="3" eb="5">
      <t>タンソ</t>
    </rPh>
    <phoneticPr fontId="9"/>
  </si>
  <si>
    <t>火山灰質土</t>
    <rPh sb="0" eb="3">
      <t>カザンバイ</t>
    </rPh>
    <rPh sb="3" eb="4">
      <t>シツ</t>
    </rPh>
    <rPh sb="4" eb="5">
      <t>ド</t>
    </rPh>
    <phoneticPr fontId="4"/>
  </si>
  <si>
    <t>シルト質砂</t>
    <phoneticPr fontId="4"/>
  </si>
  <si>
    <t>火山灰質土</t>
    <phoneticPr fontId="4"/>
  </si>
  <si>
    <t>シルト質砂</t>
    <rPh sb="3" eb="4">
      <t>シツ</t>
    </rPh>
    <rPh sb="4" eb="5">
      <t>スナ</t>
    </rPh>
    <phoneticPr fontId="4"/>
  </si>
  <si>
    <t>措置完了条件　計算シート</t>
    <rPh sb="0" eb="2">
      <t>ソチ</t>
    </rPh>
    <rPh sb="2" eb="4">
      <t>カンリョウ</t>
    </rPh>
    <rPh sb="4" eb="6">
      <t>ジョウケン</t>
    </rPh>
    <rPh sb="7" eb="9">
      <t>ケイサン</t>
    </rPh>
    <phoneticPr fontId="4"/>
  </si>
  <si>
    <t>措置完了条件 計算結果</t>
    <rPh sb="0" eb="2">
      <t>ソチ</t>
    </rPh>
    <rPh sb="2" eb="4">
      <t>カンリョウ</t>
    </rPh>
    <rPh sb="4" eb="6">
      <t>ジョウケン</t>
    </rPh>
    <rPh sb="7" eb="9">
      <t>ケイサン</t>
    </rPh>
    <rPh sb="9" eb="11">
      <t>ケッカ</t>
    </rPh>
    <phoneticPr fontId="4"/>
  </si>
  <si>
    <t>&lt;目標地下水濃度&gt;</t>
    <rPh sb="1" eb="3">
      <t>モクヒョウ</t>
    </rPh>
    <rPh sb="3" eb="6">
      <t>チカスイ</t>
    </rPh>
    <rPh sb="6" eb="8">
      <t>ノウド</t>
    </rPh>
    <phoneticPr fontId="4"/>
  </si>
  <si>
    <t>180201,0205修正</t>
    <rPh sb="11" eb="13">
      <t>シュウセイ</t>
    </rPh>
    <phoneticPr fontId="4"/>
  </si>
  <si>
    <t>αx</t>
    <phoneticPr fontId="4"/>
  </si>
  <si>
    <t>ｍ</t>
    <phoneticPr fontId="4"/>
  </si>
  <si>
    <t>※プルダウンリストより土質を選択</t>
    <rPh sb="11" eb="13">
      <t>ドシツ</t>
    </rPh>
    <phoneticPr fontId="4"/>
  </si>
  <si>
    <t>措置完了条件計算 β1.0_180612</t>
    <rPh sb="0" eb="2">
      <t>ソチ</t>
    </rPh>
    <rPh sb="2" eb="4">
      <t>カンリョウ</t>
    </rPh>
    <rPh sb="4" eb="6">
      <t>ジョウケン</t>
    </rPh>
    <rPh sb="6" eb="8">
      <t>ケイサン</t>
    </rPh>
    <phoneticPr fontId="4"/>
  </si>
  <si>
    <t>ジクロロメタン</t>
  </si>
  <si>
    <t>ジクロロメタン</t>
    <phoneticPr fontId="4"/>
  </si>
  <si>
    <t>ジクロロメタン</t>
    <phoneticPr fontId="4"/>
  </si>
  <si>
    <t>四塩化炭素</t>
    <phoneticPr fontId="4"/>
  </si>
  <si>
    <t>1,2-ジクロロエタン</t>
  </si>
  <si>
    <t>1,2-ジクロロエタン</t>
    <phoneticPr fontId="4"/>
  </si>
  <si>
    <t>1,2-ジクロロエタン</t>
    <phoneticPr fontId="4"/>
  </si>
  <si>
    <t>1,1-ジクロロエチレン</t>
    <phoneticPr fontId="4"/>
  </si>
  <si>
    <t>1,2-ジクロロエチレン</t>
    <phoneticPr fontId="4"/>
  </si>
  <si>
    <t>1,1,1-トリクロロエタン</t>
    <phoneticPr fontId="4"/>
  </si>
  <si>
    <t>1,1,2-トリクロロエタン</t>
    <phoneticPr fontId="4"/>
  </si>
  <si>
    <t>トリクロロエチレン</t>
    <phoneticPr fontId="4"/>
  </si>
  <si>
    <t>テトラクロロエチレン</t>
    <phoneticPr fontId="4"/>
  </si>
  <si>
    <t>1,3-ジクロロプロペン</t>
    <phoneticPr fontId="4"/>
  </si>
  <si>
    <t>ベンゼン</t>
    <phoneticPr fontId="4"/>
  </si>
  <si>
    <t>鉛</t>
    <rPh sb="0" eb="1">
      <t>ナマリ</t>
    </rPh>
    <phoneticPr fontId="4"/>
  </si>
  <si>
    <t>カドミウム</t>
    <phoneticPr fontId="4"/>
  </si>
  <si>
    <t>水銀</t>
    <rPh sb="0" eb="2">
      <t>スイギン</t>
    </rPh>
    <phoneticPr fontId="4"/>
  </si>
  <si>
    <t>砒素</t>
    <rPh sb="0" eb="2">
      <t>ヒソ</t>
    </rPh>
    <phoneticPr fontId="4"/>
  </si>
  <si>
    <t>六価クロム</t>
    <rPh sb="0" eb="2">
      <t>ロッカ</t>
    </rPh>
    <phoneticPr fontId="4"/>
  </si>
  <si>
    <t>ふっ素</t>
    <rPh sb="2" eb="3">
      <t>ソ</t>
    </rPh>
    <phoneticPr fontId="4"/>
  </si>
  <si>
    <t>ほう素</t>
    <rPh sb="2" eb="3">
      <t>ソ</t>
    </rPh>
    <phoneticPr fontId="4"/>
  </si>
  <si>
    <t>セレン</t>
    <phoneticPr fontId="4"/>
  </si>
  <si>
    <t>シアン</t>
    <phoneticPr fontId="4"/>
  </si>
  <si>
    <t>シマジン</t>
    <phoneticPr fontId="4"/>
  </si>
  <si>
    <t>チウラム</t>
    <phoneticPr fontId="4"/>
  </si>
  <si>
    <t>チオベンカルブ</t>
    <phoneticPr fontId="4"/>
  </si>
  <si>
    <t>PCB</t>
    <phoneticPr fontId="4"/>
  </si>
  <si>
    <t>有機リン</t>
    <rPh sb="0" eb="2">
      <t>ユウキ</t>
    </rPh>
    <phoneticPr fontId="4"/>
  </si>
  <si>
    <t>複数物質選択</t>
    <rPh sb="0" eb="2">
      <t>フクスウ</t>
    </rPh>
    <rPh sb="2" eb="4">
      <t>ブッシツ</t>
    </rPh>
    <rPh sb="4" eb="6">
      <t>センタク</t>
    </rPh>
    <phoneticPr fontId="4"/>
  </si>
  <si>
    <t>1,2-ジクロロエチレン</t>
    <phoneticPr fontId="8"/>
  </si>
  <si>
    <t>複数物質選択</t>
    <rPh sb="0" eb="2">
      <t>フクスウ</t>
    </rPh>
    <rPh sb="2" eb="4">
      <t>ブッシツ</t>
    </rPh>
    <rPh sb="4" eb="6">
      <t>センタク</t>
    </rPh>
    <phoneticPr fontId="8"/>
  </si>
  <si>
    <t>基準不適合土壌の位置</t>
    <rPh sb="0" eb="2">
      <t>キジュン</t>
    </rPh>
    <rPh sb="2" eb="5">
      <t>フテキゴウ</t>
    </rPh>
    <rPh sb="5" eb="7">
      <t>ドジョウ</t>
    </rPh>
    <rPh sb="8" eb="10">
      <t>イチ</t>
    </rPh>
    <phoneticPr fontId="4"/>
  </si>
  <si>
    <t>第1種特定有害物質</t>
    <rPh sb="0" eb="1">
      <t>ダイ</t>
    </rPh>
    <rPh sb="2" eb="3">
      <t>シュ</t>
    </rPh>
    <rPh sb="3" eb="5">
      <t>トクテイ</t>
    </rPh>
    <rPh sb="5" eb="7">
      <t>ユウガイ</t>
    </rPh>
    <rPh sb="7" eb="9">
      <t>ブッシツ</t>
    </rPh>
    <phoneticPr fontId="4"/>
  </si>
  <si>
    <t>第2種特定有害物質</t>
    <rPh sb="0" eb="1">
      <t>ダイ</t>
    </rPh>
    <rPh sb="2" eb="3">
      <t>シュ</t>
    </rPh>
    <rPh sb="3" eb="5">
      <t>トクテイ</t>
    </rPh>
    <rPh sb="5" eb="7">
      <t>ユウガイ</t>
    </rPh>
    <rPh sb="7" eb="9">
      <t>ブッシツ</t>
    </rPh>
    <phoneticPr fontId="4"/>
  </si>
  <si>
    <t>第3種特定有害物質</t>
    <rPh sb="0" eb="1">
      <t>ダイ</t>
    </rPh>
    <rPh sb="2" eb="3">
      <t>シュ</t>
    </rPh>
    <rPh sb="3" eb="5">
      <t>トクテイ</t>
    </rPh>
    <rPh sb="5" eb="7">
      <t>ユウガイ</t>
    </rPh>
    <rPh sb="7" eb="9">
      <t>ブッシツ</t>
    </rPh>
    <phoneticPr fontId="4"/>
  </si>
  <si>
    <t>基準不適合土壌の大きさ</t>
    <rPh sb="0" eb="2">
      <t>キジュン</t>
    </rPh>
    <rPh sb="2" eb="5">
      <t>フテキゴウ</t>
    </rPh>
    <rPh sb="5" eb="7">
      <t>ドジョウ</t>
    </rPh>
    <rPh sb="8" eb="9">
      <t>オオ</t>
    </rPh>
    <phoneticPr fontId="4"/>
  </si>
  <si>
    <t>1,2-ジクロロエチレン</t>
    <phoneticPr fontId="4"/>
  </si>
  <si>
    <t>1,2-ジクロロエチレン</t>
    <phoneticPr fontId="8"/>
  </si>
  <si>
    <t>トランス-1,2-ジクロロエチレン</t>
    <phoneticPr fontId="8"/>
  </si>
  <si>
    <t>物質種類</t>
    <rPh sb="0" eb="2">
      <t>ブッシツ</t>
    </rPh>
    <rPh sb="2" eb="4">
      <t>シュルイ</t>
    </rPh>
    <phoneticPr fontId="4"/>
  </si>
  <si>
    <t>文書番号</t>
    <rPh sb="0" eb="2">
      <t>ブンショ</t>
    </rPh>
    <rPh sb="2" eb="4">
      <t>バンゴウ</t>
    </rPh>
    <phoneticPr fontId="4"/>
  </si>
  <si>
    <t>計算実施日</t>
    <rPh sb="0" eb="2">
      <t>ケイサン</t>
    </rPh>
    <rPh sb="2" eb="5">
      <t>ジッシビ</t>
    </rPh>
    <phoneticPr fontId="4"/>
  </si>
  <si>
    <t>①</t>
    <phoneticPr fontId="4"/>
  </si>
  <si>
    <t>②</t>
    <phoneticPr fontId="4"/>
  </si>
  <si>
    <t>1,2-ジクロロエチレン</t>
    <phoneticPr fontId="4"/>
  </si>
  <si>
    <t>目標土壌溶出量</t>
    <rPh sb="0" eb="2">
      <t>モクヒョウ</t>
    </rPh>
    <rPh sb="2" eb="4">
      <t>ドジョウ</t>
    </rPh>
    <rPh sb="4" eb="6">
      <t>ヨウシュツ</t>
    </rPh>
    <rPh sb="6" eb="7">
      <t>リョウ</t>
    </rPh>
    <phoneticPr fontId="4"/>
  </si>
  <si>
    <t>目標土壌溶出量</t>
    <rPh sb="0" eb="2">
      <t>モクヒョウ</t>
    </rPh>
    <rPh sb="2" eb="4">
      <t>ドジョウ</t>
    </rPh>
    <rPh sb="4" eb="6">
      <t>ヨウシュツ</t>
    </rPh>
    <rPh sb="6" eb="7">
      <t>リョウ</t>
    </rPh>
    <phoneticPr fontId="80"/>
  </si>
  <si>
    <t>基準不適合土壌の長さ</t>
    <phoneticPr fontId="4"/>
  </si>
  <si>
    <t>↓チェックボックスとの紐付け</t>
    <rPh sb="11" eb="12">
      <t>ヒモ</t>
    </rPh>
    <rPh sb="12" eb="13">
      <t>ヅ</t>
    </rPh>
    <phoneticPr fontId="4"/>
  </si>
  <si>
    <t>文書－１２３－４５－６７８</t>
    <rPh sb="0" eb="2">
      <t>ブンショ</t>
    </rPh>
    <phoneticPr fontId="4"/>
  </si>
  <si>
    <t>文書－１２３－４５６－７８９</t>
    <rPh sb="0" eb="2">
      <t>ブンショ</t>
    </rPh>
    <phoneticPr fontId="4"/>
  </si>
  <si>
    <t>ポリ塩化ビフェニル</t>
    <phoneticPr fontId="8"/>
  </si>
  <si>
    <t>ポリ塩化ビフェニル</t>
    <phoneticPr fontId="4"/>
  </si>
  <si>
    <t>ポリ塩化ビフェニル</t>
    <phoneticPr fontId="4"/>
  </si>
  <si>
    <t>東京都 千代田区 霞が関 １－２－２　</t>
    <rPh sb="0" eb="3">
      <t>トウキョウト</t>
    </rPh>
    <rPh sb="4" eb="8">
      <t>チヨダク</t>
    </rPh>
    <rPh sb="9" eb="10">
      <t>カスミ</t>
    </rPh>
    <rPh sb="11" eb="12">
      <t>セキ</t>
    </rPh>
    <phoneticPr fontId="4"/>
  </si>
  <si>
    <t>自由設定項目</t>
    <rPh sb="0" eb="2">
      <t>ジユウ</t>
    </rPh>
    <rPh sb="2" eb="4">
      <t>セッテイ</t>
    </rPh>
    <rPh sb="4" eb="6">
      <t>コウモク</t>
    </rPh>
    <phoneticPr fontId="4"/>
  </si>
  <si>
    <t>※ この項目は項目タイトルを自由に設定することができます。</t>
    <phoneticPr fontId="4"/>
  </si>
  <si>
    <t>※備考欄としてご使用下さい。</t>
    <rPh sb="1" eb="3">
      <t>ビコウ</t>
    </rPh>
    <rPh sb="3" eb="4">
      <t>ラン</t>
    </rPh>
    <rPh sb="8" eb="11">
      <t>シヨウクダ</t>
    </rPh>
    <phoneticPr fontId="4"/>
  </si>
  <si>
    <t>※ この項目は項目タイトルを自由に設定することができます。</t>
    <rPh sb="4" eb="6">
      <t>コウモク</t>
    </rPh>
    <rPh sb="7" eb="9">
      <t>コウモク</t>
    </rPh>
    <rPh sb="14" eb="16">
      <t>ジユウ</t>
    </rPh>
    <rPh sb="17" eb="19">
      <t>セッテイ</t>
    </rPh>
    <phoneticPr fontId="4"/>
  </si>
  <si>
    <t>東京都 千代田区 霞が関 １－２－２</t>
    <rPh sb="0" eb="3">
      <t>トウキョウト</t>
    </rPh>
    <rPh sb="4" eb="8">
      <t>チヨダク</t>
    </rPh>
    <rPh sb="9" eb="10">
      <t>カスミ</t>
    </rPh>
    <rPh sb="11" eb="12">
      <t>セキ</t>
    </rPh>
    <phoneticPr fontId="4"/>
  </si>
  <si>
    <t>&lt;目標地下水濃度　計算値&gt;</t>
    <rPh sb="3" eb="6">
      <t>チカスイ</t>
    </rPh>
    <rPh sb="6" eb="8">
      <t>ノウド</t>
    </rPh>
    <phoneticPr fontId="4"/>
  </si>
  <si>
    <t>目標地下水濃度 計算値</t>
    <phoneticPr fontId="4"/>
  </si>
  <si>
    <t>目標地下水濃度 計算値</t>
    <phoneticPr fontId="4"/>
  </si>
  <si>
    <t>目標地下水濃度 計算値</t>
    <rPh sb="0" eb="2">
      <t>モクヒョウ</t>
    </rPh>
    <rPh sb="2" eb="5">
      <t>チカスイ</t>
    </rPh>
    <rPh sb="5" eb="7">
      <t>ノウド</t>
    </rPh>
    <rPh sb="8" eb="11">
      <t>ケイサンチ</t>
    </rPh>
    <phoneticPr fontId="4"/>
  </si>
  <si>
    <t>状況調査報告書提出日</t>
    <rPh sb="0" eb="2">
      <t>ジョウキョウ</t>
    </rPh>
    <rPh sb="2" eb="4">
      <t>チョウサ</t>
    </rPh>
    <rPh sb="4" eb="7">
      <t>ホウコクショ</t>
    </rPh>
    <rPh sb="7" eb="9">
      <t>テイシュツ</t>
    </rPh>
    <rPh sb="9" eb="10">
      <t>ビ</t>
    </rPh>
    <phoneticPr fontId="4"/>
  </si>
  <si>
    <t xml:space="preserve">措置完了条件（目標土壌溶出量・目標地下水濃度の計算）の計算ツール　Ver 1.0 </t>
    <rPh sb="0" eb="2">
      <t>ソチ</t>
    </rPh>
    <rPh sb="2" eb="4">
      <t>カンリョウ</t>
    </rPh>
    <rPh sb="4" eb="6">
      <t>ジョウケン</t>
    </rPh>
    <rPh sb="7" eb="9">
      <t>モクヒョウ</t>
    </rPh>
    <rPh sb="9" eb="11">
      <t>ドジョウ</t>
    </rPh>
    <rPh sb="11" eb="13">
      <t>ヨウシュツ</t>
    </rPh>
    <rPh sb="13" eb="14">
      <t>リョウ</t>
    </rPh>
    <rPh sb="15" eb="17">
      <t>モクヒョウ</t>
    </rPh>
    <rPh sb="17" eb="20">
      <t>チカスイ</t>
    </rPh>
    <rPh sb="20" eb="22">
      <t>ノウド</t>
    </rPh>
    <rPh sb="23" eb="25">
      <t>ケイサン</t>
    </rPh>
    <rPh sb="27" eb="29">
      <t>ケイサン</t>
    </rPh>
    <phoneticPr fontId="4"/>
  </si>
  <si>
    <t>四塩化炭素</t>
  </si>
  <si>
    <t>1,2-ジクロロエチレン</t>
  </si>
  <si>
    <t>ポリ塩化ビフェニル</t>
  </si>
  <si>
    <t>カドミウム及びその化合物</t>
  </si>
  <si>
    <t>六価クロム化合物</t>
  </si>
  <si>
    <t>六価クロム化合物</t>
    <phoneticPr fontId="8"/>
  </si>
  <si>
    <t>六価クロム化合物</t>
    <phoneticPr fontId="8"/>
  </si>
  <si>
    <t>六価クロム化合物</t>
    <phoneticPr fontId="8"/>
  </si>
  <si>
    <t>六価クロム化合物</t>
    <phoneticPr fontId="9"/>
  </si>
  <si>
    <t>シアン化合物</t>
  </si>
  <si>
    <t>水銀及びその化合物</t>
  </si>
  <si>
    <t>水銀及びその化合物</t>
    <phoneticPr fontId="8"/>
  </si>
  <si>
    <t>水銀及びその化合物</t>
    <phoneticPr fontId="8"/>
  </si>
  <si>
    <t>水銀及びその化合物</t>
    <phoneticPr fontId="8"/>
  </si>
  <si>
    <t>水銀及びその化合物</t>
    <phoneticPr fontId="9"/>
  </si>
  <si>
    <t>セレン及びその化合物</t>
  </si>
  <si>
    <t>鉛及びその化合物</t>
  </si>
  <si>
    <t>鉛及びその化合物</t>
    <phoneticPr fontId="8"/>
  </si>
  <si>
    <t>鉛及びその化合物</t>
    <phoneticPr fontId="8"/>
  </si>
  <si>
    <t>鉛及びその化合物</t>
    <phoneticPr fontId="8"/>
  </si>
  <si>
    <t>鉛及びその化合物</t>
    <phoneticPr fontId="9"/>
  </si>
  <si>
    <t>砒素及びその化合物</t>
  </si>
  <si>
    <t>砒素及びその化合物</t>
    <phoneticPr fontId="8"/>
  </si>
  <si>
    <t>砒素及びその化合物</t>
    <phoneticPr fontId="8"/>
  </si>
  <si>
    <t>砒素及びその化合物</t>
    <phoneticPr fontId="8"/>
  </si>
  <si>
    <t>砒素及びその化合物</t>
    <phoneticPr fontId="4"/>
  </si>
  <si>
    <t>砒素及びその化合物</t>
    <phoneticPr fontId="9"/>
  </si>
  <si>
    <t>ふっ素及びその化合物</t>
  </si>
  <si>
    <t>ふっ素及びその化合物</t>
    <phoneticPr fontId="8"/>
  </si>
  <si>
    <t>ふっ素及びその化合物</t>
    <phoneticPr fontId="8"/>
  </si>
  <si>
    <t>ふっ素及びその化合物</t>
    <phoneticPr fontId="9"/>
  </si>
  <si>
    <t>ほう素及びその化合物</t>
  </si>
  <si>
    <t>ほう素及びその化合物</t>
    <phoneticPr fontId="8"/>
  </si>
  <si>
    <t>ほう素及びその化合物</t>
    <phoneticPr fontId="8"/>
  </si>
  <si>
    <t>ほう素及びその化合物</t>
    <phoneticPr fontId="8"/>
  </si>
  <si>
    <t>ほう素及びその化合物</t>
    <phoneticPr fontId="9"/>
  </si>
  <si>
    <t>有機りん化合物</t>
  </si>
  <si>
    <t>有機りん化合物</t>
    <phoneticPr fontId="8"/>
  </si>
  <si>
    <t>有機りん化合物</t>
    <phoneticPr fontId="9"/>
  </si>
  <si>
    <t>有機りん化合物</t>
    <phoneticPr fontId="9"/>
  </si>
  <si>
    <t>有機りん化合物</t>
    <phoneticPr fontId="8"/>
  </si>
  <si>
    <t>　　基準不適合土壌の幅</t>
    <phoneticPr fontId="4"/>
  </si>
  <si>
    <t>　　基準不適合土壌の長さ</t>
    <phoneticPr fontId="4"/>
  </si>
  <si>
    <t>地下水位より浅い位置</t>
    <rPh sb="8" eb="10">
      <t>イチ</t>
    </rPh>
    <phoneticPr fontId="4"/>
  </si>
  <si>
    <t>地下水位より深い位置</t>
    <phoneticPr fontId="4"/>
  </si>
  <si>
    <t>地下水位をまたいだ位置</t>
    <rPh sb="9" eb="11">
      <t>イチ</t>
    </rPh>
    <phoneticPr fontId="4"/>
  </si>
  <si>
    <t>地下水位より浅い位置</t>
    <phoneticPr fontId="4"/>
  </si>
  <si>
    <t>地下水位をまたいだ位置</t>
    <phoneticPr fontId="4"/>
  </si>
  <si>
    <t>①</t>
    <phoneticPr fontId="4"/>
  </si>
  <si>
    <t>②</t>
    <phoneticPr fontId="4"/>
  </si>
  <si>
    <t>③</t>
    <phoneticPr fontId="4"/>
  </si>
  <si>
    <t>④</t>
    <phoneticPr fontId="4"/>
  </si>
  <si>
    <t>⑤</t>
    <phoneticPr fontId="4"/>
  </si>
  <si>
    <t>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</si>
</sst>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E+00"/>
    <numFmt numFmtId="177" formatCode="0.0.E+00"/>
    <numFmt numFmtId="178" formatCode="#,##0.0;[Red]\-#,##0.0"/>
    <numFmt numFmtId="179" formatCode="0.000_ "/>
    <numFmt numFmtId="180" formatCode="0.00_ "/>
    <numFmt numFmtId="181" formatCode="[$-411]ge\.m\.d;@"/>
    <numFmt numFmtId="182" formatCode="[$-F800]dddd\,\ mmmm\ dd\,\ yyyy"/>
  </numFmts>
  <fonts count="84" x14ac:knownFonts="1">
    <font>
      <sz val="11"/>
      <color theme="1"/>
      <name val="ＭＳ Ｐゴシック"/>
      <family val="2"/>
      <charset val="128"/>
      <scheme val="minor"/>
    </font>
    <font>
      <sz val="11"/>
      <color theme="1"/>
      <name val="ＭＳ Ｐゴシック"/>
      <family val="2"/>
      <charset val="128"/>
    </font>
    <font>
      <sz val="11"/>
      <color theme="1"/>
      <name val="ＭＳ 明朝"/>
      <family val="2"/>
      <charset val="128"/>
    </font>
    <font>
      <sz val="11"/>
      <color theme="1"/>
      <name val="ＭＳ 明朝"/>
      <family val="2"/>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6"/>
      <name val="ＭＳ 明朝"/>
      <family val="2"/>
      <charset val="128"/>
    </font>
    <font>
      <sz val="6"/>
      <name val="ＭＳ Ｐゴシック"/>
      <family val="3"/>
      <charset val="128"/>
    </font>
    <font>
      <sz val="14"/>
      <name val="Times New Roman"/>
      <family val="1"/>
    </font>
    <font>
      <vertAlign val="subscript"/>
      <sz val="14"/>
      <name val="Times New Roman"/>
      <family val="1"/>
    </font>
    <font>
      <sz val="11"/>
      <color indexed="8"/>
      <name val="ＭＳ Ｐゴシック"/>
      <family val="3"/>
      <charset val="128"/>
    </font>
    <font>
      <sz val="14"/>
      <name val="ＭＳ Ｐ明朝"/>
      <family val="1"/>
      <charset val="128"/>
    </font>
    <font>
      <vertAlign val="subscript"/>
      <sz val="14"/>
      <name val="ＭＳ Ｐゴシック"/>
      <family val="3"/>
      <charset val="128"/>
    </font>
    <font>
      <sz val="11"/>
      <name val="Times New Roman"/>
      <family val="1"/>
    </font>
    <font>
      <sz val="16"/>
      <color theme="1"/>
      <name val="ＭＳ Ｐゴシック"/>
      <family val="2"/>
      <charset val="128"/>
      <scheme val="minor"/>
    </font>
    <font>
      <b/>
      <sz val="11"/>
      <color theme="1"/>
      <name val="ＭＳ 明朝"/>
      <family val="2"/>
      <charset val="128"/>
    </font>
    <font>
      <sz val="11"/>
      <color theme="0"/>
      <name val="ＭＳ 明朝"/>
      <family val="2"/>
      <charset val="128"/>
    </font>
    <font>
      <b/>
      <sz val="11"/>
      <color theme="1"/>
      <name val="ＭＳ 明朝"/>
      <family val="1"/>
      <charset val="128"/>
    </font>
    <font>
      <sz val="10"/>
      <name val="Times New Roman"/>
      <family val="1"/>
    </font>
    <font>
      <b/>
      <sz val="14"/>
      <name val="Times New Roman"/>
      <family val="1"/>
    </font>
    <font>
      <b/>
      <sz val="14"/>
      <name val="ＭＳ 明朝"/>
      <family val="2"/>
      <charset val="128"/>
    </font>
    <font>
      <sz val="11"/>
      <color theme="1"/>
      <name val="Times New Roman"/>
      <family val="1"/>
    </font>
    <font>
      <sz val="20"/>
      <color theme="1"/>
      <name val="ＭＳ Ｐゴシック"/>
      <family val="3"/>
      <charset val="128"/>
    </font>
    <font>
      <sz val="9"/>
      <color theme="1"/>
      <name val="ＭＳ 明朝"/>
      <family val="2"/>
      <charset val="128"/>
    </font>
    <font>
      <b/>
      <sz val="11"/>
      <color theme="1"/>
      <name val="Times New Roman"/>
      <family val="1"/>
    </font>
    <font>
      <sz val="14"/>
      <name val="ＭＳ 明朝"/>
      <family val="2"/>
      <charset val="128"/>
    </font>
    <font>
      <sz val="11"/>
      <name val="ＭＳ Ｐ明朝"/>
      <family val="1"/>
      <charset val="128"/>
    </font>
    <font>
      <sz val="14"/>
      <color theme="1"/>
      <name val="ＭＳ Ｐゴシック"/>
      <family val="2"/>
      <charset val="128"/>
      <scheme val="minor"/>
    </font>
    <font>
      <vertAlign val="subscript"/>
      <sz val="14"/>
      <name val="ＭＳ Ｐ明朝"/>
      <family val="1"/>
      <charset val="128"/>
    </font>
    <font>
      <sz val="11"/>
      <color rgb="FFFF0000"/>
      <name val="ＭＳ Ｐゴシック"/>
      <family val="3"/>
      <charset val="128"/>
    </font>
    <font>
      <sz val="11"/>
      <color rgb="FFFF0000"/>
      <name val="ＭＳ 明朝"/>
      <family val="2"/>
      <charset val="128"/>
    </font>
    <font>
      <vertAlign val="subscript"/>
      <sz val="11"/>
      <color rgb="FFFF0000"/>
      <name val="ＭＳ 明朝"/>
      <family val="1"/>
      <charset val="128"/>
    </font>
    <font>
      <sz val="11"/>
      <color rgb="FFFF0000"/>
      <name val="ＭＳ 明朝"/>
      <family val="1"/>
      <charset val="128"/>
    </font>
    <font>
      <sz val="11"/>
      <name val="ＭＳ Ｐゴシック"/>
      <family val="2"/>
      <charset val="128"/>
      <scheme val="minor"/>
    </font>
    <font>
      <sz val="12"/>
      <color theme="1"/>
      <name val="ＭＳ Ｐゴシック"/>
      <family val="3"/>
      <charset val="128"/>
      <scheme val="minor"/>
    </font>
    <font>
      <u/>
      <sz val="12"/>
      <color theme="1"/>
      <name val="ＭＳ Ｐゴシック"/>
      <family val="3"/>
      <charset val="128"/>
      <scheme val="minor"/>
    </font>
    <font>
      <sz val="14"/>
      <color theme="1"/>
      <name val="ＭＳ Ｐゴシック"/>
      <family val="3"/>
      <charset val="128"/>
      <scheme val="minor"/>
    </font>
    <font>
      <u/>
      <sz val="14"/>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ajor"/>
    </font>
    <font>
      <sz val="11"/>
      <color theme="1"/>
      <name val="ＭＳ Ｐゴシック"/>
      <family val="3"/>
      <charset val="128"/>
      <scheme val="major"/>
    </font>
    <font>
      <u/>
      <sz val="14"/>
      <color theme="1"/>
      <name val="ＭＳ Ｐゴシック"/>
      <family val="3"/>
      <charset val="128"/>
      <scheme val="major"/>
    </font>
    <font>
      <sz val="14"/>
      <name val="ＭＳ Ｐゴシック"/>
      <family val="3"/>
      <charset val="128"/>
      <scheme val="major"/>
    </font>
    <font>
      <sz val="14"/>
      <color indexed="8"/>
      <name val="ＭＳ Ｐゴシック"/>
      <family val="3"/>
      <charset val="128"/>
      <scheme val="major"/>
    </font>
    <font>
      <sz val="12"/>
      <name val="ＭＳ Ｐゴシック"/>
      <family val="3"/>
      <charset val="128"/>
      <scheme val="minor"/>
    </font>
    <font>
      <sz val="12"/>
      <color theme="1"/>
      <name val="ＭＳ Ｐゴシック"/>
      <family val="3"/>
      <charset val="128"/>
      <scheme val="major"/>
    </font>
    <font>
      <vertAlign val="subscript"/>
      <sz val="12"/>
      <color theme="1"/>
      <name val="ＭＳ Ｐゴシック"/>
      <family val="3"/>
      <charset val="128"/>
      <scheme val="major"/>
    </font>
    <font>
      <u/>
      <sz val="12"/>
      <color theme="1"/>
      <name val="ＭＳ Ｐゴシック"/>
      <family val="3"/>
      <charset val="128"/>
      <scheme val="major"/>
    </font>
    <font>
      <b/>
      <sz val="16"/>
      <color theme="1"/>
      <name val="ＭＳ Ｐゴシック"/>
      <family val="3"/>
      <charset val="128"/>
      <scheme val="major"/>
    </font>
    <font>
      <u/>
      <sz val="14"/>
      <color theme="1"/>
      <name val="ＭＳ Ｐゴシック"/>
      <family val="2"/>
      <charset val="128"/>
      <scheme val="minor"/>
    </font>
    <font>
      <sz val="18"/>
      <color theme="1"/>
      <name val="ＭＳ Ｐゴシック"/>
      <family val="3"/>
      <charset val="128"/>
      <scheme val="minor"/>
    </font>
    <font>
      <sz val="22"/>
      <color theme="1"/>
      <name val="ＭＳ Ｐゴシック"/>
      <family val="3"/>
      <charset val="128"/>
      <scheme val="minor"/>
    </font>
    <font>
      <sz val="16"/>
      <color theme="1"/>
      <name val="ＭＳ Ｐゴシック"/>
      <family val="2"/>
      <charset val="128"/>
      <scheme val="major"/>
    </font>
    <font>
      <sz val="24"/>
      <color theme="1"/>
      <name val="ＭＳ Ｐゴシック"/>
      <family val="2"/>
      <charset val="128"/>
      <scheme val="minor"/>
    </font>
    <font>
      <sz val="24"/>
      <color theme="1"/>
      <name val="ＭＳ Ｐゴシック"/>
      <family val="3"/>
      <charset val="128"/>
      <scheme val="minor"/>
    </font>
    <font>
      <sz val="11"/>
      <color rgb="FF000000"/>
      <name val="ＭＳ Ｐゴシック"/>
      <family val="3"/>
      <charset val="128"/>
      <scheme val="minor"/>
    </font>
    <font>
      <sz val="11"/>
      <color rgb="FF000000"/>
      <name val="Arial"/>
      <family val="2"/>
    </font>
    <font>
      <sz val="11"/>
      <color theme="1"/>
      <name val="ＭＳ ゴシック"/>
      <family val="3"/>
      <charset val="128"/>
    </font>
    <font>
      <vertAlign val="subscript"/>
      <sz val="11"/>
      <color rgb="FF000000"/>
      <name val="Arial"/>
      <family val="2"/>
    </font>
    <font>
      <u/>
      <sz val="11"/>
      <color theme="1"/>
      <name val="ＭＳ Ｐゴシック"/>
      <family val="3"/>
      <charset val="128"/>
      <scheme val="major"/>
    </font>
    <font>
      <sz val="18"/>
      <color theme="1"/>
      <name val="ＭＳ Ｐゴシック"/>
      <family val="3"/>
      <charset val="128"/>
      <scheme val="major"/>
    </font>
    <font>
      <sz val="20"/>
      <color rgb="FFFF0000"/>
      <name val="ＭＳ Ｐゴシック"/>
      <family val="2"/>
      <charset val="128"/>
      <scheme val="minor"/>
    </font>
    <font>
      <sz val="20"/>
      <color rgb="FFFF0000"/>
      <name val="ＭＳ Ｐゴシック"/>
      <family val="3"/>
      <charset val="128"/>
      <scheme val="minor"/>
    </font>
    <font>
      <vertAlign val="superscript"/>
      <sz val="12"/>
      <color theme="1"/>
      <name val="ＭＳ Ｐゴシック"/>
      <family val="3"/>
      <charset val="128"/>
      <scheme val="major"/>
    </font>
    <font>
      <sz val="10.5"/>
      <color theme="1"/>
      <name val="ＭＳ Ｐゴシック"/>
      <family val="3"/>
      <charset val="128"/>
      <scheme val="major"/>
    </font>
    <font>
      <u/>
      <sz val="13"/>
      <color theme="1"/>
      <name val="ＭＳ Ｐゴシック"/>
      <family val="3"/>
      <charset val="128"/>
      <scheme val="major"/>
    </font>
    <font>
      <u/>
      <sz val="13"/>
      <color theme="1"/>
      <name val="ＭＳ Ｐゴシック"/>
      <family val="3"/>
      <charset val="128"/>
      <scheme val="minor"/>
    </font>
    <font>
      <sz val="13"/>
      <color theme="1"/>
      <name val="ＭＳ Ｐゴシック"/>
      <family val="3"/>
      <charset val="128"/>
      <scheme val="minor"/>
    </font>
    <font>
      <sz val="13"/>
      <color theme="1"/>
      <name val="ＭＳ Ｐゴシック"/>
      <family val="3"/>
      <charset val="128"/>
      <scheme val="major"/>
    </font>
    <font>
      <b/>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4"/>
      <color rgb="FFFF0000"/>
      <name val="ＭＳ Ｐゴシック"/>
      <family val="3"/>
      <charset val="128"/>
      <scheme val="major"/>
    </font>
    <font>
      <sz val="11"/>
      <color theme="1"/>
      <name val="ＭＳ Ｐゴシック"/>
      <family val="3"/>
      <charset val="128"/>
    </font>
    <font>
      <sz val="14"/>
      <color theme="0"/>
      <name val="ＭＳ Ｐゴシック"/>
      <family val="3"/>
      <charset val="128"/>
      <scheme val="major"/>
    </font>
    <font>
      <sz val="12"/>
      <color theme="0"/>
      <name val="ＭＳ Ｐゴシック"/>
      <family val="3"/>
      <charset val="128"/>
      <scheme val="minor"/>
    </font>
    <font>
      <u/>
      <sz val="13"/>
      <color theme="1"/>
      <name val="ＭＳ Ｐゴシック"/>
      <family val="2"/>
      <charset val="128"/>
      <scheme val="minor"/>
    </font>
    <font>
      <sz val="13"/>
      <color theme="1"/>
      <name val="ＭＳ Ｐゴシック"/>
      <family val="2"/>
      <charset val="128"/>
      <scheme val="minor"/>
    </font>
    <font>
      <sz val="6"/>
      <name val="ＭＳ Ｐゴシック"/>
      <family val="2"/>
      <charset val="128"/>
    </font>
    <font>
      <sz val="12"/>
      <color theme="1"/>
      <name val="ＭＳ Ｐゴシック"/>
      <family val="3"/>
      <charset val="128"/>
    </font>
    <font>
      <sz val="10"/>
      <color theme="1"/>
      <name val="ＭＳ Ｐゴシック"/>
      <family val="3"/>
      <charset val="128"/>
      <scheme val="major"/>
    </font>
    <font>
      <sz val="11"/>
      <name val="ＭＳ Ｐゴシック"/>
      <family val="3"/>
      <charset val="128"/>
      <scheme val="major"/>
    </font>
  </fonts>
  <fills count="20">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41"/>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66"/>
        <bgColor indexed="64"/>
      </patternFill>
    </fill>
    <fill>
      <patternFill patternType="solid">
        <fgColor rgb="FFDAEEF3"/>
        <bgColor indexed="64"/>
      </patternFill>
    </fill>
    <fill>
      <patternFill patternType="solid">
        <fgColor rgb="FFE4DFEC"/>
        <bgColor indexed="64"/>
      </patternFill>
    </fill>
    <fill>
      <patternFill patternType="solid">
        <fgColor rgb="FFFDE9D9"/>
        <bgColor indexed="64"/>
      </patternFill>
    </fill>
    <fill>
      <patternFill patternType="solid">
        <fgColor rgb="FFEBF1DE"/>
        <bgColor indexed="64"/>
      </patternFill>
    </fill>
    <fill>
      <patternFill patternType="solid">
        <fgColor rgb="FFFFCCFF"/>
        <bgColor indexed="64"/>
      </patternFill>
    </fill>
    <fill>
      <patternFill patternType="solid">
        <fgColor rgb="FFFFFFCC"/>
        <bgColor indexed="64"/>
      </patternFill>
    </fill>
    <fill>
      <patternFill patternType="solid">
        <fgColor rgb="FFC5D9F1"/>
        <bgColor indexed="64"/>
      </patternFill>
    </fill>
    <fill>
      <patternFill patternType="solid">
        <fgColor rgb="FFFFFF99"/>
        <bgColor indexed="64"/>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dotted">
        <color auto="1"/>
      </left>
      <right/>
      <top/>
      <bottom/>
      <diagonal/>
    </border>
    <border>
      <left style="medium">
        <color indexed="64"/>
      </left>
      <right style="medium">
        <color indexed="64"/>
      </right>
      <top style="medium">
        <color indexed="64"/>
      </top>
      <bottom/>
      <diagonal/>
    </border>
    <border>
      <left style="dotted">
        <color indexed="64"/>
      </left>
      <right style="medium">
        <color indexed="64"/>
      </right>
      <top style="medium">
        <color indexed="64"/>
      </top>
      <bottom style="medium">
        <color indexed="64"/>
      </bottom>
      <diagonal/>
    </border>
    <border>
      <left style="dotted">
        <color auto="1"/>
      </left>
      <right/>
      <top/>
      <bottom style="dotted">
        <color auto="1"/>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dotted">
        <color auto="1"/>
      </left>
      <right style="thin">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dotted">
        <color indexed="64"/>
      </left>
      <right style="dotted">
        <color auto="1"/>
      </right>
      <top/>
      <bottom/>
      <diagonal/>
    </border>
    <border>
      <left style="thin">
        <color indexed="64"/>
      </left>
      <right style="dotted">
        <color indexed="64"/>
      </right>
      <top/>
      <bottom/>
      <diagonal/>
    </border>
    <border>
      <left/>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728">
    <xf numFmtId="0" fontId="0" fillId="0" borderId="0" xfId="0">
      <alignment vertical="center"/>
    </xf>
    <xf numFmtId="0" fontId="0" fillId="0" borderId="1" xfId="0" applyBorder="1">
      <alignment vertical="center"/>
    </xf>
    <xf numFmtId="0" fontId="0" fillId="0" borderId="1" xfId="0" applyBorder="1" applyAlignment="1">
      <alignment vertical="center" shrinkToFit="1"/>
    </xf>
    <xf numFmtId="0" fontId="0" fillId="0" borderId="1" xfId="0" applyFill="1" applyBorder="1" applyAlignment="1">
      <alignment vertical="center" shrinkToFit="1"/>
    </xf>
    <xf numFmtId="0" fontId="0" fillId="0" borderId="1" xfId="0" applyFill="1" applyBorder="1">
      <alignment vertical="center"/>
    </xf>
    <xf numFmtId="0" fontId="0" fillId="0" borderId="1" xfId="0" applyBorder="1" applyAlignment="1">
      <alignment horizontal="right" vertical="center"/>
    </xf>
    <xf numFmtId="0" fontId="0" fillId="0" borderId="1" xfId="0" applyBorder="1" applyAlignment="1">
      <alignment horizontal="left" vertical="center"/>
    </xf>
    <xf numFmtId="0" fontId="3" fillId="0" borderId="0" xfId="2">
      <alignment vertical="center"/>
    </xf>
    <xf numFmtId="0" fontId="24" fillId="0" borderId="0" xfId="2" applyFont="1">
      <alignment vertical="center"/>
    </xf>
    <xf numFmtId="0" fontId="3" fillId="0" borderId="0" xfId="2" applyAlignment="1">
      <alignment vertical="center" wrapText="1"/>
    </xf>
    <xf numFmtId="0" fontId="3" fillId="0" borderId="0" xfId="2" applyAlignment="1">
      <alignment horizontal="center" vertical="center" wrapText="1"/>
    </xf>
    <xf numFmtId="0" fontId="3" fillId="0" borderId="0" xfId="2" applyBorder="1" applyAlignment="1">
      <alignment horizontal="center" vertical="center" wrapText="1"/>
    </xf>
    <xf numFmtId="0" fontId="3" fillId="0" borderId="11" xfId="2" applyFill="1" applyBorder="1" applyAlignment="1">
      <alignment horizontal="center"/>
    </xf>
    <xf numFmtId="0" fontId="3" fillId="0" borderId="13" xfId="2" applyBorder="1" applyAlignment="1">
      <alignment horizontal="center" shrinkToFit="1"/>
    </xf>
    <xf numFmtId="0" fontId="3" fillId="0" borderId="25" xfId="2" applyBorder="1" applyAlignment="1">
      <alignment horizontal="center" shrinkToFit="1"/>
    </xf>
    <xf numFmtId="0" fontId="3" fillId="0" borderId="0" xfId="2" applyFill="1" applyBorder="1">
      <alignment vertical="center"/>
    </xf>
    <xf numFmtId="0" fontId="3" fillId="0" borderId="40" xfId="2" applyFill="1" applyBorder="1" applyAlignment="1">
      <alignment horizontal="center"/>
    </xf>
    <xf numFmtId="0" fontId="3" fillId="0" borderId="22" xfId="2" applyBorder="1" applyAlignment="1">
      <alignment horizontal="center" shrinkToFit="1"/>
    </xf>
    <xf numFmtId="0" fontId="3" fillId="0" borderId="39" xfId="2" applyFill="1" applyBorder="1" applyAlignment="1">
      <alignment vertical="center" shrinkToFit="1"/>
    </xf>
    <xf numFmtId="0" fontId="3" fillId="0" borderId="41" xfId="2" applyFill="1" applyBorder="1" applyAlignment="1">
      <alignment horizontal="center"/>
    </xf>
    <xf numFmtId="0" fontId="3" fillId="0" borderId="42" xfId="2" applyBorder="1" applyAlignment="1">
      <alignment horizontal="center" shrinkToFit="1"/>
    </xf>
    <xf numFmtId="0" fontId="3" fillId="0" borderId="43" xfId="2" applyBorder="1" applyAlignment="1">
      <alignment horizontal="center" shrinkToFit="1"/>
    </xf>
    <xf numFmtId="0" fontId="19" fillId="0" borderId="0" xfId="2" applyFont="1" applyFill="1" applyBorder="1" applyAlignment="1">
      <alignment horizontal="left"/>
    </xf>
    <xf numFmtId="0" fontId="10" fillId="0" borderId="11" xfId="2" applyFont="1" applyBorder="1" applyAlignment="1">
      <alignment horizontal="center" vertical="center"/>
    </xf>
    <xf numFmtId="0" fontId="3" fillId="0" borderId="13" xfId="2" applyBorder="1" applyAlignment="1">
      <alignment horizontal="center" vertical="center"/>
    </xf>
    <xf numFmtId="0" fontId="12" fillId="2" borderId="25" xfId="2" applyFont="1" applyFill="1" applyBorder="1" applyAlignment="1">
      <alignment horizontal="center" shrinkToFit="1"/>
    </xf>
    <xf numFmtId="0" fontId="10" fillId="0" borderId="14" xfId="2" applyFont="1" applyBorder="1" applyAlignment="1">
      <alignment horizontal="center" vertical="center"/>
    </xf>
    <xf numFmtId="0" fontId="3" fillId="0" borderId="1" xfId="2" applyBorder="1" applyAlignment="1">
      <alignment horizontal="center" vertical="center"/>
    </xf>
    <xf numFmtId="0" fontId="12" fillId="2" borderId="26" xfId="2" applyFont="1" applyFill="1" applyBorder="1" applyAlignment="1">
      <alignment horizontal="center" shrinkToFit="1"/>
    </xf>
    <xf numFmtId="0" fontId="10" fillId="9" borderId="27" xfId="2" applyFont="1" applyFill="1" applyBorder="1" applyAlignment="1">
      <alignment horizontal="center" vertical="center"/>
    </xf>
    <xf numFmtId="0" fontId="3" fillId="9" borderId="31" xfId="2" applyFill="1" applyBorder="1" applyAlignment="1">
      <alignment horizontal="center" vertical="center"/>
    </xf>
    <xf numFmtId="0" fontId="12" fillId="9" borderId="32" xfId="2" applyFont="1" applyFill="1" applyBorder="1" applyAlignment="1">
      <alignment horizontal="center" shrinkToFit="1"/>
    </xf>
    <xf numFmtId="0" fontId="21" fillId="0" borderId="0" xfId="2" applyFont="1" applyFill="1" applyBorder="1" applyAlignment="1">
      <alignment horizontal="left" vertical="center"/>
    </xf>
    <xf numFmtId="0" fontId="23" fillId="0" borderId="27" xfId="2" applyFont="1" applyBorder="1" applyAlignment="1">
      <alignment horizontal="center" vertical="center" shrinkToFit="1"/>
    </xf>
    <xf numFmtId="0" fontId="3" fillId="0" borderId="31" xfId="2" applyFill="1" applyBorder="1" applyAlignment="1">
      <alignment horizontal="center" vertical="center"/>
    </xf>
    <xf numFmtId="0" fontId="3" fillId="10" borderId="32" xfId="2" applyFill="1" applyBorder="1" applyAlignment="1">
      <alignment horizontal="center" vertical="center"/>
    </xf>
    <xf numFmtId="0" fontId="26" fillId="0" borderId="0" xfId="2" applyFont="1" applyFill="1" applyBorder="1" applyAlignment="1">
      <alignment horizontal="left" vertical="center" shrinkToFit="1"/>
    </xf>
    <xf numFmtId="0" fontId="3" fillId="2" borderId="0" xfId="2" applyFill="1">
      <alignment vertical="center"/>
    </xf>
    <xf numFmtId="0" fontId="10" fillId="0" borderId="33" xfId="2" applyFont="1" applyBorder="1" applyAlignment="1">
      <alignment horizontal="center" vertical="center"/>
    </xf>
    <xf numFmtId="0" fontId="3" fillId="0" borderId="36" xfId="2" applyBorder="1" applyAlignment="1">
      <alignment horizontal="center" vertical="center"/>
    </xf>
    <xf numFmtId="0" fontId="12" fillId="6" borderId="37" xfId="2" applyFont="1" applyFill="1" applyBorder="1" applyAlignment="1">
      <alignment horizontal="center" shrinkToFit="1"/>
    </xf>
    <xf numFmtId="0" fontId="19" fillId="0" borderId="0" xfId="2" applyFont="1" applyAlignment="1">
      <alignment horizontal="left" vertical="center"/>
    </xf>
    <xf numFmtId="177" fontId="12" fillId="2" borderId="25" xfId="2" applyNumberFormat="1" applyFont="1" applyFill="1" applyBorder="1" applyAlignment="1">
      <alignment horizontal="center" shrinkToFit="1"/>
    </xf>
    <xf numFmtId="0" fontId="12" fillId="6" borderId="26" xfId="2" applyFont="1" applyFill="1" applyBorder="1" applyAlignment="1">
      <alignment horizontal="center" shrinkToFit="1"/>
    </xf>
    <xf numFmtId="0" fontId="10" fillId="0" borderId="27" xfId="2" applyFont="1" applyBorder="1" applyAlignment="1">
      <alignment horizontal="center" vertical="center"/>
    </xf>
    <xf numFmtId="0" fontId="3" fillId="0" borderId="31" xfId="2" applyBorder="1" applyAlignment="1">
      <alignment horizontal="center" vertical="center"/>
    </xf>
    <xf numFmtId="0" fontId="12" fillId="6" borderId="32" xfId="2" applyFont="1" applyFill="1" applyBorder="1" applyAlignment="1">
      <alignment horizontal="center" shrinkToFit="1"/>
    </xf>
    <xf numFmtId="0" fontId="3" fillId="0" borderId="0" xfId="2" applyBorder="1">
      <alignment vertical="center"/>
    </xf>
    <xf numFmtId="178" fontId="12" fillId="6" borderId="25" xfId="3" applyNumberFormat="1" applyFont="1" applyFill="1" applyBorder="1" applyAlignment="1">
      <alignment horizontal="center" shrinkToFit="1"/>
    </xf>
    <xf numFmtId="0" fontId="15" fillId="0" borderId="14" xfId="2" applyFont="1" applyFill="1" applyBorder="1" applyAlignment="1">
      <alignment horizontal="center"/>
    </xf>
    <xf numFmtId="0" fontId="3" fillId="0" borderId="1" xfId="2" applyFill="1" applyBorder="1" applyAlignment="1">
      <alignment horizontal="center" shrinkToFit="1"/>
    </xf>
    <xf numFmtId="11" fontId="12" fillId="8" borderId="26" xfId="2" applyNumberFormat="1" applyFont="1" applyFill="1" applyBorder="1" applyAlignment="1">
      <alignment horizontal="center" shrinkToFit="1"/>
    </xf>
    <xf numFmtId="0" fontId="10" fillId="0" borderId="14" xfId="2" applyFont="1" applyFill="1" applyBorder="1" applyAlignment="1">
      <alignment horizontal="center"/>
    </xf>
    <xf numFmtId="0" fontId="10" fillId="0" borderId="27" xfId="2" applyFont="1" applyFill="1" applyBorder="1" applyAlignment="1">
      <alignment horizontal="center"/>
    </xf>
    <xf numFmtId="0" fontId="3" fillId="0" borderId="31" xfId="2" applyFill="1" applyBorder="1" applyAlignment="1">
      <alignment horizontal="center" shrinkToFit="1"/>
    </xf>
    <xf numFmtId="11" fontId="12" fillId="8" borderId="32" xfId="2" applyNumberFormat="1" applyFont="1" applyFill="1" applyBorder="1" applyAlignment="1">
      <alignment horizontal="center" shrinkToFit="1"/>
    </xf>
    <xf numFmtId="0" fontId="3" fillId="2" borderId="0" xfId="2" applyFill="1" applyAlignment="1"/>
    <xf numFmtId="0" fontId="10" fillId="0" borderId="11" xfId="2" applyFont="1" applyFill="1" applyBorder="1" applyAlignment="1">
      <alignment horizontal="center"/>
    </xf>
    <xf numFmtId="0" fontId="3" fillId="0" borderId="13" xfId="2" applyFill="1" applyBorder="1" applyAlignment="1">
      <alignment horizontal="center" shrinkToFit="1"/>
    </xf>
    <xf numFmtId="0" fontId="13" fillId="0" borderId="27" xfId="2" applyFont="1" applyBorder="1" applyAlignment="1">
      <alignment horizontal="center" vertical="center"/>
    </xf>
    <xf numFmtId="0" fontId="18" fillId="0" borderId="0" xfId="2" applyFont="1">
      <alignment vertical="center"/>
    </xf>
    <xf numFmtId="0" fontId="10" fillId="0" borderId="0" xfId="2" applyFont="1" applyFill="1" applyBorder="1" applyAlignment="1">
      <alignment horizontal="center" vertical="center"/>
    </xf>
    <xf numFmtId="0" fontId="3" fillId="0" borderId="14" xfId="2" applyFill="1" applyBorder="1" applyAlignment="1">
      <alignment horizontal="center"/>
    </xf>
    <xf numFmtId="0" fontId="3" fillId="0" borderId="1" xfId="2" quotePrefix="1" applyFill="1" applyBorder="1" applyAlignment="1">
      <alignment horizontal="center" shrinkToFit="1"/>
    </xf>
    <xf numFmtId="0" fontId="3" fillId="0" borderId="0" xfId="2" applyFill="1" applyBorder="1" applyAlignment="1">
      <alignment horizontal="center"/>
    </xf>
    <xf numFmtId="0" fontId="3" fillId="0" borderId="0" xfId="2" applyBorder="1" applyAlignment="1">
      <alignment horizontal="center" shrinkToFit="1"/>
    </xf>
    <xf numFmtId="11" fontId="12" fillId="0" borderId="1" xfId="2" applyNumberFormat="1" applyFont="1" applyFill="1" applyBorder="1" applyAlignment="1">
      <alignment horizontal="center"/>
    </xf>
    <xf numFmtId="0" fontId="3" fillId="0" borderId="0" xfId="2" applyFill="1">
      <alignment vertical="center"/>
    </xf>
    <xf numFmtId="0" fontId="3" fillId="0" borderId="0" xfId="2" applyFill="1" applyAlignment="1"/>
    <xf numFmtId="0" fontId="10" fillId="0" borderId="0" xfId="2" applyFont="1" applyBorder="1" applyAlignment="1">
      <alignment horizontal="center" vertical="center"/>
    </xf>
    <xf numFmtId="0" fontId="3" fillId="0" borderId="0" xfId="2" applyFill="1" applyBorder="1" applyAlignment="1">
      <alignment horizontal="center" vertical="center"/>
    </xf>
    <xf numFmtId="0" fontId="12" fillId="0" borderId="0" xfId="2" applyFont="1" applyFill="1" applyBorder="1" applyAlignment="1">
      <alignment horizontal="center" shrinkToFit="1"/>
    </xf>
    <xf numFmtId="0" fontId="13" fillId="0" borderId="14" xfId="2" applyFont="1" applyBorder="1" applyAlignment="1">
      <alignment horizontal="center" vertical="center"/>
    </xf>
    <xf numFmtId="177" fontId="12" fillId="0" borderId="26" xfId="2" applyNumberFormat="1" applyFont="1" applyFill="1" applyBorder="1" applyAlignment="1">
      <alignment horizontal="center" shrinkToFit="1"/>
    </xf>
    <xf numFmtId="0" fontId="3" fillId="0" borderId="0" xfId="2" applyBorder="1" applyAlignment="1">
      <alignment horizontal="center" vertical="center"/>
    </xf>
    <xf numFmtId="0" fontId="13" fillId="0" borderId="15" xfId="2" applyFont="1" applyFill="1" applyBorder="1" applyAlignment="1">
      <alignment horizontal="center" vertical="center"/>
    </xf>
    <xf numFmtId="0" fontId="3" fillId="0" borderId="16" xfId="2" applyBorder="1">
      <alignment vertical="center"/>
    </xf>
    <xf numFmtId="0" fontId="3" fillId="0" borderId="17" xfId="2" applyBorder="1">
      <alignment vertical="center"/>
    </xf>
    <xf numFmtId="0" fontId="28" fillId="0" borderId="44" xfId="2" applyFont="1" applyFill="1" applyBorder="1" applyAlignment="1">
      <alignment horizontal="center" vertical="center"/>
    </xf>
    <xf numFmtId="0" fontId="3" fillId="0" borderId="39" xfId="2" applyBorder="1">
      <alignment vertical="center"/>
    </xf>
    <xf numFmtId="0" fontId="3" fillId="0" borderId="0" xfId="2" applyFill="1" applyBorder="1" applyAlignment="1">
      <alignment horizontal="center" shrinkToFit="1"/>
    </xf>
    <xf numFmtId="0" fontId="3" fillId="0" borderId="44" xfId="2" applyBorder="1">
      <alignment vertical="center"/>
    </xf>
    <xf numFmtId="0" fontId="3" fillId="0" borderId="1" xfId="2" applyFill="1" applyBorder="1" applyAlignment="1">
      <alignment horizontal="center" vertical="center" shrinkToFit="1"/>
    </xf>
    <xf numFmtId="0" fontId="3" fillId="0" borderId="1" xfId="2" applyBorder="1">
      <alignment vertical="center"/>
    </xf>
    <xf numFmtId="0" fontId="13" fillId="0" borderId="0" xfId="2" applyFont="1" applyBorder="1" applyAlignment="1">
      <alignment horizontal="center" vertical="center"/>
    </xf>
    <xf numFmtId="177" fontId="12" fillId="0" borderId="0" xfId="2" applyNumberFormat="1" applyFont="1" applyFill="1" applyBorder="1" applyAlignment="1">
      <alignment horizontal="center" shrinkToFit="1"/>
    </xf>
    <xf numFmtId="11" fontId="3" fillId="0" borderId="1" xfId="2" applyNumberFormat="1" applyBorder="1">
      <alignment vertical="center"/>
    </xf>
    <xf numFmtId="0" fontId="13" fillId="0" borderId="44" xfId="2" applyFont="1" applyBorder="1" applyAlignment="1">
      <alignment horizontal="center" vertical="center"/>
    </xf>
    <xf numFmtId="11" fontId="3" fillId="10" borderId="1" xfId="2" applyNumberFormat="1" applyFill="1" applyBorder="1">
      <alignment vertical="center"/>
    </xf>
    <xf numFmtId="0" fontId="10" fillId="0" borderId="44" xfId="2" applyFont="1" applyBorder="1" applyAlignment="1">
      <alignment horizontal="center" vertical="center"/>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11" fontId="3" fillId="0" borderId="1" xfId="2" applyNumberFormat="1" applyBorder="1" applyAlignment="1">
      <alignment vertical="center" shrinkToFit="1"/>
    </xf>
    <xf numFmtId="2" fontId="3" fillId="10" borderId="6" xfId="2" applyNumberFormat="1" applyFill="1" applyBorder="1">
      <alignment vertical="center"/>
    </xf>
    <xf numFmtId="0" fontId="3" fillId="10" borderId="7" xfId="2" applyFill="1" applyBorder="1">
      <alignment vertical="center"/>
    </xf>
    <xf numFmtId="0" fontId="3" fillId="0" borderId="8" xfId="2" applyBorder="1">
      <alignment vertical="center"/>
    </xf>
    <xf numFmtId="0" fontId="3" fillId="0" borderId="9" xfId="2" applyBorder="1">
      <alignment vertical="center"/>
    </xf>
    <xf numFmtId="0" fontId="3" fillId="0" borderId="10" xfId="2" applyBorder="1">
      <alignment vertical="center"/>
    </xf>
    <xf numFmtId="0" fontId="3" fillId="0" borderId="0" xfId="2" applyFill="1" applyBorder="1" applyAlignment="1">
      <alignment vertical="center" wrapText="1"/>
    </xf>
    <xf numFmtId="0" fontId="25" fillId="0" borderId="0" xfId="2" applyFont="1" applyFill="1" applyBorder="1" applyAlignment="1">
      <alignment horizontal="center" vertical="center" wrapText="1"/>
    </xf>
    <xf numFmtId="0" fontId="3" fillId="0" borderId="0" xfId="2" applyFill="1" applyBorder="1" applyAlignment="1">
      <alignment horizontal="center" vertical="center" wrapText="1"/>
    </xf>
    <xf numFmtId="0" fontId="3" fillId="0" borderId="0" xfId="2" applyFill="1" applyBorder="1" applyAlignment="1">
      <alignment horizontal="center" vertical="center" shrinkToFit="1"/>
    </xf>
    <xf numFmtId="0" fontId="7" fillId="5" borderId="1" xfId="0" applyFont="1" applyFill="1" applyBorder="1">
      <alignment vertical="center"/>
    </xf>
    <xf numFmtId="0" fontId="0" fillId="5" borderId="1" xfId="0" applyFill="1" applyBorder="1" applyAlignment="1">
      <alignment horizontal="center" vertical="center"/>
    </xf>
    <xf numFmtId="0" fontId="3" fillId="0" borderId="1" xfId="2" applyBorder="1" applyAlignment="1">
      <alignment horizontal="center" vertical="center"/>
    </xf>
    <xf numFmtId="177" fontId="31" fillId="0" borderId="26" xfId="2" applyNumberFormat="1" applyFont="1" applyFill="1" applyBorder="1" applyAlignment="1">
      <alignment horizontal="center" shrinkToFit="1"/>
    </xf>
    <xf numFmtId="0" fontId="32" fillId="0" borderId="0" xfId="2" applyFont="1" applyBorder="1">
      <alignment vertical="center"/>
    </xf>
    <xf numFmtId="0" fontId="34" fillId="0" borderId="0" xfId="2" applyFont="1">
      <alignment vertical="center"/>
    </xf>
    <xf numFmtId="0" fontId="3" fillId="10" borderId="6" xfId="2" applyNumberFormat="1" applyFill="1" applyBorder="1">
      <alignment vertical="center"/>
    </xf>
    <xf numFmtId="0" fontId="3" fillId="0" borderId="1" xfId="2" applyFill="1" applyBorder="1" applyAlignment="1">
      <alignment horizontal="center" shrinkToFit="1"/>
    </xf>
    <xf numFmtId="0" fontId="3" fillId="0" borderId="31" xfId="2" applyFill="1" applyBorder="1" applyAlignment="1">
      <alignment horizontal="center" shrinkToFit="1"/>
    </xf>
    <xf numFmtId="0" fontId="3" fillId="0" borderId="0" xfId="2" applyBorder="1" applyAlignment="1">
      <alignment horizontal="center"/>
    </xf>
    <xf numFmtId="0" fontId="3" fillId="0" borderId="1" xfId="2" applyBorder="1" applyAlignment="1">
      <alignment horizontal="center" vertical="center"/>
    </xf>
    <xf numFmtId="176" fontId="35" fillId="0" borderId="1" xfId="0" applyNumberFormat="1" applyFont="1" applyBorder="1" applyAlignment="1">
      <alignment vertical="center" shrinkToFit="1"/>
    </xf>
    <xf numFmtId="0" fontId="35" fillId="0" borderId="1" xfId="0" applyFont="1" applyBorder="1" applyAlignment="1">
      <alignment vertical="center" shrinkToFit="1"/>
    </xf>
    <xf numFmtId="40" fontId="35" fillId="0" borderId="1" xfId="1" applyNumberFormat="1" applyFont="1" applyBorder="1" applyAlignment="1">
      <alignment vertical="center" shrinkToFit="1"/>
    </xf>
    <xf numFmtId="0" fontId="35" fillId="0" borderId="1" xfId="0" applyFont="1" applyBorder="1">
      <alignment vertical="center"/>
    </xf>
    <xf numFmtId="0" fontId="35" fillId="0" borderId="1" xfId="0" applyFont="1" applyFill="1" applyBorder="1" applyAlignment="1">
      <alignment vertical="center" shrinkToFit="1"/>
    </xf>
    <xf numFmtId="0" fontId="6" fillId="0" borderId="1" xfId="0" applyFont="1" applyFill="1" applyBorder="1">
      <alignment vertical="center"/>
    </xf>
    <xf numFmtId="0" fontId="6" fillId="0" borderId="1" xfId="0" applyFont="1" applyFill="1" applyBorder="1" applyAlignment="1">
      <alignment horizontal="right" vertical="center"/>
    </xf>
    <xf numFmtId="14" fontId="3" fillId="0" borderId="0" xfId="2" applyNumberFormat="1" applyFill="1">
      <alignment vertical="center"/>
    </xf>
    <xf numFmtId="2" fontId="12" fillId="0" borderId="0" xfId="2" applyNumberFormat="1" applyFont="1" applyFill="1" applyBorder="1" applyAlignment="1">
      <alignment horizontal="center" shrinkToFit="1"/>
    </xf>
    <xf numFmtId="2" fontId="3" fillId="0" borderId="0" xfId="2" applyNumberFormat="1" applyBorder="1" applyAlignment="1">
      <alignment horizontal="center" shrinkToFit="1"/>
    </xf>
    <xf numFmtId="11" fontId="12" fillId="0" borderId="0" xfId="2" applyNumberFormat="1" applyFont="1" applyFill="1" applyBorder="1" applyAlignment="1">
      <alignment horizontal="center"/>
    </xf>
    <xf numFmtId="2" fontId="12" fillId="0" borderId="25" xfId="2" applyNumberFormat="1" applyFont="1" applyFill="1" applyBorder="1" applyAlignment="1">
      <alignment horizontal="center" shrinkToFit="1"/>
    </xf>
    <xf numFmtId="2" fontId="12" fillId="0" borderId="26" xfId="2" applyNumberFormat="1" applyFont="1" applyFill="1" applyBorder="1" applyAlignment="1">
      <alignment horizontal="center" shrinkToFit="1"/>
    </xf>
    <xf numFmtId="2" fontId="3" fillId="0" borderId="26" xfId="2" applyNumberFormat="1" applyBorder="1" applyAlignment="1">
      <alignment horizontal="center" shrinkToFit="1"/>
    </xf>
    <xf numFmtId="0" fontId="3" fillId="0" borderId="27" xfId="2" applyFill="1" applyBorder="1" applyAlignment="1">
      <alignment horizontal="center"/>
    </xf>
    <xf numFmtId="0" fontId="3" fillId="0" borderId="31" xfId="2" quotePrefix="1" applyFill="1" applyBorder="1" applyAlignment="1">
      <alignment horizontal="center" shrinkToFit="1"/>
    </xf>
    <xf numFmtId="2" fontId="12" fillId="2" borderId="32" xfId="2" applyNumberFormat="1" applyFont="1" applyFill="1" applyBorder="1" applyAlignment="1">
      <alignment horizontal="center" shrinkToFit="1"/>
    </xf>
    <xf numFmtId="179" fontId="12" fillId="0" borderId="25" xfId="2" applyNumberFormat="1" applyFont="1" applyFill="1" applyBorder="1" applyAlignment="1">
      <alignment horizontal="center" shrinkToFit="1"/>
    </xf>
    <xf numFmtId="180" fontId="12" fillId="0" borderId="26" xfId="2" applyNumberFormat="1" applyFont="1" applyFill="1" applyBorder="1" applyAlignment="1">
      <alignment horizontal="center" shrinkToFit="1"/>
    </xf>
    <xf numFmtId="0" fontId="12" fillId="0" borderId="26" xfId="2" applyFont="1" applyFill="1" applyBorder="1" applyAlignment="1">
      <alignment horizontal="center" shrinkToFit="1"/>
    </xf>
    <xf numFmtId="0" fontId="10" fillId="0" borderId="11" xfId="2" applyFont="1" applyFill="1" applyBorder="1" applyAlignment="1">
      <alignment horizontal="center" shrinkToFit="1"/>
    </xf>
    <xf numFmtId="11" fontId="12" fillId="0" borderId="25" xfId="2" applyNumberFormat="1" applyFont="1" applyFill="1" applyBorder="1" applyAlignment="1">
      <alignment horizontal="center"/>
    </xf>
    <xf numFmtId="0" fontId="10" fillId="0" borderId="27" xfId="2" applyFont="1" applyFill="1" applyBorder="1" applyAlignment="1">
      <alignment horizontal="center" shrinkToFit="1"/>
    </xf>
    <xf numFmtId="11" fontId="12" fillId="0" borderId="32" xfId="2" applyNumberFormat="1" applyFont="1" applyFill="1" applyBorder="1" applyAlignment="1">
      <alignment horizontal="center"/>
    </xf>
    <xf numFmtId="0" fontId="2" fillId="0" borderId="1" xfId="2" applyFont="1" applyBorder="1">
      <alignment vertical="center"/>
    </xf>
    <xf numFmtId="11" fontId="3" fillId="0" borderId="0" xfId="2" applyNumberFormat="1" applyBorder="1">
      <alignment vertical="center"/>
    </xf>
    <xf numFmtId="0" fontId="23" fillId="0" borderId="40" xfId="2" applyFont="1" applyBorder="1" applyAlignment="1">
      <alignment horizontal="center" vertical="center" shrinkToFit="1"/>
    </xf>
    <xf numFmtId="0" fontId="3" fillId="0" borderId="22" xfId="2" applyFill="1" applyBorder="1" applyAlignment="1">
      <alignment horizontal="center" vertical="center"/>
    </xf>
    <xf numFmtId="0" fontId="3" fillId="10" borderId="46" xfId="2" applyFill="1" applyBorder="1" applyAlignment="1">
      <alignment horizontal="center" vertical="center"/>
    </xf>
    <xf numFmtId="0" fontId="23" fillId="0" borderId="33" xfId="2" applyFont="1" applyBorder="1" applyAlignment="1">
      <alignment horizontal="center" vertical="center" shrinkToFit="1"/>
    </xf>
    <xf numFmtId="0" fontId="3" fillId="0" borderId="36" xfId="2" applyFill="1" applyBorder="1" applyAlignment="1">
      <alignment horizontal="center" vertical="center"/>
    </xf>
    <xf numFmtId="0" fontId="3" fillId="10" borderId="37" xfId="2" applyFill="1" applyBorder="1" applyAlignment="1">
      <alignment horizontal="center" vertical="center"/>
    </xf>
    <xf numFmtId="2" fontId="3" fillId="0" borderId="0" xfId="2" applyNumberFormat="1" applyFill="1" applyBorder="1" applyAlignment="1">
      <alignment horizontal="center" shrinkToFit="1"/>
    </xf>
    <xf numFmtId="0" fontId="10" fillId="0" borderId="1" xfId="2" applyFont="1" applyFill="1" applyBorder="1" applyAlignment="1">
      <alignment horizontal="center" shrinkToFit="1"/>
    </xf>
    <xf numFmtId="180" fontId="31" fillId="0" borderId="32" xfId="2" applyNumberFormat="1" applyFont="1" applyFill="1" applyBorder="1" applyAlignment="1">
      <alignment horizontal="center" shrinkToFit="1"/>
    </xf>
    <xf numFmtId="0" fontId="41" fillId="0" borderId="0" xfId="0" applyFont="1">
      <alignment vertical="center"/>
    </xf>
    <xf numFmtId="0" fontId="42" fillId="0" borderId="0" xfId="0" applyFont="1">
      <alignment vertical="center"/>
    </xf>
    <xf numFmtId="181" fontId="41" fillId="2" borderId="45" xfId="0" applyNumberFormat="1" applyFont="1" applyFill="1" applyBorder="1" applyAlignment="1" applyProtection="1">
      <alignment horizontal="center" vertical="center" shrinkToFit="1"/>
      <protection locked="0"/>
    </xf>
    <xf numFmtId="0" fontId="41" fillId="0" borderId="0" xfId="0" applyFont="1" applyBorder="1">
      <alignment vertical="center"/>
    </xf>
    <xf numFmtId="0" fontId="41" fillId="10" borderId="45" xfId="0" applyFont="1" applyFill="1" applyBorder="1" applyAlignment="1" applyProtection="1">
      <alignment horizontal="center" vertical="center"/>
      <protection locked="0"/>
    </xf>
    <xf numFmtId="0" fontId="41" fillId="0" borderId="1" xfId="0" applyFont="1" applyBorder="1">
      <alignment vertical="center"/>
    </xf>
    <xf numFmtId="0" fontId="0" fillId="7" borderId="0" xfId="0" applyFill="1" applyBorder="1">
      <alignment vertical="center"/>
    </xf>
    <xf numFmtId="0" fontId="0" fillId="7" borderId="0" xfId="0" applyFill="1">
      <alignment vertical="center"/>
    </xf>
    <xf numFmtId="0" fontId="0" fillId="7" borderId="16" xfId="0" applyFill="1" applyBorder="1">
      <alignment vertical="center"/>
    </xf>
    <xf numFmtId="0" fontId="0" fillId="7" borderId="39" xfId="0" applyFill="1" applyBorder="1">
      <alignment vertical="center"/>
    </xf>
    <xf numFmtId="0" fontId="47" fillId="7" borderId="58" xfId="0" applyFont="1" applyFill="1" applyBorder="1">
      <alignment vertical="center"/>
    </xf>
    <xf numFmtId="0" fontId="0" fillId="7" borderId="9" xfId="0" applyFill="1" applyBorder="1">
      <alignment vertical="center"/>
    </xf>
    <xf numFmtId="0" fontId="0" fillId="7" borderId="10" xfId="0" applyFill="1" applyBorder="1">
      <alignment vertical="center"/>
    </xf>
    <xf numFmtId="0" fontId="0" fillId="7" borderId="15" xfId="0" applyFill="1" applyBorder="1">
      <alignment vertical="center"/>
    </xf>
    <xf numFmtId="0" fontId="0" fillId="7" borderId="17" xfId="0" applyFill="1" applyBorder="1" applyAlignment="1">
      <alignment horizontal="right" vertical="center"/>
    </xf>
    <xf numFmtId="0" fontId="0" fillId="7" borderId="44" xfId="0" applyFill="1" applyBorder="1">
      <alignment vertical="center"/>
    </xf>
    <xf numFmtId="0" fontId="0" fillId="7" borderId="39" xfId="0" applyFill="1" applyBorder="1" applyAlignment="1">
      <alignment horizontal="right" vertical="center"/>
    </xf>
    <xf numFmtId="0" fontId="29" fillId="7" borderId="0" xfId="0" applyFont="1" applyFill="1" applyBorder="1">
      <alignment vertical="center"/>
    </xf>
    <xf numFmtId="0" fontId="38" fillId="7" borderId="0" xfId="0" applyFont="1" applyFill="1" applyBorder="1">
      <alignment vertical="center"/>
    </xf>
    <xf numFmtId="0" fontId="0" fillId="7" borderId="8" xfId="0" applyFill="1" applyBorder="1">
      <alignment vertical="center"/>
    </xf>
    <xf numFmtId="0" fontId="54" fillId="7" borderId="19" xfId="0" applyFont="1" applyFill="1" applyBorder="1" applyAlignment="1">
      <alignment vertical="center" shrinkToFit="1"/>
    </xf>
    <xf numFmtId="0" fontId="53" fillId="7" borderId="39" xfId="0" applyFont="1" applyFill="1" applyBorder="1" applyAlignment="1">
      <alignment vertical="center"/>
    </xf>
    <xf numFmtId="0" fontId="41" fillId="0" borderId="0" xfId="0" applyFont="1" applyFill="1" applyBorder="1" applyAlignment="1">
      <alignment vertical="center" shrinkToFit="1"/>
    </xf>
    <xf numFmtId="2" fontId="12" fillId="6" borderId="25" xfId="2" applyNumberFormat="1" applyFont="1" applyFill="1" applyBorder="1" applyAlignment="1">
      <alignment horizontal="center" shrinkToFit="1"/>
    </xf>
    <xf numFmtId="0" fontId="0" fillId="7" borderId="0" xfId="0" applyFill="1" applyBorder="1" applyAlignment="1">
      <alignment horizontal="right" vertical="center"/>
    </xf>
    <xf numFmtId="0" fontId="57" fillId="0" borderId="0" xfId="0" applyFont="1" applyAlignment="1">
      <alignment horizontal="left" vertical="center" readingOrder="1"/>
    </xf>
    <xf numFmtId="0" fontId="0" fillId="0" borderId="0" xfId="0" applyFont="1">
      <alignment vertical="center"/>
    </xf>
    <xf numFmtId="0" fontId="57" fillId="0" borderId="0" xfId="0" applyFont="1">
      <alignment vertical="center"/>
    </xf>
    <xf numFmtId="0" fontId="59" fillId="0" borderId="0" xfId="0" applyFont="1" applyAlignment="1">
      <alignment vertical="center"/>
    </xf>
    <xf numFmtId="0" fontId="41" fillId="7" borderId="15" xfId="0" applyFont="1" applyFill="1" applyBorder="1">
      <alignment vertical="center"/>
    </xf>
    <xf numFmtId="0" fontId="41" fillId="7" borderId="44" xfId="0" applyFont="1" applyFill="1" applyBorder="1">
      <alignment vertical="center"/>
    </xf>
    <xf numFmtId="0" fontId="41" fillId="7" borderId="8" xfId="0" applyFont="1" applyFill="1" applyBorder="1">
      <alignment vertical="center"/>
    </xf>
    <xf numFmtId="0" fontId="0" fillId="0" borderId="0" xfId="0" applyBorder="1">
      <alignment vertical="center"/>
    </xf>
    <xf numFmtId="0" fontId="44" fillId="7" borderId="1" xfId="0" applyFont="1" applyFill="1" applyBorder="1" applyAlignment="1">
      <alignment horizontal="center" vertical="center" shrinkToFit="1"/>
    </xf>
    <xf numFmtId="0" fontId="41" fillId="7" borderId="1" xfId="0" applyFont="1" applyFill="1" applyBorder="1" applyProtection="1">
      <alignment vertical="center"/>
      <protection locked="0"/>
    </xf>
    <xf numFmtId="0" fontId="41" fillId="0" borderId="1" xfId="0" applyFont="1" applyBorder="1" applyProtection="1">
      <alignment vertical="center"/>
      <protection locked="0"/>
    </xf>
    <xf numFmtId="0" fontId="41" fillId="2" borderId="45" xfId="0" applyFont="1" applyFill="1" applyBorder="1" applyAlignment="1" applyProtection="1">
      <alignment horizontal="center" vertical="center"/>
      <protection locked="0"/>
    </xf>
    <xf numFmtId="0" fontId="0" fillId="7" borderId="16" xfId="0" applyFill="1" applyBorder="1" applyProtection="1">
      <alignment vertical="center"/>
    </xf>
    <xf numFmtId="0" fontId="62" fillId="7" borderId="16" xfId="0" applyFont="1" applyFill="1" applyBorder="1" applyProtection="1">
      <alignment vertical="center"/>
    </xf>
    <xf numFmtId="0" fontId="0" fillId="7" borderId="17" xfId="0" applyFill="1" applyBorder="1" applyAlignment="1" applyProtection="1">
      <alignment horizontal="right"/>
    </xf>
    <xf numFmtId="0" fontId="0" fillId="7" borderId="0" xfId="0" applyFill="1" applyBorder="1" applyProtection="1">
      <alignment vertical="center"/>
    </xf>
    <xf numFmtId="0" fontId="0" fillId="7" borderId="39" xfId="0" applyFill="1" applyBorder="1" applyProtection="1">
      <alignment vertical="center"/>
    </xf>
    <xf numFmtId="0" fontId="41" fillId="7" borderId="52" xfId="0" applyFont="1" applyFill="1" applyBorder="1" applyProtection="1">
      <alignment vertical="center"/>
    </xf>
    <xf numFmtId="0" fontId="41" fillId="7" borderId="53" xfId="0" applyFont="1" applyFill="1" applyBorder="1" applyProtection="1">
      <alignment vertical="center"/>
    </xf>
    <xf numFmtId="0" fontId="41" fillId="7" borderId="54" xfId="0" applyFont="1" applyFill="1" applyBorder="1" applyProtection="1">
      <alignment vertical="center"/>
    </xf>
    <xf numFmtId="0" fontId="0" fillId="7" borderId="52" xfId="0" applyFill="1" applyBorder="1" applyProtection="1">
      <alignment vertical="center"/>
    </xf>
    <xf numFmtId="0" fontId="0" fillId="7" borderId="54" xfId="0" applyFill="1" applyBorder="1" applyProtection="1">
      <alignment vertical="center"/>
    </xf>
    <xf numFmtId="0" fontId="29" fillId="7" borderId="47" xfId="0" applyFont="1" applyFill="1" applyBorder="1" applyAlignment="1" applyProtection="1">
      <alignment vertical="center"/>
    </xf>
    <xf numFmtId="0" fontId="41" fillId="7" borderId="0" xfId="0" applyFont="1" applyFill="1" applyBorder="1" applyAlignment="1" applyProtection="1">
      <alignment horizontal="left" vertical="center" shrinkToFit="1"/>
    </xf>
    <xf numFmtId="0" fontId="41" fillId="7" borderId="55" xfId="0" applyFont="1" applyFill="1" applyBorder="1" applyProtection="1">
      <alignment vertical="center"/>
    </xf>
    <xf numFmtId="0" fontId="29" fillId="7" borderId="47" xfId="0" applyFont="1" applyFill="1" applyBorder="1" applyAlignment="1" applyProtection="1">
      <alignment horizontal="center" vertical="center"/>
    </xf>
    <xf numFmtId="0" fontId="49" fillId="14" borderId="0" xfId="0" applyFont="1" applyFill="1" applyBorder="1" applyProtection="1">
      <alignment vertical="center"/>
    </xf>
    <xf numFmtId="0" fontId="47" fillId="14" borderId="0" xfId="0" applyFont="1" applyFill="1" applyBorder="1" applyProtection="1">
      <alignment vertical="center"/>
    </xf>
    <xf numFmtId="0" fontId="47" fillId="7" borderId="0" xfId="0" applyFont="1" applyFill="1" applyBorder="1" applyProtection="1">
      <alignment vertical="center"/>
    </xf>
    <xf numFmtId="0" fontId="0" fillId="7" borderId="55" xfId="0" applyFill="1" applyBorder="1" applyProtection="1">
      <alignment vertical="center"/>
    </xf>
    <xf numFmtId="0" fontId="43" fillId="7" borderId="47" xfId="0" applyFont="1" applyFill="1" applyBorder="1" applyAlignment="1" applyProtection="1">
      <alignment vertical="center"/>
    </xf>
    <xf numFmtId="0" fontId="41" fillId="7" borderId="0" xfId="0" applyFont="1" applyFill="1" applyBorder="1" applyAlignment="1" applyProtection="1">
      <alignment vertical="center"/>
    </xf>
    <xf numFmtId="0" fontId="47" fillId="14" borderId="1" xfId="0" applyFont="1" applyFill="1" applyBorder="1" applyAlignment="1" applyProtection="1">
      <alignment horizontal="center" vertical="center"/>
    </xf>
    <xf numFmtId="0" fontId="47" fillId="14" borderId="1" xfId="0" applyFont="1" applyFill="1" applyBorder="1" applyAlignment="1" applyProtection="1">
      <alignment vertical="center" shrinkToFit="1"/>
    </xf>
    <xf numFmtId="0" fontId="47" fillId="14" borderId="1" xfId="0" applyFont="1" applyFill="1" applyBorder="1" applyProtection="1">
      <alignment vertical="center"/>
    </xf>
    <xf numFmtId="0" fontId="41" fillId="7" borderId="0" xfId="0" applyFont="1" applyFill="1" applyBorder="1" applyAlignment="1" applyProtection="1">
      <alignment horizontal="left" vertical="center"/>
    </xf>
    <xf numFmtId="0" fontId="0" fillId="7" borderId="50" xfId="0" applyFill="1" applyBorder="1" applyProtection="1">
      <alignment vertical="center"/>
    </xf>
    <xf numFmtId="0" fontId="0" fillId="7" borderId="51" xfId="0" applyFill="1" applyBorder="1" applyProtection="1">
      <alignment vertical="center"/>
    </xf>
    <xf numFmtId="0" fontId="0" fillId="7" borderId="56" xfId="0" applyFill="1" applyBorder="1" applyProtection="1">
      <alignment vertical="center"/>
    </xf>
    <xf numFmtId="0" fontId="0" fillId="7" borderId="53" xfId="0" applyFill="1" applyBorder="1" applyProtection="1">
      <alignment vertical="center"/>
    </xf>
    <xf numFmtId="0" fontId="29" fillId="7" borderId="47" xfId="0" applyFont="1" applyFill="1" applyBorder="1" applyAlignment="1" applyProtection="1">
      <alignment horizontal="right" vertical="center"/>
    </xf>
    <xf numFmtId="0" fontId="0" fillId="7" borderId="0" xfId="0" applyFill="1" applyBorder="1" applyAlignment="1" applyProtection="1">
      <alignment vertical="center"/>
    </xf>
    <xf numFmtId="0" fontId="38" fillId="7" borderId="47" xfId="0" applyFont="1" applyFill="1" applyBorder="1" applyAlignment="1" applyProtection="1">
      <alignment horizontal="right" vertical="center"/>
    </xf>
    <xf numFmtId="0" fontId="49" fillId="3" borderId="0" xfId="0" applyFont="1" applyFill="1" applyBorder="1" applyProtection="1">
      <alignment vertical="center"/>
    </xf>
    <xf numFmtId="0" fontId="47" fillId="3" borderId="0" xfId="0" applyFont="1" applyFill="1" applyBorder="1" applyProtection="1">
      <alignment vertical="center"/>
    </xf>
    <xf numFmtId="0" fontId="47" fillId="3" borderId="1" xfId="0" applyFont="1" applyFill="1" applyBorder="1" applyAlignment="1" applyProtection="1">
      <alignment horizontal="center" vertical="center"/>
    </xf>
    <xf numFmtId="0" fontId="47" fillId="3" borderId="1" xfId="0" applyFont="1" applyFill="1" applyBorder="1" applyAlignment="1" applyProtection="1">
      <alignment vertical="center" shrinkToFit="1"/>
    </xf>
    <xf numFmtId="0" fontId="47" fillId="3" borderId="1" xfId="0" applyFont="1" applyFill="1" applyBorder="1" applyProtection="1">
      <alignment vertical="center"/>
    </xf>
    <xf numFmtId="176" fontId="36" fillId="3" borderId="1" xfId="0" applyNumberFormat="1" applyFont="1" applyFill="1" applyBorder="1" applyAlignment="1" applyProtection="1">
      <alignment horizontal="center" vertical="center"/>
    </xf>
    <xf numFmtId="0" fontId="41" fillId="7" borderId="1" xfId="0" applyFont="1" applyFill="1" applyBorder="1" applyAlignment="1" applyProtection="1">
      <alignment horizontal="center" vertical="center"/>
    </xf>
    <xf numFmtId="0" fontId="41" fillId="16" borderId="21" xfId="0" applyFont="1" applyFill="1" applyBorder="1" applyAlignment="1" applyProtection="1">
      <alignment horizontal="center" vertical="center"/>
    </xf>
    <xf numFmtId="2" fontId="47" fillId="3" borderId="1" xfId="0" applyNumberFormat="1" applyFont="1" applyFill="1" applyBorder="1" applyAlignment="1" applyProtection="1">
      <alignment horizontal="center" vertical="center"/>
    </xf>
    <xf numFmtId="0" fontId="37" fillId="11" borderId="0" xfId="0" applyFont="1" applyFill="1" applyBorder="1" applyProtection="1">
      <alignment vertical="center"/>
    </xf>
    <xf numFmtId="0" fontId="47" fillId="11" borderId="0" xfId="0" applyFont="1" applyFill="1" applyBorder="1" applyProtection="1">
      <alignment vertical="center"/>
    </xf>
    <xf numFmtId="0" fontId="36" fillId="11" borderId="1" xfId="0" applyFont="1" applyFill="1" applyBorder="1" applyAlignment="1" applyProtection="1">
      <alignment horizontal="center" vertical="center"/>
    </xf>
    <xf numFmtId="0" fontId="46" fillId="11" borderId="1" xfId="0" applyFont="1" applyFill="1" applyBorder="1" applyAlignment="1" applyProtection="1">
      <alignment vertical="center" shrinkToFit="1"/>
    </xf>
    <xf numFmtId="0" fontId="36" fillId="11" borderId="1" xfId="0" applyFont="1" applyFill="1" applyBorder="1" applyProtection="1">
      <alignment vertical="center"/>
    </xf>
    <xf numFmtId="0" fontId="46" fillId="11" borderId="1" xfId="0" applyFont="1" applyFill="1" applyBorder="1" applyProtection="1">
      <alignment vertical="center"/>
    </xf>
    <xf numFmtId="0" fontId="40" fillId="7" borderId="0" xfId="0" applyFont="1" applyFill="1" applyBorder="1" applyAlignment="1" applyProtection="1">
      <alignment vertical="center"/>
    </xf>
    <xf numFmtId="0" fontId="38" fillId="7" borderId="50" xfId="0" applyFont="1" applyFill="1" applyBorder="1" applyAlignment="1" applyProtection="1">
      <alignment horizontal="center" vertical="center"/>
    </xf>
    <xf numFmtId="0" fontId="38" fillId="7" borderId="51" xfId="0" applyFont="1" applyFill="1" applyBorder="1" applyProtection="1">
      <alignment vertical="center"/>
    </xf>
    <xf numFmtId="0" fontId="38" fillId="7" borderId="50" xfId="0" applyFont="1" applyFill="1" applyBorder="1" applyAlignment="1" applyProtection="1">
      <alignment horizontal="right" vertical="center"/>
    </xf>
    <xf numFmtId="0" fontId="41" fillId="7" borderId="51" xfId="0" applyFont="1" applyFill="1" applyBorder="1" applyAlignment="1" applyProtection="1">
      <alignment vertical="center"/>
    </xf>
    <xf numFmtId="0" fontId="41" fillId="7" borderId="51" xfId="0" applyFont="1" applyFill="1" applyBorder="1" applyAlignment="1" applyProtection="1">
      <alignment horizontal="center" vertical="center"/>
    </xf>
    <xf numFmtId="0" fontId="41" fillId="7" borderId="51" xfId="0" applyFont="1" applyFill="1" applyBorder="1" applyAlignment="1" applyProtection="1">
      <alignment horizontal="center" vertical="center" shrinkToFit="1"/>
    </xf>
    <xf numFmtId="0" fontId="0" fillId="7" borderId="51" xfId="0" applyFill="1" applyBorder="1" applyAlignment="1" applyProtection="1">
      <alignment vertical="center"/>
    </xf>
    <xf numFmtId="0" fontId="41" fillId="7" borderId="57" xfId="0" applyFont="1" applyFill="1" applyBorder="1" applyProtection="1">
      <alignment vertical="center"/>
    </xf>
    <xf numFmtId="0" fontId="0" fillId="7" borderId="58" xfId="0" applyFill="1" applyBorder="1" applyProtection="1">
      <alignment vertical="center"/>
    </xf>
    <xf numFmtId="0" fontId="0" fillId="7" borderId="59" xfId="0" applyFill="1" applyBorder="1" applyProtection="1">
      <alignment vertical="center"/>
    </xf>
    <xf numFmtId="0" fontId="0" fillId="7" borderId="60" xfId="0" applyFill="1" applyBorder="1" applyProtection="1">
      <alignment vertical="center"/>
    </xf>
    <xf numFmtId="0" fontId="41" fillId="15" borderId="7" xfId="0" applyFont="1" applyFill="1" applyBorder="1" applyAlignment="1" applyProtection="1">
      <alignment vertical="center" shrinkToFit="1"/>
    </xf>
    <xf numFmtId="0" fontId="0" fillId="7" borderId="62" xfId="0" applyFill="1" applyBorder="1" applyProtection="1">
      <alignment vertical="center"/>
    </xf>
    <xf numFmtId="0" fontId="0" fillId="7" borderId="63" xfId="0" applyFill="1" applyBorder="1" applyProtection="1">
      <alignment vertical="center"/>
    </xf>
    <xf numFmtId="0" fontId="0" fillId="7" borderId="64" xfId="0" applyFill="1" applyBorder="1" applyProtection="1">
      <alignment vertical="center"/>
    </xf>
    <xf numFmtId="0" fontId="41" fillId="16" borderId="1" xfId="0" applyFont="1" applyFill="1" applyBorder="1" applyAlignment="1" applyProtection="1">
      <alignment horizontal="center" vertical="center"/>
    </xf>
    <xf numFmtId="0" fontId="41" fillId="0" borderId="0" xfId="0" applyFont="1" applyBorder="1" applyAlignment="1">
      <alignment horizontal="left" vertical="center"/>
    </xf>
    <xf numFmtId="0" fontId="40" fillId="0" borderId="0" xfId="0" applyFont="1" applyBorder="1" applyAlignment="1">
      <alignment horizontal="left" vertical="center"/>
    </xf>
    <xf numFmtId="0" fontId="41" fillId="0" borderId="11" xfId="0" applyFont="1" applyFill="1" applyBorder="1" applyAlignment="1">
      <alignment vertical="center" shrinkToFit="1"/>
    </xf>
    <xf numFmtId="0" fontId="41" fillId="0" borderId="25" xfId="0" applyFont="1" applyFill="1" applyBorder="1" applyAlignment="1">
      <alignment vertical="center" shrinkToFit="1"/>
    </xf>
    <xf numFmtId="0" fontId="41" fillId="0" borderId="14" xfId="0" applyFont="1" applyFill="1" applyBorder="1" applyAlignment="1">
      <alignment vertical="center" shrinkToFit="1"/>
    </xf>
    <xf numFmtId="0" fontId="41" fillId="0" borderId="26" xfId="0" applyFont="1" applyFill="1" applyBorder="1" applyAlignment="1">
      <alignment vertical="center" shrinkToFit="1"/>
    </xf>
    <xf numFmtId="0" fontId="41" fillId="0" borderId="14" xfId="0" applyFont="1" applyBorder="1" applyAlignment="1">
      <alignment horizontal="left" vertical="center"/>
    </xf>
    <xf numFmtId="0" fontId="41" fillId="0" borderId="26" xfId="0" applyFont="1" applyBorder="1" applyAlignment="1">
      <alignment horizontal="left" vertical="center"/>
    </xf>
    <xf numFmtId="0" fontId="40" fillId="0" borderId="14" xfId="0" applyFont="1" applyBorder="1" applyAlignment="1">
      <alignment horizontal="left" vertical="center"/>
    </xf>
    <xf numFmtId="0" fontId="0" fillId="0" borderId="26" xfId="0" applyFont="1" applyBorder="1" applyAlignment="1">
      <alignment horizontal="left" vertical="center"/>
    </xf>
    <xf numFmtId="0" fontId="41" fillId="0" borderId="27" xfId="0" applyFont="1" applyBorder="1" applyAlignment="1">
      <alignment horizontal="left" vertical="center"/>
    </xf>
    <xf numFmtId="0" fontId="41" fillId="0" borderId="32" xfId="0" applyFont="1" applyBorder="1" applyAlignment="1">
      <alignment horizontal="left" vertical="center"/>
    </xf>
    <xf numFmtId="0" fontId="41" fillId="0" borderId="11" xfId="0" applyFont="1" applyBorder="1" applyAlignment="1">
      <alignment horizontal="left" vertical="center"/>
    </xf>
    <xf numFmtId="0" fontId="41" fillId="0" borderId="25" xfId="0" applyFont="1" applyBorder="1" applyAlignment="1">
      <alignment horizontal="left" vertical="center"/>
    </xf>
    <xf numFmtId="0" fontId="0" fillId="0" borderId="14" xfId="0" applyFont="1" applyBorder="1" applyAlignment="1">
      <alignment horizontal="left" vertical="center"/>
    </xf>
    <xf numFmtId="0" fontId="40" fillId="0" borderId="26" xfId="0" applyFont="1" applyBorder="1" applyAlignment="1">
      <alignment horizontal="left" vertical="center"/>
    </xf>
    <xf numFmtId="0" fontId="0" fillId="0" borderId="26" xfId="0" applyBorder="1">
      <alignment vertical="center"/>
    </xf>
    <xf numFmtId="0" fontId="40" fillId="0" borderId="0" xfId="0" applyFont="1" applyBorder="1">
      <alignment vertical="center"/>
    </xf>
    <xf numFmtId="0" fontId="0" fillId="0" borderId="70" xfId="0" applyBorder="1">
      <alignment vertical="center"/>
    </xf>
    <xf numFmtId="0" fontId="47" fillId="0" borderId="0" xfId="0" applyFont="1" applyFill="1" applyBorder="1" applyAlignment="1" applyProtection="1">
      <alignment horizontal="left" vertical="center"/>
    </xf>
    <xf numFmtId="0" fontId="0" fillId="0" borderId="69" xfId="0" applyBorder="1">
      <alignment vertical="center"/>
    </xf>
    <xf numFmtId="0" fontId="0" fillId="0" borderId="25" xfId="0" applyBorder="1">
      <alignment vertical="center"/>
    </xf>
    <xf numFmtId="0" fontId="44" fillId="7" borderId="1" xfId="0" applyFont="1" applyFill="1" applyBorder="1" applyAlignment="1">
      <alignment horizontal="left" vertical="center" shrinkToFit="1"/>
    </xf>
    <xf numFmtId="0" fontId="0" fillId="0" borderId="1" xfId="0" applyBorder="1" applyAlignment="1">
      <alignment horizontal="center" vertical="center"/>
    </xf>
    <xf numFmtId="2" fontId="36" fillId="11" borderId="1" xfId="0" applyNumberFormat="1" applyFont="1" applyFill="1" applyBorder="1" applyProtection="1">
      <alignment vertical="center"/>
    </xf>
    <xf numFmtId="0" fontId="0" fillId="4" borderId="1" xfId="0" applyFill="1" applyBorder="1">
      <alignment vertical="center"/>
    </xf>
    <xf numFmtId="0" fontId="6" fillId="4" borderId="1" xfId="0" applyFont="1" applyFill="1" applyBorder="1">
      <alignment vertical="center"/>
    </xf>
    <xf numFmtId="0" fontId="0" fillId="7" borderId="0" xfId="0" applyFill="1" applyBorder="1" applyAlignment="1" applyProtection="1">
      <alignment horizontal="center" vertical="center"/>
    </xf>
    <xf numFmtId="49" fontId="41" fillId="2" borderId="5" xfId="1" applyNumberFormat="1" applyFont="1" applyFill="1" applyBorder="1" applyAlignment="1" applyProtection="1">
      <alignment horizontal="right" vertical="center" shrinkToFit="1"/>
      <protection locked="0"/>
    </xf>
    <xf numFmtId="0" fontId="0" fillId="0" borderId="11" xfId="0" applyBorder="1">
      <alignment vertical="center"/>
    </xf>
    <xf numFmtId="0" fontId="6" fillId="0" borderId="25" xfId="0" applyFont="1" applyBorder="1">
      <alignment vertical="center"/>
    </xf>
    <xf numFmtId="0" fontId="0" fillId="0" borderId="14" xfId="0" applyBorder="1">
      <alignment vertical="center"/>
    </xf>
    <xf numFmtId="0" fontId="6" fillId="0" borderId="14" xfId="0" applyFont="1" applyBorder="1">
      <alignment vertical="center"/>
    </xf>
    <xf numFmtId="0" fontId="40" fillId="0" borderId="14" xfId="0" applyFont="1" applyBorder="1">
      <alignment vertical="center"/>
    </xf>
    <xf numFmtId="0" fontId="40" fillId="0" borderId="27" xfId="0" applyFont="1" applyBorder="1">
      <alignment vertical="center"/>
    </xf>
    <xf numFmtId="0" fontId="0" fillId="0" borderId="32" xfId="0" applyBorder="1">
      <alignment vertical="center"/>
    </xf>
    <xf numFmtId="0" fontId="47" fillId="7" borderId="49" xfId="0" applyFont="1" applyFill="1" applyBorder="1" applyAlignment="1" applyProtection="1">
      <alignment horizontal="right" vertical="center"/>
    </xf>
    <xf numFmtId="49" fontId="41" fillId="2" borderId="45" xfId="0" applyNumberFormat="1" applyFont="1" applyFill="1" applyBorder="1" applyAlignment="1" applyProtection="1">
      <alignment horizontal="left" vertical="center" shrinkToFit="1"/>
      <protection locked="0"/>
    </xf>
    <xf numFmtId="49" fontId="41" fillId="2" borderId="48" xfId="0" applyNumberFormat="1" applyFont="1" applyFill="1" applyBorder="1" applyAlignment="1" applyProtection="1">
      <alignment horizontal="left" vertical="center" shrinkToFit="1"/>
      <protection locked="0"/>
    </xf>
    <xf numFmtId="0" fontId="61" fillId="7" borderId="53" xfId="0" applyFont="1" applyFill="1" applyBorder="1" applyAlignment="1" applyProtection="1">
      <alignment horizontal="center" vertical="center"/>
    </xf>
    <xf numFmtId="0" fontId="41" fillId="2" borderId="75" xfId="0" applyFont="1" applyFill="1" applyBorder="1" applyAlignment="1" applyProtection="1">
      <alignment horizontal="center" vertical="center"/>
      <protection locked="0"/>
    </xf>
    <xf numFmtId="0" fontId="41" fillId="2" borderId="76" xfId="0" applyFont="1" applyFill="1" applyBorder="1" applyAlignment="1" applyProtection="1">
      <alignment horizontal="center" vertical="center"/>
      <protection locked="0"/>
    </xf>
    <xf numFmtId="0" fontId="38" fillId="7" borderId="47" xfId="0" applyFont="1" applyFill="1" applyBorder="1" applyAlignment="1" applyProtection="1">
      <alignment vertical="center"/>
    </xf>
    <xf numFmtId="0" fontId="39" fillId="7" borderId="0" xfId="0" applyFont="1" applyFill="1" applyBorder="1" applyAlignment="1" applyProtection="1">
      <alignment horizontal="right" vertical="center"/>
    </xf>
    <xf numFmtId="0" fontId="0" fillId="7" borderId="53" xfId="0" applyFill="1" applyBorder="1" applyAlignment="1" applyProtection="1">
      <alignment vertical="center"/>
    </xf>
    <xf numFmtId="0" fontId="41" fillId="7" borderId="60" xfId="0" applyFont="1" applyFill="1" applyBorder="1" applyProtection="1">
      <alignment vertical="center"/>
    </xf>
    <xf numFmtId="0" fontId="0" fillId="7" borderId="61" xfId="0" applyFill="1" applyBorder="1" applyProtection="1">
      <alignment vertical="center"/>
    </xf>
    <xf numFmtId="0" fontId="0" fillId="7" borderId="58" xfId="0" applyFill="1" applyBorder="1" applyAlignment="1" applyProtection="1">
      <alignment vertical="center"/>
    </xf>
    <xf numFmtId="0" fontId="50" fillId="7" borderId="0" xfId="0" applyNumberFormat="1" applyFont="1" applyFill="1" applyBorder="1" applyAlignment="1" applyProtection="1">
      <alignment horizontal="center" vertical="center"/>
    </xf>
    <xf numFmtId="0" fontId="41" fillId="7" borderId="0" xfId="0" applyFont="1" applyFill="1" applyBorder="1" applyAlignment="1" applyProtection="1">
      <alignment horizontal="center" vertical="center" shrinkToFit="1"/>
    </xf>
    <xf numFmtId="0" fontId="0" fillId="7" borderId="61" xfId="0" applyFill="1" applyBorder="1">
      <alignment vertical="center"/>
    </xf>
    <xf numFmtId="0" fontId="0" fillId="7" borderId="63" xfId="0" applyFill="1" applyBorder="1">
      <alignment vertical="center"/>
    </xf>
    <xf numFmtId="0" fontId="41" fillId="7" borderId="63" xfId="0" applyFont="1" applyFill="1" applyBorder="1">
      <alignment vertical="center"/>
    </xf>
    <xf numFmtId="0" fontId="0" fillId="7" borderId="0" xfId="0" applyFont="1" applyFill="1" applyBorder="1">
      <alignment vertical="center"/>
    </xf>
    <xf numFmtId="0" fontId="0" fillId="7" borderId="47" xfId="0" applyFill="1" applyBorder="1" applyProtection="1">
      <alignment vertical="center"/>
    </xf>
    <xf numFmtId="0" fontId="44" fillId="7" borderId="4" xfId="0" applyFont="1" applyFill="1" applyBorder="1" applyAlignment="1" applyProtection="1">
      <alignment horizontal="center" vertical="center" shrinkToFit="1"/>
    </xf>
    <xf numFmtId="0" fontId="43" fillId="7" borderId="0" xfId="0" applyFont="1" applyFill="1" applyBorder="1" applyAlignment="1" applyProtection="1">
      <alignment vertical="center"/>
    </xf>
    <xf numFmtId="0" fontId="39" fillId="7" borderId="0" xfId="0" applyFont="1" applyFill="1" applyBorder="1">
      <alignment vertical="center"/>
    </xf>
    <xf numFmtId="0" fontId="29" fillId="7" borderId="39" xfId="0" applyFont="1" applyFill="1" applyBorder="1">
      <alignment vertical="center"/>
    </xf>
    <xf numFmtId="0" fontId="41" fillId="7" borderId="47" xfId="0" applyFont="1" applyFill="1" applyBorder="1" applyProtection="1">
      <alignment vertical="center"/>
    </xf>
    <xf numFmtId="0" fontId="61" fillId="7" borderId="0" xfId="0" applyFont="1" applyFill="1" applyBorder="1" applyAlignment="1" applyProtection="1">
      <alignment horizontal="center" vertical="center"/>
    </xf>
    <xf numFmtId="0" fontId="0" fillId="7" borderId="72" xfId="0" applyFill="1" applyBorder="1" applyProtection="1">
      <alignment vertical="center"/>
    </xf>
    <xf numFmtId="0" fontId="61" fillId="7" borderId="73" xfId="0" applyFont="1" applyFill="1" applyBorder="1" applyAlignment="1" applyProtection="1">
      <alignment horizontal="center" vertical="center"/>
    </xf>
    <xf numFmtId="0" fontId="0" fillId="7" borderId="73" xfId="0" applyFill="1" applyBorder="1" applyProtection="1">
      <alignment vertical="center"/>
    </xf>
    <xf numFmtId="0" fontId="0" fillId="7" borderId="18" xfId="0" applyFill="1" applyBorder="1" applyProtection="1">
      <alignment vertical="center"/>
    </xf>
    <xf numFmtId="0" fontId="0" fillId="7" borderId="74" xfId="0" applyFill="1" applyBorder="1" applyProtection="1">
      <alignment vertical="center"/>
    </xf>
    <xf numFmtId="0" fontId="0" fillId="7" borderId="66" xfId="0" applyFill="1" applyBorder="1" applyProtection="1">
      <alignment vertical="center"/>
    </xf>
    <xf numFmtId="0" fontId="0" fillId="7" borderId="38" xfId="0" applyFill="1" applyBorder="1" applyProtection="1">
      <alignment vertical="center"/>
    </xf>
    <xf numFmtId="0" fontId="61" fillId="7" borderId="19" xfId="0" applyFont="1" applyFill="1" applyBorder="1" applyAlignment="1" applyProtection="1">
      <alignment horizontal="center" vertical="center"/>
    </xf>
    <xf numFmtId="0" fontId="0" fillId="7" borderId="19" xfId="0" applyFill="1" applyBorder="1" applyProtection="1">
      <alignment vertical="center"/>
    </xf>
    <xf numFmtId="0" fontId="0" fillId="7" borderId="20" xfId="0" applyFill="1" applyBorder="1" applyProtection="1">
      <alignment vertical="center"/>
    </xf>
    <xf numFmtId="0" fontId="47" fillId="7" borderId="0" xfId="0" applyFont="1" applyFill="1" applyBorder="1" applyAlignment="1" applyProtection="1">
      <alignment vertical="center" shrinkToFit="1"/>
    </xf>
    <xf numFmtId="0" fontId="47" fillId="7" borderId="0" xfId="0" applyFont="1" applyFill="1" applyBorder="1" applyAlignment="1" applyProtection="1">
      <alignment horizontal="center" vertical="center"/>
    </xf>
    <xf numFmtId="0" fontId="0" fillId="7" borderId="47" xfId="0" applyFill="1" applyBorder="1">
      <alignment vertical="center"/>
    </xf>
    <xf numFmtId="0" fontId="41" fillId="0" borderId="0" xfId="0" applyFont="1" applyAlignment="1">
      <alignment vertical="center"/>
    </xf>
    <xf numFmtId="0" fontId="44" fillId="7" borderId="1" xfId="0" applyFont="1" applyFill="1" applyBorder="1" applyAlignment="1" applyProtection="1">
      <alignment horizontal="center" vertical="center" shrinkToFit="1"/>
    </xf>
    <xf numFmtId="0" fontId="0" fillId="0" borderId="4" xfId="0" applyBorder="1" applyAlignment="1">
      <alignment vertical="center"/>
    </xf>
    <xf numFmtId="0" fontId="44" fillId="7" borderId="1" xfId="0" applyFont="1" applyFill="1" applyBorder="1" applyAlignment="1" applyProtection="1">
      <alignment vertical="center" shrinkToFit="1"/>
    </xf>
    <xf numFmtId="0" fontId="29" fillId="0" borderId="2" xfId="0" applyFont="1" applyBorder="1" applyAlignment="1">
      <alignment horizontal="center" vertical="center"/>
    </xf>
    <xf numFmtId="0" fontId="38" fillId="0" borderId="2" xfId="0" applyFont="1" applyBorder="1" applyAlignment="1">
      <alignment horizontal="center" vertical="center"/>
    </xf>
    <xf numFmtId="0" fontId="45" fillId="7" borderId="1" xfId="0" applyFont="1" applyFill="1" applyBorder="1" applyAlignment="1" applyProtection="1">
      <alignment horizontal="center" vertical="center" shrinkToFit="1"/>
    </xf>
    <xf numFmtId="0" fontId="41" fillId="7" borderId="0" xfId="0" applyFont="1" applyFill="1" applyBorder="1" applyAlignment="1" applyProtection="1">
      <alignment vertical="center" shrinkToFit="1"/>
    </xf>
    <xf numFmtId="0" fontId="41" fillId="7" borderId="4" xfId="0" applyFont="1" applyFill="1" applyBorder="1" applyAlignment="1" applyProtection="1">
      <alignment horizontal="center" vertical="center"/>
    </xf>
    <xf numFmtId="0" fontId="38" fillId="7" borderId="0" xfId="0" applyFont="1" applyFill="1" applyBorder="1" applyAlignment="1">
      <alignment vertical="center"/>
    </xf>
    <xf numFmtId="0" fontId="38" fillId="7" borderId="0" xfId="0" applyFont="1" applyFill="1" applyBorder="1" applyAlignment="1">
      <alignment horizontal="center" vertical="center"/>
    </xf>
    <xf numFmtId="0" fontId="67" fillId="7" borderId="0" xfId="0" applyFont="1" applyFill="1" applyBorder="1" applyAlignment="1" applyProtection="1">
      <alignment vertical="center"/>
    </xf>
    <xf numFmtId="0" fontId="68" fillId="7" borderId="0" xfId="0" applyFont="1" applyFill="1" applyBorder="1" applyAlignment="1">
      <alignment vertical="center"/>
    </xf>
    <xf numFmtId="0" fontId="68" fillId="7" borderId="0" xfId="0" applyFont="1" applyFill="1" applyBorder="1">
      <alignment vertical="center"/>
    </xf>
    <xf numFmtId="0" fontId="69" fillId="7" borderId="0" xfId="0" applyFont="1" applyFill="1" applyBorder="1">
      <alignment vertical="center"/>
    </xf>
    <xf numFmtId="0" fontId="0" fillId="7" borderId="19" xfId="0" applyFill="1" applyBorder="1">
      <alignment vertical="center"/>
    </xf>
    <xf numFmtId="0" fontId="41" fillId="7" borderId="19" xfId="0" applyFont="1" applyFill="1" applyBorder="1" applyAlignment="1" applyProtection="1">
      <alignment vertical="center" shrinkToFit="1"/>
    </xf>
    <xf numFmtId="0" fontId="0" fillId="0" borderId="47" xfId="0" applyBorder="1">
      <alignment vertical="center"/>
    </xf>
    <xf numFmtId="0" fontId="38" fillId="0" borderId="3" xfId="0" applyFont="1" applyBorder="1" applyAlignment="1">
      <alignment horizontal="center" vertical="center"/>
    </xf>
    <xf numFmtId="0" fontId="0" fillId="7" borderId="55" xfId="0" applyFill="1" applyBorder="1" applyAlignment="1" applyProtection="1">
      <alignment vertical="center"/>
    </xf>
    <xf numFmtId="0" fontId="69" fillId="7" borderId="0" xfId="0" applyFont="1" applyFill="1">
      <alignment vertical="center"/>
    </xf>
    <xf numFmtId="0" fontId="69" fillId="7" borderId="0" xfId="0" applyFont="1" applyFill="1" applyAlignment="1">
      <alignment vertical="center"/>
    </xf>
    <xf numFmtId="0" fontId="0" fillId="7" borderId="0" xfId="0" applyFill="1" applyAlignment="1">
      <alignment vertical="center"/>
    </xf>
    <xf numFmtId="0" fontId="6" fillId="0" borderId="70" xfId="0" applyFont="1" applyBorder="1">
      <alignment vertical="center"/>
    </xf>
    <xf numFmtId="0" fontId="0" fillId="0" borderId="71" xfId="0" applyBorder="1">
      <alignment vertical="center"/>
    </xf>
    <xf numFmtId="0" fontId="6" fillId="0" borderId="26" xfId="0" applyFont="1" applyBorder="1">
      <alignment vertical="center"/>
    </xf>
    <xf numFmtId="2" fontId="36" fillId="11" borderId="1" xfId="0" applyNumberFormat="1" applyFont="1" applyFill="1" applyBorder="1" applyAlignment="1" applyProtection="1">
      <alignment vertical="center" shrinkToFit="1"/>
    </xf>
    <xf numFmtId="0" fontId="35" fillId="9" borderId="1" xfId="0" applyFont="1" applyFill="1" applyBorder="1">
      <alignment vertical="center"/>
    </xf>
    <xf numFmtId="0" fontId="71" fillId="2" borderId="1" xfId="0" applyFont="1" applyFill="1" applyBorder="1">
      <alignment vertical="center"/>
    </xf>
    <xf numFmtId="0" fontId="6" fillId="19" borderId="1" xfId="0" applyFont="1" applyFill="1" applyBorder="1">
      <alignment vertical="center"/>
    </xf>
    <xf numFmtId="0" fontId="35" fillId="5" borderId="1" xfId="0" applyFont="1" applyFill="1" applyBorder="1">
      <alignment vertical="center"/>
    </xf>
    <xf numFmtId="0" fontId="35" fillId="19" borderId="1" xfId="0" applyFont="1" applyFill="1" applyBorder="1">
      <alignment vertical="center"/>
    </xf>
    <xf numFmtId="0" fontId="7" fillId="19" borderId="1" xfId="0" applyFont="1" applyFill="1" applyBorder="1">
      <alignment vertical="center"/>
    </xf>
    <xf numFmtId="0" fontId="7" fillId="0" borderId="1" xfId="0" applyFont="1" applyBorder="1">
      <alignment vertical="center"/>
    </xf>
    <xf numFmtId="0" fontId="71" fillId="2" borderId="0" xfId="0" applyFont="1" applyFill="1">
      <alignment vertical="center"/>
    </xf>
    <xf numFmtId="0" fontId="0" fillId="5" borderId="1" xfId="0" applyFill="1" applyBorder="1" applyAlignment="1">
      <alignment vertical="center" shrinkToFit="1"/>
    </xf>
    <xf numFmtId="0" fontId="0" fillId="5" borderId="1" xfId="0" applyFill="1" applyBorder="1">
      <alignment vertical="center"/>
    </xf>
    <xf numFmtId="0" fontId="41" fillId="7" borderId="4" xfId="0" applyFont="1" applyFill="1" applyBorder="1" applyAlignment="1" applyProtection="1">
      <alignment horizontal="center" vertical="center"/>
    </xf>
    <xf numFmtId="0" fontId="41" fillId="7" borderId="4" xfId="0" applyFont="1" applyFill="1" applyBorder="1" applyAlignment="1" applyProtection="1">
      <alignment horizontal="center" vertical="center"/>
    </xf>
    <xf numFmtId="0" fontId="3" fillId="0" borderId="1" xfId="2" applyBorder="1" applyAlignment="1">
      <alignment horizontal="center" vertical="center"/>
    </xf>
    <xf numFmtId="0" fontId="3" fillId="0" borderId="0" xfId="2" applyFill="1" applyBorder="1" applyAlignment="1">
      <alignment horizontal="center" shrinkToFit="1"/>
    </xf>
    <xf numFmtId="0" fontId="3" fillId="0" borderId="1" xfId="2" applyFill="1" applyBorder="1" applyAlignment="1">
      <alignment horizontal="center" shrinkToFit="1"/>
    </xf>
    <xf numFmtId="0" fontId="3" fillId="0" borderId="31" xfId="2" applyFill="1" applyBorder="1" applyAlignment="1">
      <alignment horizontal="center" shrinkToFit="1"/>
    </xf>
    <xf numFmtId="0" fontId="3" fillId="0" borderId="0" xfId="2" applyBorder="1" applyAlignment="1">
      <alignment horizontal="center"/>
    </xf>
    <xf numFmtId="0" fontId="3" fillId="0" borderId="13" xfId="2" applyFill="1" applyBorder="1" applyAlignment="1">
      <alignment horizontal="center" shrinkToFit="1"/>
    </xf>
    <xf numFmtId="0" fontId="41" fillId="7" borderId="4" xfId="0" applyFont="1" applyFill="1" applyBorder="1" applyAlignment="1" applyProtection="1">
      <alignment horizontal="center" vertical="center"/>
    </xf>
    <xf numFmtId="0" fontId="70" fillId="7" borderId="0" xfId="0" applyFont="1" applyFill="1" applyBorder="1" applyAlignment="1" applyProtection="1">
      <alignment vertical="center"/>
    </xf>
    <xf numFmtId="0" fontId="69" fillId="7" borderId="0" xfId="0" applyFont="1" applyFill="1" applyAlignment="1">
      <alignment vertical="center"/>
    </xf>
    <xf numFmtId="0" fontId="38" fillId="7" borderId="0" xfId="0" applyFont="1" applyFill="1" applyBorder="1" applyAlignment="1">
      <alignment vertical="center"/>
    </xf>
    <xf numFmtId="0" fontId="38" fillId="7" borderId="0" xfId="0" applyFont="1" applyFill="1" applyBorder="1" applyAlignment="1">
      <alignment vertical="center"/>
    </xf>
    <xf numFmtId="0" fontId="66" fillId="7" borderId="0" xfId="0" applyFont="1" applyFill="1" applyBorder="1" applyAlignment="1" applyProtection="1">
      <alignment horizontal="left" vertical="center"/>
    </xf>
    <xf numFmtId="0" fontId="70" fillId="7" borderId="0" xfId="0" applyFont="1" applyFill="1" applyBorder="1" applyAlignment="1" applyProtection="1">
      <alignment vertical="center"/>
    </xf>
    <xf numFmtId="0" fontId="0" fillId="9" borderId="1" xfId="0" applyFill="1" applyBorder="1">
      <alignment vertical="center"/>
    </xf>
    <xf numFmtId="0" fontId="0" fillId="9" borderId="1" xfId="0" applyFill="1" applyBorder="1" applyAlignment="1">
      <alignment horizontal="left" vertical="center"/>
    </xf>
    <xf numFmtId="0" fontId="71" fillId="9" borderId="1" xfId="0" applyFont="1" applyFill="1" applyBorder="1">
      <alignment vertical="center"/>
    </xf>
    <xf numFmtId="0" fontId="74" fillId="0" borderId="27" xfId="0" applyFont="1" applyBorder="1" applyAlignment="1">
      <alignment horizontal="left" vertical="center"/>
    </xf>
    <xf numFmtId="0" fontId="74" fillId="0" borderId="32" xfId="0" applyFont="1" applyBorder="1" applyAlignment="1">
      <alignment horizontal="left" vertical="center"/>
    </xf>
    <xf numFmtId="0" fontId="41" fillId="0" borderId="0" xfId="0" applyFont="1" applyFill="1" applyBorder="1" applyAlignment="1" applyProtection="1">
      <alignment vertical="center" shrinkToFit="1"/>
    </xf>
    <xf numFmtId="0" fontId="38" fillId="7" borderId="1" xfId="0" applyFont="1" applyFill="1" applyBorder="1" applyAlignment="1">
      <alignment vertical="center"/>
    </xf>
    <xf numFmtId="0" fontId="5" fillId="7" borderId="1" xfId="0" applyFont="1" applyFill="1" applyBorder="1" applyAlignment="1">
      <alignment vertical="center"/>
    </xf>
    <xf numFmtId="2" fontId="5" fillId="7" borderId="1" xfId="0" applyNumberFormat="1" applyFont="1" applyFill="1" applyBorder="1" applyAlignment="1">
      <alignment vertical="center"/>
    </xf>
    <xf numFmtId="0" fontId="76" fillId="7" borderId="55" xfId="0" applyFont="1" applyFill="1" applyBorder="1" applyProtection="1">
      <alignment vertical="center"/>
    </xf>
    <xf numFmtId="0" fontId="0" fillId="0" borderId="44" xfId="0" applyBorder="1">
      <alignment vertical="center"/>
    </xf>
    <xf numFmtId="0" fontId="41" fillId="16" borderId="22" xfId="0" applyFont="1" applyFill="1" applyBorder="1" applyAlignment="1" applyProtection="1">
      <alignment horizontal="center" vertical="center"/>
    </xf>
    <xf numFmtId="0" fontId="77" fillId="0" borderId="0" xfId="0" applyFont="1" applyFill="1" applyBorder="1" applyAlignment="1">
      <alignment horizontal="center" vertical="center"/>
    </xf>
    <xf numFmtId="0" fontId="41" fillId="16" borderId="72" xfId="0" applyFont="1" applyFill="1" applyBorder="1" applyAlignment="1" applyProtection="1">
      <alignment horizontal="center" vertical="center"/>
    </xf>
    <xf numFmtId="0" fontId="44" fillId="7" borderId="2" xfId="0" applyFont="1" applyFill="1" applyBorder="1" applyAlignment="1" applyProtection="1">
      <alignment horizontal="center" vertical="center" shrinkToFit="1"/>
    </xf>
    <xf numFmtId="0" fontId="79" fillId="7" borderId="0" xfId="0" applyFont="1" applyFill="1" applyBorder="1" applyAlignment="1">
      <alignment horizontal="left" vertical="center"/>
    </xf>
    <xf numFmtId="0" fontId="38" fillId="7" borderId="24" xfId="2" applyFont="1" applyFill="1" applyBorder="1">
      <alignment vertical="center"/>
    </xf>
    <xf numFmtId="0" fontId="38" fillId="7" borderId="77" xfId="2" applyFont="1" applyFill="1" applyBorder="1" applyAlignment="1">
      <alignment horizontal="center" vertical="center"/>
    </xf>
    <xf numFmtId="0" fontId="38" fillId="7" borderId="3" xfId="2" applyFont="1" applyFill="1" applyBorder="1">
      <alignment vertical="center"/>
    </xf>
    <xf numFmtId="0" fontId="38" fillId="7" borderId="67" xfId="2" applyFont="1" applyFill="1" applyBorder="1" applyAlignment="1">
      <alignment horizontal="center" vertical="center"/>
    </xf>
    <xf numFmtId="0" fontId="29" fillId="7" borderId="3" xfId="2" applyFont="1" applyFill="1" applyBorder="1">
      <alignment vertical="center"/>
    </xf>
    <xf numFmtId="0" fontId="29" fillId="7" borderId="29" xfId="2" applyFont="1" applyFill="1" applyBorder="1">
      <alignment vertical="center"/>
    </xf>
    <xf numFmtId="0" fontId="38" fillId="7" borderId="78" xfId="2" applyFont="1" applyFill="1" applyBorder="1" applyAlignment="1">
      <alignment horizontal="center" vertical="center"/>
    </xf>
    <xf numFmtId="0" fontId="3" fillId="7" borderId="3" xfId="2" applyFill="1" applyBorder="1">
      <alignment vertical="center"/>
    </xf>
    <xf numFmtId="0" fontId="3" fillId="7" borderId="29" xfId="2" applyFill="1" applyBorder="1">
      <alignment vertical="center"/>
    </xf>
    <xf numFmtId="0" fontId="1" fillId="7" borderId="24" xfId="4" applyFill="1" applyBorder="1">
      <alignment vertical="center"/>
    </xf>
    <xf numFmtId="38" fontId="38" fillId="7" borderId="77" xfId="3" applyFont="1" applyFill="1" applyBorder="1" applyAlignment="1">
      <alignment horizontal="center" vertical="center"/>
    </xf>
    <xf numFmtId="0" fontId="1" fillId="7" borderId="3" xfId="4" applyFill="1" applyBorder="1">
      <alignment vertical="center"/>
    </xf>
    <xf numFmtId="38" fontId="38" fillId="7" borderId="67" xfId="3" applyFont="1" applyFill="1" applyBorder="1" applyAlignment="1">
      <alignment horizontal="center" vertical="center"/>
    </xf>
    <xf numFmtId="38" fontId="38" fillId="7" borderId="78" xfId="3" applyFont="1" applyFill="1" applyBorder="1" applyAlignment="1">
      <alignment horizontal="center" vertical="center"/>
    </xf>
    <xf numFmtId="0" fontId="69" fillId="7" borderId="23" xfId="2" applyFont="1" applyFill="1" applyBorder="1">
      <alignment vertical="center"/>
    </xf>
    <xf numFmtId="0" fontId="69" fillId="7" borderId="2" xfId="2" applyFont="1" applyFill="1" applyBorder="1">
      <alignment vertical="center"/>
    </xf>
    <xf numFmtId="0" fontId="69" fillId="7" borderId="28" xfId="2" applyFont="1" applyFill="1" applyBorder="1">
      <alignment vertical="center"/>
    </xf>
    <xf numFmtId="0" fontId="69" fillId="7" borderId="2" xfId="2" applyFont="1" applyFill="1" applyBorder="1" applyAlignment="1">
      <alignment vertical="center"/>
    </xf>
    <xf numFmtId="0" fontId="69" fillId="7" borderId="23" xfId="2" applyFont="1" applyFill="1" applyBorder="1" applyAlignment="1">
      <alignment vertical="center"/>
    </xf>
    <xf numFmtId="0" fontId="69" fillId="7" borderId="28" xfId="2" applyFont="1" applyFill="1" applyBorder="1" applyAlignment="1">
      <alignment vertical="center"/>
    </xf>
    <xf numFmtId="0" fontId="38" fillId="7" borderId="24" xfId="0" applyFont="1" applyFill="1" applyBorder="1">
      <alignment vertical="center"/>
    </xf>
    <xf numFmtId="0" fontId="38" fillId="7" borderId="3" xfId="0" applyFont="1" applyFill="1" applyBorder="1">
      <alignment vertical="center"/>
    </xf>
    <xf numFmtId="0" fontId="38" fillId="7" borderId="29" xfId="0" applyFont="1" applyFill="1" applyBorder="1">
      <alignment vertical="center"/>
    </xf>
    <xf numFmtId="0" fontId="29" fillId="0" borderId="70" xfId="0" applyNumberFormat="1" applyFont="1" applyBorder="1" applyAlignment="1">
      <alignment horizontal="right" vertical="center"/>
    </xf>
    <xf numFmtId="0" fontId="29" fillId="0" borderId="71" xfId="0" applyNumberFormat="1" applyFont="1" applyBorder="1" applyAlignment="1">
      <alignment horizontal="right" vertical="center"/>
    </xf>
    <xf numFmtId="0" fontId="29" fillId="0" borderId="69" xfId="0" applyNumberFormat="1" applyFont="1" applyBorder="1" applyAlignment="1">
      <alignment horizontal="right" vertical="center"/>
    </xf>
    <xf numFmtId="0" fontId="38" fillId="0" borderId="70" xfId="0" applyNumberFormat="1" applyFont="1" applyBorder="1" applyAlignment="1">
      <alignment horizontal="right" vertical="center"/>
    </xf>
    <xf numFmtId="0" fontId="38" fillId="0" borderId="71" xfId="0" applyNumberFormat="1" applyFont="1" applyBorder="1" applyAlignment="1">
      <alignment horizontal="right" vertical="center"/>
    </xf>
    <xf numFmtId="0" fontId="38" fillId="0" borderId="69" xfId="0" applyNumberFormat="1" applyFont="1" applyBorder="1" applyAlignment="1">
      <alignment horizontal="right" vertical="center"/>
    </xf>
    <xf numFmtId="0" fontId="41" fillId="7" borderId="4" xfId="0" applyFont="1" applyFill="1" applyBorder="1" applyAlignment="1" applyProtection="1">
      <alignment horizontal="center" vertical="center"/>
    </xf>
    <xf numFmtId="0" fontId="36" fillId="5" borderId="2" xfId="0" applyFont="1" applyFill="1" applyBorder="1" applyAlignment="1">
      <alignment horizontal="center" vertical="center"/>
    </xf>
    <xf numFmtId="0" fontId="0" fillId="7" borderId="0" xfId="0" applyFill="1" applyBorder="1" applyAlignment="1">
      <alignment horizontal="center" shrinkToFit="1"/>
    </xf>
    <xf numFmtId="0" fontId="41" fillId="16" borderId="1" xfId="0" applyFont="1" applyFill="1" applyBorder="1" applyAlignment="1" applyProtection="1">
      <alignment horizontal="center" vertical="center"/>
    </xf>
    <xf numFmtId="0" fontId="0" fillId="7" borderId="16" xfId="0" applyFill="1" applyBorder="1">
      <alignment vertical="center"/>
    </xf>
    <xf numFmtId="0" fontId="0" fillId="7" borderId="0" xfId="0" applyFill="1" applyBorder="1">
      <alignment vertical="center"/>
    </xf>
    <xf numFmtId="0" fontId="0" fillId="7" borderId="9" xfId="0" applyFill="1" applyBorder="1">
      <alignment vertical="center"/>
    </xf>
    <xf numFmtId="0" fontId="0" fillId="7" borderId="81" xfId="0" applyFill="1" applyBorder="1" applyProtection="1">
      <alignment vertical="center"/>
    </xf>
    <xf numFmtId="0" fontId="0" fillId="7" borderId="82" xfId="0" applyFill="1" applyBorder="1" applyProtection="1">
      <alignment vertical="center"/>
    </xf>
    <xf numFmtId="0" fontId="41" fillId="7" borderId="0" xfId="0" applyFont="1" applyFill="1" applyBorder="1" applyAlignment="1" applyProtection="1">
      <alignment horizontal="center" vertical="center"/>
    </xf>
    <xf numFmtId="0" fontId="36" fillId="5" borderId="2" xfId="0" applyFont="1" applyFill="1" applyBorder="1" applyAlignment="1">
      <alignment horizontal="center" vertical="center" shrinkToFit="1"/>
    </xf>
    <xf numFmtId="0" fontId="47" fillId="0" borderId="0" xfId="0" applyFont="1">
      <alignment vertical="center"/>
    </xf>
    <xf numFmtId="0" fontId="36" fillId="7" borderId="61" xfId="0" applyFont="1" applyFill="1" applyBorder="1" applyProtection="1">
      <alignment vertical="center"/>
    </xf>
    <xf numFmtId="0" fontId="36" fillId="7" borderId="2" xfId="0" applyFont="1" applyFill="1" applyBorder="1" applyAlignment="1">
      <alignment vertical="center"/>
    </xf>
    <xf numFmtId="2" fontId="36" fillId="7" borderId="1" xfId="0" applyNumberFormat="1" applyFont="1" applyFill="1" applyBorder="1" applyAlignment="1">
      <alignment vertical="center"/>
    </xf>
    <xf numFmtId="0" fontId="41" fillId="16" borderId="20" xfId="0" applyFont="1" applyFill="1" applyBorder="1" applyAlignment="1" applyProtection="1">
      <alignment horizontal="center" vertical="center"/>
    </xf>
    <xf numFmtId="0" fontId="0" fillId="0" borderId="53" xfId="0" applyBorder="1">
      <alignment vertical="center"/>
    </xf>
    <xf numFmtId="0" fontId="0" fillId="0" borderId="83" xfId="0" applyBorder="1">
      <alignment vertical="center"/>
    </xf>
    <xf numFmtId="0" fontId="47" fillId="0" borderId="4" xfId="0" applyFont="1" applyBorder="1" applyAlignment="1">
      <alignment horizontal="center" vertical="center"/>
    </xf>
    <xf numFmtId="0" fontId="41" fillId="0" borderId="44" xfId="0" applyFont="1" applyBorder="1">
      <alignment vertical="center"/>
    </xf>
    <xf numFmtId="0" fontId="43" fillId="7" borderId="47" xfId="0" applyFont="1" applyFill="1" applyBorder="1" applyAlignment="1" applyProtection="1">
      <alignment vertical="center"/>
      <protection locked="0"/>
    </xf>
    <xf numFmtId="0" fontId="83" fillId="0" borderId="0" xfId="0" applyFont="1" applyFill="1" applyBorder="1" applyAlignment="1" applyProtection="1">
      <alignment horizontal="center" vertical="center" shrinkToFit="1"/>
      <protection locked="0"/>
    </xf>
    <xf numFmtId="0" fontId="6" fillId="7" borderId="0" xfId="0" applyFont="1" applyFill="1" applyBorder="1" applyAlignment="1" applyProtection="1">
      <alignment vertical="center"/>
      <protection locked="0"/>
    </xf>
    <xf numFmtId="2" fontId="6" fillId="0" borderId="0" xfId="0" applyNumberFormat="1" applyFont="1" applyFill="1" applyBorder="1" applyAlignment="1" applyProtection="1">
      <alignment vertical="center"/>
      <protection locked="0"/>
    </xf>
    <xf numFmtId="182" fontId="41" fillId="2" borderId="45" xfId="0" applyNumberFormat="1" applyFont="1" applyFill="1" applyBorder="1" applyAlignment="1" applyProtection="1">
      <alignment horizontal="center" vertical="center" shrinkToFit="1"/>
      <protection locked="0"/>
    </xf>
    <xf numFmtId="0" fontId="0" fillId="7" borderId="9" xfId="0" applyFill="1" applyBorder="1" applyAlignment="1" applyProtection="1">
      <alignment horizontal="right"/>
    </xf>
    <xf numFmtId="0" fontId="0" fillId="0" borderId="17" xfId="0" applyBorder="1">
      <alignment vertical="center"/>
    </xf>
    <xf numFmtId="0" fontId="69" fillId="7" borderId="72" xfId="2" applyFont="1" applyFill="1" applyBorder="1">
      <alignment vertical="center"/>
    </xf>
    <xf numFmtId="0" fontId="38" fillId="7" borderId="73" xfId="0" applyFont="1" applyFill="1" applyBorder="1">
      <alignment vertical="center"/>
    </xf>
    <xf numFmtId="0" fontId="3" fillId="7" borderId="73" xfId="2" applyFill="1" applyBorder="1">
      <alignment vertical="center"/>
    </xf>
    <xf numFmtId="0" fontId="29" fillId="0" borderId="84" xfId="0" applyNumberFormat="1" applyFont="1" applyBorder="1" applyAlignment="1">
      <alignment horizontal="right" vertical="center"/>
    </xf>
    <xf numFmtId="0" fontId="38" fillId="7" borderId="85" xfId="2" applyFont="1" applyFill="1" applyBorder="1" applyAlignment="1">
      <alignment horizontal="center" vertical="center"/>
    </xf>
    <xf numFmtId="0" fontId="38" fillId="0" borderId="84" xfId="0" applyNumberFormat="1" applyFont="1" applyBorder="1" applyAlignment="1">
      <alignment horizontal="right" vertical="center"/>
    </xf>
    <xf numFmtId="0" fontId="69" fillId="7" borderId="38" xfId="2" applyFont="1" applyFill="1" applyBorder="1">
      <alignment vertical="center"/>
    </xf>
    <xf numFmtId="0" fontId="38" fillId="7" borderId="19" xfId="0" applyFont="1" applyFill="1" applyBorder="1">
      <alignment vertical="center"/>
    </xf>
    <xf numFmtId="0" fontId="29" fillId="7" borderId="19" xfId="2" applyFont="1" applyFill="1" applyBorder="1">
      <alignment vertical="center"/>
    </xf>
    <xf numFmtId="0" fontId="29" fillId="0" borderId="86" xfId="0" applyNumberFormat="1" applyFont="1" applyBorder="1" applyAlignment="1">
      <alignment horizontal="right" vertical="center"/>
    </xf>
    <xf numFmtId="0" fontId="38" fillId="7" borderId="87" xfId="2" applyFont="1" applyFill="1" applyBorder="1" applyAlignment="1">
      <alignment horizontal="center" vertical="center"/>
    </xf>
    <xf numFmtId="0" fontId="38" fillId="0" borderId="86" xfId="0" applyNumberFormat="1" applyFont="1" applyBorder="1" applyAlignment="1">
      <alignment horizontal="right" vertical="center"/>
    </xf>
    <xf numFmtId="0" fontId="69" fillId="7" borderId="0" xfId="0" applyFont="1" applyFill="1" applyBorder="1" applyAlignment="1">
      <alignment vertical="center"/>
    </xf>
    <xf numFmtId="0" fontId="69" fillId="7" borderId="0" xfId="0" applyFont="1" applyFill="1" applyAlignment="1">
      <alignment vertical="center"/>
    </xf>
    <xf numFmtId="0" fontId="47" fillId="3" borderId="1" xfId="0" applyFont="1" applyFill="1" applyBorder="1" applyAlignment="1" applyProtection="1">
      <alignment horizontal="center" vertical="center" shrinkToFit="1"/>
    </xf>
    <xf numFmtId="0" fontId="46" fillId="11" borderId="1" xfId="0" applyFont="1" applyFill="1" applyBorder="1" applyAlignment="1" applyProtection="1">
      <alignment horizontal="center" vertical="center" shrinkToFit="1"/>
    </xf>
    <xf numFmtId="0" fontId="46" fillId="11" borderId="1" xfId="0" applyFont="1" applyFill="1" applyBorder="1" applyAlignment="1" applyProtection="1">
      <alignment horizontal="center" vertical="center"/>
    </xf>
    <xf numFmtId="0" fontId="38" fillId="7" borderId="0" xfId="0" applyFont="1" applyFill="1" applyBorder="1" applyAlignment="1">
      <alignment vertical="center" shrinkToFit="1"/>
    </xf>
    <xf numFmtId="0" fontId="38" fillId="7" borderId="0" xfId="0" applyFont="1" applyFill="1" applyBorder="1" applyAlignment="1">
      <alignment horizontal="left" vertical="center"/>
    </xf>
    <xf numFmtId="0" fontId="47" fillId="14" borderId="1" xfId="0" applyFont="1" applyFill="1" applyBorder="1" applyAlignment="1" applyProtection="1">
      <alignment vertical="center"/>
    </xf>
    <xf numFmtId="176" fontId="36" fillId="3" borderId="1" xfId="0" applyNumberFormat="1" applyFont="1" applyFill="1" applyBorder="1" applyAlignment="1" applyProtection="1">
      <alignment vertical="center"/>
    </xf>
    <xf numFmtId="0" fontId="47" fillId="3" borderId="1" xfId="0" applyFont="1" applyFill="1" applyBorder="1" applyAlignment="1" applyProtection="1">
      <alignment vertical="center"/>
    </xf>
    <xf numFmtId="2" fontId="47" fillId="3" borderId="1" xfId="0" applyNumberFormat="1" applyFont="1" applyFill="1" applyBorder="1" applyAlignment="1" applyProtection="1">
      <alignment vertical="center"/>
    </xf>
    <xf numFmtId="2" fontId="36" fillId="11" borderId="1" xfId="0" applyNumberFormat="1" applyFont="1" applyFill="1" applyBorder="1" applyAlignment="1" applyProtection="1">
      <alignment vertical="center"/>
    </xf>
    <xf numFmtId="0" fontId="41" fillId="2" borderId="45" xfId="0" applyFont="1" applyFill="1" applyBorder="1" applyAlignment="1" applyProtection="1">
      <alignment vertical="center"/>
      <protection locked="0"/>
    </xf>
    <xf numFmtId="0" fontId="41" fillId="2" borderId="75" xfId="0" applyFont="1" applyFill="1" applyBorder="1" applyAlignment="1" applyProtection="1">
      <alignment vertical="center"/>
      <protection locked="0"/>
    </xf>
    <xf numFmtId="0" fontId="41" fillId="2" borderId="76" xfId="0" applyFont="1" applyFill="1" applyBorder="1" applyAlignment="1" applyProtection="1">
      <alignment vertical="center"/>
      <protection locked="0"/>
    </xf>
    <xf numFmtId="0" fontId="41" fillId="7" borderId="0" xfId="0" applyFont="1" applyFill="1" applyBorder="1" applyAlignment="1" applyProtection="1">
      <alignment horizontal="right" vertical="center" shrinkToFit="1"/>
    </xf>
    <xf numFmtId="0" fontId="39" fillId="7" borderId="0" xfId="0" applyFont="1" applyFill="1" applyBorder="1" applyAlignment="1">
      <alignment vertical="center"/>
    </xf>
    <xf numFmtId="0" fontId="38" fillId="7" borderId="0" xfId="0" applyFont="1" applyFill="1">
      <alignment vertical="center"/>
    </xf>
    <xf numFmtId="0" fontId="38" fillId="7" borderId="0" xfId="0" applyFont="1" applyFill="1" applyAlignment="1">
      <alignment horizontal="left" vertical="center"/>
    </xf>
    <xf numFmtId="0" fontId="38" fillId="0" borderId="0" xfId="0" applyFont="1">
      <alignment vertical="center"/>
    </xf>
    <xf numFmtId="0" fontId="70" fillId="7" borderId="0" xfId="0" applyFont="1" applyFill="1" applyBorder="1" applyAlignment="1" applyProtection="1">
      <alignment vertical="center" shrinkToFit="1"/>
    </xf>
    <xf numFmtId="0" fontId="41" fillId="2" borderId="45" xfId="0" applyFont="1" applyFill="1" applyBorder="1" applyAlignment="1" applyProtection="1">
      <alignment vertical="center"/>
    </xf>
    <xf numFmtId="0" fontId="41" fillId="0" borderId="0" xfId="0" applyFont="1" applyFill="1" applyBorder="1" applyAlignment="1" applyProtection="1">
      <alignment horizontal="center" vertical="center" shrinkToFit="1"/>
    </xf>
    <xf numFmtId="0" fontId="0" fillId="0" borderId="0" xfId="0" applyBorder="1" applyProtection="1">
      <alignment vertical="center"/>
    </xf>
    <xf numFmtId="0" fontId="63" fillId="7" borderId="0" xfId="0" applyFont="1" applyFill="1" applyBorder="1" applyAlignment="1">
      <alignment horizontal="left" vertical="center"/>
    </xf>
    <xf numFmtId="0" fontId="64" fillId="7" borderId="0" xfId="0" applyFont="1" applyFill="1" applyBorder="1" applyAlignment="1">
      <alignment horizontal="left" vertical="center"/>
    </xf>
    <xf numFmtId="49" fontId="41" fillId="2" borderId="5" xfId="0" applyNumberFormat="1" applyFont="1" applyFill="1" applyBorder="1" applyAlignment="1" applyProtection="1">
      <alignment horizontal="left" vertical="center" shrinkToFit="1"/>
      <protection locked="0"/>
    </xf>
    <xf numFmtId="49" fontId="41" fillId="2" borderId="6" xfId="0" applyNumberFormat="1" applyFont="1" applyFill="1" applyBorder="1" applyAlignment="1" applyProtection="1">
      <alignment horizontal="left" vertical="center" shrinkToFit="1"/>
      <protection locked="0"/>
    </xf>
    <xf numFmtId="49" fontId="41" fillId="2" borderId="7" xfId="0" applyNumberFormat="1" applyFont="1" applyFill="1" applyBorder="1" applyAlignment="1" applyProtection="1">
      <alignment horizontal="left" vertical="center" shrinkToFit="1"/>
      <protection locked="0"/>
    </xf>
    <xf numFmtId="0" fontId="29" fillId="18" borderId="72" xfId="0" applyFont="1" applyFill="1" applyBorder="1" applyAlignment="1" applyProtection="1">
      <alignment horizontal="left" vertical="center"/>
    </xf>
    <xf numFmtId="0" fontId="38" fillId="18" borderId="18" xfId="0" applyFont="1" applyFill="1" applyBorder="1" applyAlignment="1" applyProtection="1">
      <alignment horizontal="left" vertical="center"/>
    </xf>
    <xf numFmtId="0" fontId="38" fillId="18" borderId="74" xfId="0" applyFont="1" applyFill="1" applyBorder="1" applyAlignment="1" applyProtection="1">
      <alignment horizontal="left" vertical="center"/>
    </xf>
    <xf numFmtId="0" fontId="38" fillId="18" borderId="66" xfId="0" applyFont="1" applyFill="1" applyBorder="1" applyAlignment="1" applyProtection="1">
      <alignment horizontal="left" vertical="center"/>
    </xf>
    <xf numFmtId="0" fontId="38" fillId="18" borderId="38" xfId="0" applyFont="1" applyFill="1" applyBorder="1" applyAlignment="1" applyProtection="1">
      <alignment horizontal="left" vertical="center"/>
    </xf>
    <xf numFmtId="0" fontId="38" fillId="18" borderId="20" xfId="0" applyFont="1" applyFill="1" applyBorder="1" applyAlignment="1" applyProtection="1">
      <alignment horizontal="left" vertical="center"/>
    </xf>
    <xf numFmtId="0" fontId="0" fillId="7" borderId="9" xfId="0" applyFill="1" applyBorder="1" applyAlignment="1">
      <alignment horizontal="center" shrinkToFit="1"/>
    </xf>
    <xf numFmtId="0" fontId="41" fillId="14" borderId="2" xfId="0" applyFont="1" applyFill="1" applyBorder="1" applyAlignment="1" applyProtection="1">
      <alignment vertical="center" shrinkToFit="1"/>
    </xf>
    <xf numFmtId="0" fontId="41" fillId="14" borderId="67" xfId="0" applyFont="1" applyFill="1" applyBorder="1" applyAlignment="1" applyProtection="1">
      <alignment vertical="center" shrinkToFit="1"/>
    </xf>
    <xf numFmtId="0" fontId="41" fillId="2" borderId="5" xfId="0" applyFont="1" applyFill="1" applyBorder="1" applyAlignment="1" applyProtection="1">
      <alignment horizontal="center" vertical="center" shrinkToFit="1"/>
      <protection locked="0"/>
    </xf>
    <xf numFmtId="0" fontId="41" fillId="2" borderId="6" xfId="0" applyFont="1" applyFill="1" applyBorder="1" applyAlignment="1" applyProtection="1">
      <alignment horizontal="center" vertical="center" shrinkToFit="1"/>
      <protection locked="0"/>
    </xf>
    <xf numFmtId="0" fontId="41" fillId="2" borderId="7" xfId="0" applyFont="1" applyFill="1" applyBorder="1" applyAlignment="1" applyProtection="1">
      <alignment horizontal="center" vertical="center" shrinkToFit="1"/>
      <protection locked="0"/>
    </xf>
    <xf numFmtId="0" fontId="43" fillId="7" borderId="47" xfId="0" applyFont="1" applyFill="1" applyBorder="1" applyAlignment="1" applyProtection="1">
      <alignment vertical="center" shrinkToFit="1"/>
    </xf>
    <xf numFmtId="0" fontId="43" fillId="7" borderId="39" xfId="0" applyFont="1" applyFill="1" applyBorder="1" applyAlignment="1" applyProtection="1">
      <alignment vertical="center" shrinkToFit="1"/>
    </xf>
    <xf numFmtId="0" fontId="44" fillId="12" borderId="2" xfId="0" applyFont="1" applyFill="1" applyBorder="1" applyAlignment="1" applyProtection="1">
      <alignment vertical="center"/>
    </xf>
    <xf numFmtId="0" fontId="44" fillId="12" borderId="4" xfId="0" applyFont="1" applyFill="1" applyBorder="1" applyAlignment="1" applyProtection="1">
      <alignment vertical="center"/>
    </xf>
    <xf numFmtId="0" fontId="41" fillId="7" borderId="2" xfId="0" applyFont="1" applyFill="1" applyBorder="1" applyAlignment="1" applyProtection="1">
      <alignment horizontal="center" vertical="center" shrinkToFit="1"/>
    </xf>
    <xf numFmtId="0" fontId="41" fillId="7" borderId="3" xfId="0" applyFont="1" applyFill="1" applyBorder="1" applyAlignment="1" applyProtection="1">
      <alignment horizontal="center" vertical="center" shrinkToFit="1"/>
    </xf>
    <xf numFmtId="0" fontId="41" fillId="7" borderId="4" xfId="0" applyFont="1" applyFill="1" applyBorder="1" applyAlignment="1" applyProtection="1">
      <alignment horizontal="center" vertical="center" shrinkToFit="1"/>
    </xf>
    <xf numFmtId="0" fontId="38" fillId="7" borderId="65" xfId="0" applyFont="1" applyFill="1" applyBorder="1" applyAlignment="1" applyProtection="1">
      <alignment horizontal="right" vertical="center"/>
    </xf>
    <xf numFmtId="0" fontId="41" fillId="3" borderId="1" xfId="0" applyNumberFormat="1" applyFont="1" applyFill="1" applyBorder="1" applyAlignment="1" applyProtection="1">
      <alignment horizontal="left" vertical="center" shrinkToFit="1"/>
    </xf>
    <xf numFmtId="0" fontId="41" fillId="7" borderId="2" xfId="0" applyNumberFormat="1" applyFont="1" applyFill="1" applyBorder="1" applyAlignment="1" applyProtection="1">
      <alignment horizontal="center" vertical="center" shrinkToFit="1"/>
    </xf>
    <xf numFmtId="0" fontId="41" fillId="7" borderId="3" xfId="0" applyNumberFormat="1" applyFont="1" applyFill="1" applyBorder="1" applyAlignment="1" applyProtection="1">
      <alignment horizontal="center" vertical="center" shrinkToFit="1"/>
    </xf>
    <xf numFmtId="0" fontId="41" fillId="7" borderId="67" xfId="0" applyNumberFormat="1" applyFont="1" applyFill="1" applyBorder="1" applyAlignment="1" applyProtection="1">
      <alignment horizontal="center" vertical="center" shrinkToFit="1"/>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16" borderId="2" xfId="0" applyFont="1" applyFill="1" applyBorder="1" applyAlignment="1" applyProtection="1">
      <alignment horizontal="center" vertical="center"/>
    </xf>
    <xf numFmtId="0" fontId="41" fillId="16" borderId="3" xfId="0" applyFont="1" applyFill="1" applyBorder="1" applyAlignment="1" applyProtection="1">
      <alignment horizontal="center" vertical="center"/>
    </xf>
    <xf numFmtId="0" fontId="41" fillId="16" borderId="4" xfId="0" applyFont="1" applyFill="1" applyBorder="1" applyAlignment="1" applyProtection="1">
      <alignment horizontal="center" vertical="center"/>
    </xf>
    <xf numFmtId="0" fontId="41" fillId="4" borderId="72" xfId="0" applyFont="1" applyFill="1" applyBorder="1" applyAlignment="1" applyProtection="1">
      <alignment vertical="center"/>
    </xf>
    <xf numFmtId="0" fontId="41" fillId="4" borderId="73" xfId="0" applyFont="1" applyFill="1" applyBorder="1" applyAlignment="1" applyProtection="1">
      <alignment vertical="center"/>
    </xf>
    <xf numFmtId="0" fontId="41" fillId="4" borderId="38" xfId="0" applyFont="1" applyFill="1" applyBorder="1" applyAlignment="1" applyProtection="1">
      <alignment vertical="center"/>
    </xf>
    <xf numFmtId="0" fontId="41" fillId="4" borderId="19" xfId="0" applyFont="1" applyFill="1" applyBorder="1" applyAlignment="1" applyProtection="1">
      <alignment vertical="center"/>
    </xf>
    <xf numFmtId="0" fontId="41" fillId="7" borderId="28" xfId="0" applyFont="1" applyFill="1" applyBorder="1" applyAlignment="1" applyProtection="1">
      <alignment horizontal="center" vertical="center"/>
    </xf>
    <xf numFmtId="0" fontId="41" fillId="7" borderId="30" xfId="0" applyFont="1" applyFill="1" applyBorder="1" applyAlignment="1" applyProtection="1">
      <alignment horizontal="center" vertical="center"/>
    </xf>
    <xf numFmtId="0" fontId="41" fillId="2" borderId="5" xfId="0" applyFont="1" applyFill="1" applyBorder="1" applyAlignment="1" applyProtection="1">
      <alignment vertical="center"/>
      <protection locked="0"/>
    </xf>
    <xf numFmtId="0" fontId="41" fillId="2" borderId="7" xfId="0" applyFont="1" applyFill="1" applyBorder="1" applyAlignment="1" applyProtection="1">
      <alignment vertical="center"/>
      <protection locked="0"/>
    </xf>
    <xf numFmtId="0" fontId="41" fillId="15" borderId="5" xfId="0" applyFont="1" applyFill="1" applyBorder="1" applyAlignment="1" applyProtection="1">
      <alignment horizontal="center" vertical="center" shrinkToFit="1"/>
    </xf>
    <xf numFmtId="0" fontId="41" fillId="15" borderId="6" xfId="0" applyFont="1" applyFill="1" applyBorder="1" applyAlignment="1" applyProtection="1">
      <alignment horizontal="center" vertical="center" shrinkToFit="1"/>
    </xf>
    <xf numFmtId="0" fontId="50" fillId="15" borderId="6" xfId="0" applyNumberFormat="1" applyFont="1" applyFill="1" applyBorder="1" applyAlignment="1" applyProtection="1">
      <alignment horizontal="center" vertical="center"/>
    </xf>
    <xf numFmtId="0" fontId="50" fillId="7" borderId="5" xfId="0" applyNumberFormat="1" applyFont="1" applyFill="1" applyBorder="1" applyAlignment="1" applyProtection="1">
      <alignment horizontal="center" vertical="center"/>
    </xf>
    <xf numFmtId="0" fontId="50" fillId="7" borderId="6" xfId="0" applyNumberFormat="1" applyFont="1" applyFill="1" applyBorder="1" applyAlignment="1" applyProtection="1">
      <alignment horizontal="center" vertical="center"/>
    </xf>
    <xf numFmtId="0" fontId="41" fillId="7" borderId="6" xfId="0" applyFont="1" applyFill="1" applyBorder="1" applyAlignment="1" applyProtection="1">
      <alignment horizontal="center" vertical="center" shrinkToFit="1"/>
    </xf>
    <xf numFmtId="0" fontId="41" fillId="7" borderId="7" xfId="0" applyFont="1" applyFill="1" applyBorder="1" applyAlignment="1" applyProtection="1">
      <alignment horizontal="center" vertical="center" shrinkToFit="1"/>
    </xf>
    <xf numFmtId="0" fontId="41" fillId="13" borderId="1" xfId="0" applyFont="1" applyFill="1" applyBorder="1" applyAlignment="1" applyProtection="1">
      <alignment horizontal="center" vertical="center" shrinkToFit="1"/>
    </xf>
    <xf numFmtId="0" fontId="41" fillId="17" borderId="1" xfId="0" applyFont="1" applyFill="1" applyBorder="1" applyAlignment="1" applyProtection="1">
      <alignment vertical="center"/>
    </xf>
    <xf numFmtId="0" fontId="41" fillId="7" borderId="2" xfId="0" applyFont="1" applyFill="1" applyBorder="1" applyAlignment="1" applyProtection="1">
      <alignment horizontal="center" vertical="center"/>
    </xf>
    <xf numFmtId="0" fontId="41" fillId="7" borderId="3" xfId="0" applyFont="1" applyFill="1" applyBorder="1" applyAlignment="1" applyProtection="1">
      <alignment horizontal="center" vertical="center"/>
    </xf>
    <xf numFmtId="0" fontId="41" fillId="7" borderId="4" xfId="0" applyFont="1" applyFill="1" applyBorder="1" applyAlignment="1" applyProtection="1">
      <alignment horizontal="center" vertical="center"/>
    </xf>
    <xf numFmtId="0" fontId="38" fillId="7" borderId="0" xfId="0" applyFont="1" applyFill="1" applyBorder="1" applyAlignment="1">
      <alignment horizontal="center" vertical="center" shrinkToFit="1"/>
    </xf>
    <xf numFmtId="0" fontId="51" fillId="7" borderId="0" xfId="0" applyFont="1" applyFill="1" applyBorder="1" applyAlignment="1">
      <alignment horizontal="left" vertical="center"/>
    </xf>
    <xf numFmtId="49" fontId="29" fillId="7" borderId="0" xfId="0" applyNumberFormat="1" applyFont="1" applyFill="1" applyBorder="1" applyAlignment="1">
      <alignment horizontal="left" vertical="center" shrinkToFit="1"/>
    </xf>
    <xf numFmtId="40" fontId="29" fillId="7" borderId="0" xfId="0" applyNumberFormat="1" applyFont="1" applyFill="1" applyBorder="1" applyAlignment="1">
      <alignment horizontal="left" vertical="center" shrinkToFit="1"/>
    </xf>
    <xf numFmtId="0" fontId="55" fillId="7" borderId="0" xfId="0" applyFont="1" applyFill="1" applyBorder="1" applyAlignment="1">
      <alignment horizontal="center" vertical="center"/>
    </xf>
    <xf numFmtId="0" fontId="56" fillId="7" borderId="0" xfId="0" applyFont="1" applyFill="1" applyBorder="1" applyAlignment="1">
      <alignment horizontal="center" vertical="center"/>
    </xf>
    <xf numFmtId="182" fontId="29" fillId="7" borderId="0" xfId="0" applyNumberFormat="1" applyFont="1" applyFill="1" applyBorder="1" applyAlignment="1">
      <alignment horizontal="left" vertical="center"/>
    </xf>
    <xf numFmtId="0" fontId="41" fillId="7" borderId="0" xfId="0" applyFont="1" applyFill="1" applyBorder="1" applyAlignment="1" applyProtection="1">
      <alignment vertical="center" shrinkToFit="1"/>
    </xf>
    <xf numFmtId="0" fontId="0" fillId="7" borderId="15" xfId="0" applyFill="1" applyBorder="1" applyAlignment="1" applyProtection="1">
      <alignment horizontal="left" vertical="top" wrapText="1"/>
      <protection locked="0"/>
    </xf>
    <xf numFmtId="0" fontId="0" fillId="7" borderId="16" xfId="0" applyFill="1" applyBorder="1" applyAlignment="1" applyProtection="1">
      <alignment horizontal="left" vertical="top" wrapText="1"/>
      <protection locked="0"/>
    </xf>
    <xf numFmtId="0" fontId="0" fillId="7" borderId="17" xfId="0" applyFill="1" applyBorder="1" applyAlignment="1" applyProtection="1">
      <alignment horizontal="left" vertical="top" wrapText="1"/>
      <protection locked="0"/>
    </xf>
    <xf numFmtId="0" fontId="0" fillId="7" borderId="44" xfId="0" applyFill="1" applyBorder="1" applyAlignment="1" applyProtection="1">
      <alignment horizontal="left" vertical="top" wrapText="1"/>
      <protection locked="0"/>
    </xf>
    <xf numFmtId="0" fontId="0" fillId="7" borderId="0" xfId="0" applyFill="1" applyBorder="1" applyAlignment="1" applyProtection="1">
      <alignment horizontal="left" vertical="top" wrapText="1"/>
      <protection locked="0"/>
    </xf>
    <xf numFmtId="0" fontId="0" fillId="7" borderId="39" xfId="0" applyFill="1" applyBorder="1" applyAlignment="1" applyProtection="1">
      <alignment horizontal="left" vertical="top" wrapText="1"/>
      <protection locked="0"/>
    </xf>
    <xf numFmtId="0" fontId="0" fillId="7" borderId="8" xfId="0" applyFill="1" applyBorder="1" applyAlignment="1" applyProtection="1">
      <alignment horizontal="left" vertical="top" wrapText="1"/>
      <protection locked="0"/>
    </xf>
    <xf numFmtId="0" fontId="0" fillId="7" borderId="9" xfId="0" applyFill="1" applyBorder="1" applyAlignment="1" applyProtection="1">
      <alignment horizontal="left" vertical="top" wrapText="1"/>
      <protection locked="0"/>
    </xf>
    <xf numFmtId="0" fontId="0" fillId="7" borderId="10" xfId="0" applyFill="1" applyBorder="1" applyAlignment="1" applyProtection="1">
      <alignment horizontal="left" vertical="top" wrapText="1"/>
      <protection locked="0"/>
    </xf>
    <xf numFmtId="0" fontId="66" fillId="7" borderId="0" xfId="0" applyFont="1" applyFill="1" applyBorder="1" applyAlignment="1" applyProtection="1">
      <alignment horizontal="left" vertical="center"/>
    </xf>
    <xf numFmtId="0" fontId="52" fillId="7" borderId="15" xfId="0" applyFont="1" applyFill="1" applyBorder="1" applyAlignment="1">
      <alignment vertical="center" shrinkToFit="1"/>
    </xf>
    <xf numFmtId="0" fontId="52" fillId="7" borderId="16" xfId="0" applyFont="1" applyFill="1" applyBorder="1" applyAlignment="1">
      <alignment vertical="center" shrinkToFit="1"/>
    </xf>
    <xf numFmtId="0" fontId="52" fillId="7" borderId="8" xfId="0" applyFont="1" applyFill="1" applyBorder="1" applyAlignment="1">
      <alignment vertical="center" shrinkToFit="1"/>
    </xf>
    <xf numFmtId="0" fontId="52" fillId="7" borderId="9" xfId="0" applyFont="1" applyFill="1" applyBorder="1" applyAlignment="1">
      <alignment vertical="center" shrinkToFit="1"/>
    </xf>
    <xf numFmtId="0" fontId="52" fillId="7" borderId="16" xfId="0" applyFont="1" applyFill="1" applyBorder="1" applyAlignment="1">
      <alignment horizontal="center" vertical="center"/>
    </xf>
    <xf numFmtId="0" fontId="52" fillId="7" borderId="17" xfId="0" applyFont="1" applyFill="1" applyBorder="1" applyAlignment="1">
      <alignment horizontal="center" vertical="center"/>
    </xf>
    <xf numFmtId="0" fontId="52" fillId="7" borderId="9" xfId="0" applyFont="1" applyFill="1" applyBorder="1" applyAlignment="1">
      <alignment horizontal="center" vertical="center"/>
    </xf>
    <xf numFmtId="0" fontId="52" fillId="7" borderId="10" xfId="0" applyFont="1" applyFill="1" applyBorder="1" applyAlignment="1">
      <alignment horizontal="center" vertical="center"/>
    </xf>
    <xf numFmtId="0" fontId="52" fillId="7" borderId="48" xfId="0" applyFont="1" applyFill="1" applyBorder="1" applyAlignment="1">
      <alignment horizontal="center" vertical="center"/>
    </xf>
    <xf numFmtId="0" fontId="52" fillId="7" borderId="88" xfId="0" applyFont="1" applyFill="1" applyBorder="1" applyAlignment="1">
      <alignment horizontal="center" vertical="center"/>
    </xf>
    <xf numFmtId="0" fontId="16" fillId="7" borderId="19" xfId="0" applyFont="1" applyFill="1" applyBorder="1" applyAlignment="1">
      <alignment horizontal="center" vertical="center"/>
    </xf>
    <xf numFmtId="0" fontId="70" fillId="7" borderId="0" xfId="0" applyFont="1" applyFill="1" applyBorder="1" applyAlignment="1" applyProtection="1">
      <alignment horizontal="center" vertical="center" shrinkToFit="1"/>
    </xf>
    <xf numFmtId="0" fontId="41" fillId="2" borderId="5" xfId="0" applyFont="1" applyFill="1" applyBorder="1" applyAlignment="1" applyProtection="1">
      <alignment horizontal="center" vertical="center" shrinkToFit="1"/>
    </xf>
    <xf numFmtId="0" fontId="41" fillId="2" borderId="6" xfId="0" applyFont="1" applyFill="1" applyBorder="1" applyAlignment="1" applyProtection="1">
      <alignment horizontal="center" vertical="center" shrinkToFit="1"/>
    </xf>
    <xf numFmtId="0" fontId="41" fillId="2" borderId="7" xfId="0" applyFont="1" applyFill="1" applyBorder="1" applyAlignment="1" applyProtection="1">
      <alignment horizontal="center" vertical="center" shrinkToFit="1"/>
    </xf>
    <xf numFmtId="0" fontId="40" fillId="7" borderId="2" xfId="0" applyFont="1" applyFill="1" applyBorder="1" applyAlignment="1">
      <alignment vertical="center"/>
    </xf>
    <xf numFmtId="0" fontId="40" fillId="7" borderId="4" xfId="0" applyFont="1" applyFill="1" applyBorder="1" applyAlignment="1">
      <alignment vertical="center"/>
    </xf>
    <xf numFmtId="0" fontId="45" fillId="7" borderId="2" xfId="0" applyFont="1" applyFill="1" applyBorder="1" applyAlignment="1" applyProtection="1">
      <alignment horizontal="center" vertical="center" shrinkToFit="1"/>
    </xf>
    <xf numFmtId="0" fontId="45" fillId="7" borderId="3" xfId="0" applyFont="1" applyFill="1" applyBorder="1" applyAlignment="1" applyProtection="1">
      <alignment horizontal="center" vertical="center" shrinkToFit="1"/>
    </xf>
    <xf numFmtId="0" fontId="45" fillId="7" borderId="4" xfId="0" applyFont="1" applyFill="1" applyBorder="1" applyAlignment="1" applyProtection="1">
      <alignment horizontal="center" vertical="center" shrinkToFit="1"/>
    </xf>
    <xf numFmtId="0" fontId="36" fillId="5" borderId="2" xfId="0" applyFont="1" applyFill="1" applyBorder="1" applyAlignment="1">
      <alignment horizontal="center" vertical="center" shrinkToFit="1"/>
    </xf>
    <xf numFmtId="0" fontId="36" fillId="5" borderId="3" xfId="0" applyFont="1" applyFill="1" applyBorder="1" applyAlignment="1">
      <alignment horizontal="center" vertical="center" shrinkToFit="1"/>
    </xf>
    <xf numFmtId="0" fontId="36" fillId="5" borderId="4" xfId="0" applyFont="1" applyFill="1" applyBorder="1" applyAlignment="1">
      <alignment horizontal="center" vertical="center" shrinkToFit="1"/>
    </xf>
    <xf numFmtId="0" fontId="36" fillId="5" borderId="2" xfId="0" applyFont="1" applyFill="1" applyBorder="1" applyAlignment="1">
      <alignment horizontal="center" vertical="center"/>
    </xf>
    <xf numFmtId="0" fontId="36" fillId="5" borderId="3" xfId="0" applyFont="1" applyFill="1" applyBorder="1" applyAlignment="1">
      <alignment horizontal="center" vertical="center"/>
    </xf>
    <xf numFmtId="0" fontId="36" fillId="5" borderId="4" xfId="0" applyFont="1" applyFill="1" applyBorder="1" applyAlignment="1">
      <alignment horizontal="center" vertical="center"/>
    </xf>
    <xf numFmtId="2" fontId="5" fillId="7" borderId="1" xfId="0" applyNumberFormat="1" applyFont="1" applyFill="1" applyBorder="1" applyAlignment="1">
      <alignment vertical="center"/>
    </xf>
    <xf numFmtId="0" fontId="0" fillId="7" borderId="0" xfId="0" applyFill="1" applyBorder="1" applyAlignment="1">
      <alignment horizontal="center" shrinkToFit="1"/>
    </xf>
    <xf numFmtId="2" fontId="0" fillId="7" borderId="1" xfId="0" applyNumberFormat="1" applyFont="1" applyFill="1" applyBorder="1" applyAlignment="1">
      <alignment vertical="center"/>
    </xf>
    <xf numFmtId="0" fontId="81" fillId="7" borderId="1" xfId="0" applyFont="1" applyFill="1" applyBorder="1" applyAlignment="1">
      <alignment vertical="center"/>
    </xf>
    <xf numFmtId="0" fontId="82" fillId="5" borderId="2" xfId="0" applyFont="1" applyFill="1" applyBorder="1" applyAlignment="1">
      <alignment horizontal="left" vertical="center" wrapText="1" shrinkToFit="1"/>
    </xf>
    <xf numFmtId="0" fontId="82" fillId="5" borderId="3" xfId="0" applyFont="1" applyFill="1" applyBorder="1" applyAlignment="1">
      <alignment horizontal="left" vertical="center" shrinkToFit="1"/>
    </xf>
    <xf numFmtId="0" fontId="82" fillId="5" borderId="4" xfId="0" applyFont="1" applyFill="1" applyBorder="1" applyAlignment="1">
      <alignment horizontal="left" vertical="center" shrinkToFit="1"/>
    </xf>
    <xf numFmtId="0" fontId="36" fillId="7" borderId="2" xfId="0" applyFont="1" applyFill="1" applyBorder="1" applyAlignment="1">
      <alignment horizontal="right" vertical="center"/>
    </xf>
    <xf numFmtId="0" fontId="36" fillId="7" borderId="3" xfId="0" applyFont="1" applyFill="1" applyBorder="1" applyAlignment="1">
      <alignment horizontal="right"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182" fontId="41" fillId="2" borderId="5" xfId="0" applyNumberFormat="1" applyFont="1" applyFill="1" applyBorder="1" applyAlignment="1" applyProtection="1">
      <alignment horizontal="center" vertical="center" shrinkToFit="1"/>
      <protection locked="0"/>
    </xf>
    <xf numFmtId="182" fontId="41" fillId="2" borderId="6" xfId="0" applyNumberFormat="1" applyFont="1" applyFill="1" applyBorder="1" applyAlignment="1" applyProtection="1">
      <alignment horizontal="center" vertical="center" shrinkToFit="1"/>
      <protection locked="0"/>
    </xf>
    <xf numFmtId="182" fontId="41" fillId="2" borderId="7" xfId="0" applyNumberFormat="1" applyFont="1" applyFill="1" applyBorder="1" applyAlignment="1" applyProtection="1">
      <alignment horizontal="center" vertical="center" shrinkToFit="1"/>
      <protection locked="0"/>
    </xf>
    <xf numFmtId="0" fontId="41" fillId="2" borderId="33" xfId="0" applyFont="1" applyFill="1" applyBorder="1" applyAlignment="1" applyProtection="1">
      <alignment vertical="center"/>
    </xf>
    <xf numFmtId="0" fontId="41" fillId="2" borderId="36" xfId="0" applyFont="1" applyFill="1" applyBorder="1" applyAlignment="1" applyProtection="1">
      <alignment vertical="center"/>
    </xf>
    <xf numFmtId="0" fontId="41" fillId="2" borderId="37" xfId="0" applyFont="1" applyFill="1" applyBorder="1" applyAlignment="1" applyProtection="1">
      <alignment vertical="center"/>
    </xf>
    <xf numFmtId="0" fontId="41" fillId="2" borderId="27" xfId="0" applyFont="1" applyFill="1" applyBorder="1" applyAlignment="1" applyProtection="1">
      <alignment vertical="center"/>
      <protection locked="0"/>
    </xf>
    <xf numFmtId="0" fontId="41" fillId="2" borderId="31" xfId="0" applyFont="1" applyFill="1" applyBorder="1" applyAlignment="1" applyProtection="1">
      <alignment vertical="center"/>
      <protection locked="0"/>
    </xf>
    <xf numFmtId="0" fontId="41" fillId="2" borderId="32"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1" fillId="2" borderId="13" xfId="0" applyFont="1" applyFill="1" applyBorder="1" applyAlignment="1" applyProtection="1">
      <alignment vertical="center"/>
      <protection locked="0"/>
    </xf>
    <xf numFmtId="0" fontId="41" fillId="2" borderId="25" xfId="0" applyFont="1" applyFill="1" applyBorder="1" applyAlignment="1" applyProtection="1">
      <alignment vertical="center"/>
      <protection locked="0"/>
    </xf>
    <xf numFmtId="0" fontId="41" fillId="2" borderId="33" xfId="0" applyFont="1" applyFill="1" applyBorder="1" applyAlignment="1" applyProtection="1">
      <alignment vertical="center"/>
      <protection locked="0"/>
    </xf>
    <xf numFmtId="0" fontId="41" fillId="2" borderId="36" xfId="0" applyFont="1" applyFill="1" applyBorder="1" applyAlignment="1" applyProtection="1">
      <alignment vertical="center"/>
      <protection locked="0"/>
    </xf>
    <xf numFmtId="0" fontId="41" fillId="2" borderId="37" xfId="0" applyFont="1" applyFill="1" applyBorder="1" applyAlignment="1" applyProtection="1">
      <alignment vertical="center"/>
      <protection locked="0"/>
    </xf>
    <xf numFmtId="0" fontId="41" fillId="16" borderId="21" xfId="0" applyFont="1" applyFill="1" applyBorder="1" applyAlignment="1" applyProtection="1">
      <alignment horizontal="center" vertical="center"/>
    </xf>
    <xf numFmtId="0" fontId="44" fillId="7" borderId="1" xfId="0" applyFont="1" applyFill="1" applyBorder="1" applyAlignment="1" applyProtection="1">
      <alignment vertical="center" shrinkToFit="1"/>
    </xf>
    <xf numFmtId="0" fontId="41" fillId="0" borderId="1" xfId="0" applyFont="1" applyBorder="1">
      <alignment vertical="center"/>
    </xf>
    <xf numFmtId="0" fontId="41" fillId="16" borderId="1" xfId="0" applyFont="1" applyFill="1" applyBorder="1" applyAlignment="1" applyProtection="1">
      <alignment horizontal="center" vertical="center"/>
    </xf>
    <xf numFmtId="0" fontId="41" fillId="7" borderId="72" xfId="0" applyFont="1" applyFill="1" applyBorder="1" applyAlignment="1" applyProtection="1">
      <alignment horizontal="center" vertical="center"/>
    </xf>
    <xf numFmtId="0" fontId="41" fillId="7" borderId="73" xfId="0" applyFont="1" applyFill="1" applyBorder="1" applyAlignment="1" applyProtection="1">
      <alignment horizontal="center" vertical="center"/>
    </xf>
    <xf numFmtId="0" fontId="41" fillId="7" borderId="18" xfId="0" applyFont="1" applyFill="1" applyBorder="1" applyAlignment="1" applyProtection="1">
      <alignment horizontal="center" vertical="center"/>
    </xf>
    <xf numFmtId="0" fontId="47" fillId="5" borderId="1" xfId="0" applyFont="1" applyFill="1" applyBorder="1" applyAlignment="1">
      <alignment horizontal="center" vertical="center"/>
    </xf>
    <xf numFmtId="0" fontId="49" fillId="3" borderId="0" xfId="0" applyFont="1" applyFill="1" applyBorder="1" applyProtection="1">
      <alignment vertical="center"/>
    </xf>
    <xf numFmtId="0" fontId="41" fillId="7" borderId="2" xfId="0" applyNumberFormat="1" applyFont="1" applyFill="1" applyBorder="1" applyAlignment="1" applyProtection="1">
      <alignment vertical="center" shrinkToFit="1"/>
    </xf>
    <xf numFmtId="0" fontId="41" fillId="7" borderId="3" xfId="0" applyNumberFormat="1" applyFont="1" applyFill="1" applyBorder="1" applyAlignment="1" applyProtection="1">
      <alignment vertical="center" shrinkToFit="1"/>
    </xf>
    <xf numFmtId="0" fontId="41" fillId="7" borderId="67" xfId="0" applyNumberFormat="1" applyFont="1" applyFill="1" applyBorder="1" applyAlignment="1" applyProtection="1">
      <alignment vertical="center" shrinkToFit="1"/>
    </xf>
    <xf numFmtId="0" fontId="47" fillId="3" borderId="2" xfId="0" applyFont="1" applyFill="1" applyBorder="1" applyAlignment="1" applyProtection="1">
      <alignment vertical="center" shrinkToFit="1"/>
    </xf>
    <xf numFmtId="0" fontId="47" fillId="3" borderId="4" xfId="0" applyFont="1" applyFill="1" applyBorder="1" applyAlignment="1" applyProtection="1">
      <alignment vertical="center" shrinkToFit="1"/>
    </xf>
    <xf numFmtId="0" fontId="46" fillId="11" borderId="2" xfId="0" applyFont="1" applyFill="1" applyBorder="1" applyAlignment="1" applyProtection="1">
      <alignment vertical="center" shrinkToFit="1"/>
    </xf>
    <xf numFmtId="0" fontId="46" fillId="11" borderId="4" xfId="0" applyFont="1" applyFill="1" applyBorder="1" applyAlignment="1" applyProtection="1">
      <alignment vertical="center" shrinkToFit="1"/>
    </xf>
    <xf numFmtId="0" fontId="36" fillId="11" borderId="2" xfId="0" applyFont="1" applyFill="1" applyBorder="1" applyAlignment="1" applyProtection="1">
      <alignment horizontal="center" vertical="center"/>
    </xf>
    <xf numFmtId="0" fontId="36" fillId="11" borderId="4" xfId="0" applyFont="1" applyFill="1" applyBorder="1" applyAlignment="1" applyProtection="1">
      <alignment horizontal="center" vertical="center"/>
    </xf>
    <xf numFmtId="0" fontId="37" fillId="11" borderId="0" xfId="0" applyFont="1" applyFill="1" applyBorder="1" applyProtection="1">
      <alignment vertical="center"/>
    </xf>
    <xf numFmtId="0" fontId="75" fillId="7" borderId="2" xfId="0" applyFont="1" applyFill="1" applyBorder="1" applyAlignment="1">
      <alignment vertical="center"/>
    </xf>
    <xf numFmtId="0" fontId="75" fillId="7" borderId="3" xfId="0" applyFont="1" applyFill="1" applyBorder="1" applyAlignment="1">
      <alignment vertical="center"/>
    </xf>
    <xf numFmtId="0" fontId="75" fillId="7" borderId="4" xfId="0" applyFont="1" applyFill="1" applyBorder="1" applyAlignment="1">
      <alignment vertical="center"/>
    </xf>
    <xf numFmtId="176" fontId="36" fillId="3" borderId="2" xfId="0" applyNumberFormat="1" applyFont="1" applyFill="1" applyBorder="1" applyAlignment="1" applyProtection="1">
      <alignment vertical="center"/>
    </xf>
    <xf numFmtId="176" fontId="36" fillId="3" borderId="4" xfId="0" applyNumberFormat="1" applyFont="1" applyFill="1" applyBorder="1" applyAlignment="1" applyProtection="1">
      <alignment vertical="center"/>
    </xf>
    <xf numFmtId="0" fontId="47" fillId="3" borderId="2" xfId="0" applyFont="1" applyFill="1" applyBorder="1" applyAlignment="1" applyProtection="1">
      <alignment horizontal="center" vertical="center"/>
    </xf>
    <xf numFmtId="0" fontId="47" fillId="3" borderId="4" xfId="0" applyFont="1" applyFill="1" applyBorder="1" applyAlignment="1" applyProtection="1">
      <alignment horizontal="center" vertical="center"/>
    </xf>
    <xf numFmtId="2" fontId="36" fillId="11" borderId="2" xfId="0" applyNumberFormat="1" applyFont="1" applyFill="1" applyBorder="1" applyAlignment="1" applyProtection="1">
      <alignment vertical="center"/>
    </xf>
    <xf numFmtId="2" fontId="36" fillId="11" borderId="4" xfId="0" applyNumberFormat="1" applyFont="1" applyFill="1" applyBorder="1" applyAlignment="1" applyProtection="1">
      <alignment vertical="center"/>
    </xf>
    <xf numFmtId="0" fontId="47" fillId="3" borderId="2" xfId="0" applyFont="1" applyFill="1" applyBorder="1" applyAlignment="1" applyProtection="1">
      <alignment vertical="center"/>
    </xf>
    <xf numFmtId="0" fontId="47" fillId="3" borderId="4" xfId="0" applyFont="1" applyFill="1" applyBorder="1" applyAlignment="1" applyProtection="1">
      <alignment vertical="center"/>
    </xf>
    <xf numFmtId="2" fontId="47" fillId="3" borderId="2" xfId="0" applyNumberFormat="1" applyFont="1" applyFill="1" applyBorder="1" applyAlignment="1" applyProtection="1">
      <alignment vertical="center"/>
    </xf>
    <xf numFmtId="2" fontId="47" fillId="3" borderId="4" xfId="0" applyNumberFormat="1" applyFont="1" applyFill="1" applyBorder="1" applyAlignment="1" applyProtection="1">
      <alignment vertical="center"/>
    </xf>
    <xf numFmtId="0" fontId="41" fillId="16" borderId="74" xfId="0" applyFont="1" applyFill="1" applyBorder="1" applyAlignment="1" applyProtection="1">
      <alignment horizontal="center" vertical="center"/>
    </xf>
    <xf numFmtId="0" fontId="41" fillId="16" borderId="0" xfId="0" applyFont="1" applyFill="1" applyBorder="1" applyAlignment="1" applyProtection="1">
      <alignment horizontal="center" vertical="center"/>
    </xf>
    <xf numFmtId="0" fontId="41" fillId="16" borderId="66" xfId="0" applyFont="1" applyFill="1" applyBorder="1" applyAlignment="1" applyProtection="1">
      <alignment horizontal="center" vertical="center"/>
    </xf>
    <xf numFmtId="0" fontId="41" fillId="2" borderId="6" xfId="0" applyFont="1" applyFill="1" applyBorder="1" applyAlignment="1" applyProtection="1">
      <alignment vertical="center"/>
      <protection locked="0"/>
    </xf>
    <xf numFmtId="0" fontId="41" fillId="7" borderId="2" xfId="0" applyFont="1" applyFill="1" applyBorder="1" applyAlignment="1" applyProtection="1">
      <alignment vertical="center" shrinkToFit="1"/>
    </xf>
    <xf numFmtId="0" fontId="41" fillId="7" borderId="3" xfId="0" applyFont="1" applyFill="1" applyBorder="1" applyAlignment="1" applyProtection="1">
      <alignment vertical="center" shrinkToFit="1"/>
    </xf>
    <xf numFmtId="0" fontId="41" fillId="7" borderId="4" xfId="0" applyFont="1" applyFill="1" applyBorder="1" applyAlignment="1" applyProtection="1">
      <alignment vertical="center" shrinkToFit="1"/>
    </xf>
    <xf numFmtId="0" fontId="41" fillId="16" borderId="2" xfId="0" applyFont="1" applyFill="1" applyBorder="1" applyAlignment="1" applyProtection="1">
      <alignment vertical="center"/>
    </xf>
    <xf numFmtId="0" fontId="41" fillId="16" borderId="3" xfId="0" applyFont="1" applyFill="1" applyBorder="1" applyAlignment="1" applyProtection="1">
      <alignment vertical="center"/>
    </xf>
    <xf numFmtId="0" fontId="41" fillId="16" borderId="4" xfId="0" applyFont="1" applyFill="1" applyBorder="1" applyAlignment="1" applyProtection="1">
      <alignment vertical="center"/>
    </xf>
    <xf numFmtId="0" fontId="47" fillId="0" borderId="2" xfId="0" applyFont="1" applyBorder="1" applyAlignment="1">
      <alignment horizontal="right" vertical="center"/>
    </xf>
    <xf numFmtId="0" fontId="47" fillId="0" borderId="3" xfId="0" applyFont="1" applyBorder="1" applyAlignment="1">
      <alignment horizontal="right" vertical="center"/>
    </xf>
    <xf numFmtId="0" fontId="0" fillId="7" borderId="15" xfId="0" applyFill="1" applyBorder="1" applyAlignment="1" applyProtection="1">
      <alignment vertical="top" wrapText="1"/>
      <protection locked="0"/>
    </xf>
    <xf numFmtId="0" fontId="0" fillId="7" borderId="16" xfId="0" applyFill="1" applyBorder="1" applyAlignment="1" applyProtection="1">
      <alignment vertical="top"/>
      <protection locked="0"/>
    </xf>
    <xf numFmtId="0" fontId="0" fillId="7" borderId="17" xfId="0" applyFill="1" applyBorder="1" applyAlignment="1" applyProtection="1">
      <alignment vertical="top"/>
      <protection locked="0"/>
    </xf>
    <xf numFmtId="0" fontId="0" fillId="7" borderId="44" xfId="0" applyFill="1" applyBorder="1" applyAlignment="1" applyProtection="1">
      <alignment vertical="top"/>
      <protection locked="0"/>
    </xf>
    <xf numFmtId="0" fontId="0" fillId="7" borderId="0" xfId="0" applyFill="1" applyBorder="1" applyAlignment="1" applyProtection="1">
      <alignment vertical="top"/>
      <protection locked="0"/>
    </xf>
    <xf numFmtId="0" fontId="0" fillId="7" borderId="39" xfId="0" applyFill="1" applyBorder="1" applyAlignment="1" applyProtection="1">
      <alignment vertical="top"/>
      <protection locked="0"/>
    </xf>
    <xf numFmtId="0" fontId="0" fillId="7" borderId="8" xfId="0" applyFill="1" applyBorder="1" applyAlignment="1" applyProtection="1">
      <alignment vertical="top"/>
      <protection locked="0"/>
    </xf>
    <xf numFmtId="0" fontId="0" fillId="7" borderId="9" xfId="0" applyFill="1" applyBorder="1" applyAlignment="1" applyProtection="1">
      <alignment vertical="top"/>
      <protection locked="0"/>
    </xf>
    <xf numFmtId="0" fontId="0" fillId="7" borderId="10" xfId="0" applyFill="1" applyBorder="1" applyAlignment="1" applyProtection="1">
      <alignment vertical="top"/>
      <protection locked="0"/>
    </xf>
    <xf numFmtId="0" fontId="79" fillId="9" borderId="11" xfId="2" applyFont="1" applyFill="1" applyBorder="1" applyAlignment="1">
      <alignment horizontal="center" vertical="center" textRotation="255"/>
    </xf>
    <xf numFmtId="0" fontId="69" fillId="9" borderId="14" xfId="2" applyFont="1" applyFill="1" applyBorder="1" applyAlignment="1">
      <alignment horizontal="center" vertical="center" textRotation="255"/>
    </xf>
    <xf numFmtId="0" fontId="69" fillId="9" borderId="27" xfId="2" applyFont="1" applyFill="1" applyBorder="1" applyAlignment="1">
      <alignment horizontal="center" vertical="center" textRotation="255"/>
    </xf>
    <xf numFmtId="0" fontId="69" fillId="9" borderId="79" xfId="2" applyFont="1" applyFill="1" applyBorder="1" applyAlignment="1">
      <alignment horizontal="center" vertical="center" textRotation="255" shrinkToFit="1"/>
    </xf>
    <xf numFmtId="0" fontId="69" fillId="9" borderId="80" xfId="2" applyFont="1" applyFill="1" applyBorder="1" applyAlignment="1">
      <alignment horizontal="center" vertical="center" textRotation="255" shrinkToFit="1"/>
    </xf>
    <xf numFmtId="0" fontId="69" fillId="9" borderId="41" xfId="2" applyFont="1" applyFill="1" applyBorder="1" applyAlignment="1">
      <alignment horizontal="center" vertical="center" textRotation="255" shrinkToFit="1"/>
    </xf>
    <xf numFmtId="0" fontId="29" fillId="9" borderId="5"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7" xfId="0" applyFont="1" applyFill="1" applyBorder="1" applyAlignment="1">
      <alignment horizontal="center" vertical="center"/>
    </xf>
    <xf numFmtId="0" fontId="38" fillId="9" borderId="5" xfId="2" applyFont="1" applyFill="1" applyBorder="1" applyAlignment="1">
      <alignment horizontal="center" vertical="center"/>
    </xf>
    <xf numFmtId="0" fontId="38" fillId="9" borderId="7" xfId="2" applyFont="1" applyFill="1" applyBorder="1" applyAlignment="1">
      <alignment horizontal="center" vertical="center"/>
    </xf>
    <xf numFmtId="0" fontId="29" fillId="9" borderId="5" xfId="0" applyFont="1" applyFill="1" applyBorder="1" applyAlignment="1">
      <alignment horizontal="center" vertical="center" shrinkToFit="1"/>
    </xf>
    <xf numFmtId="0" fontId="38" fillId="9" borderId="7" xfId="0" applyFont="1" applyFill="1" applyBorder="1" applyAlignment="1">
      <alignment horizontal="center" vertical="center" shrinkToFit="1"/>
    </xf>
    <xf numFmtId="0" fontId="78" fillId="7" borderId="0" xfId="0" applyFont="1" applyFill="1" applyBorder="1" applyAlignment="1">
      <alignment horizontal="left" vertical="center"/>
    </xf>
    <xf numFmtId="49" fontId="79" fillId="7" borderId="0" xfId="0" applyNumberFormat="1" applyFont="1" applyFill="1" applyBorder="1" applyAlignment="1">
      <alignment horizontal="left" vertical="center" shrinkToFit="1"/>
    </xf>
    <xf numFmtId="182" fontId="79" fillId="7" borderId="0" xfId="0" applyNumberFormat="1" applyFont="1" applyFill="1" applyBorder="1" applyAlignment="1">
      <alignment horizontal="left" vertical="center"/>
    </xf>
    <xf numFmtId="49" fontId="79" fillId="7" borderId="0" xfId="0" applyNumberFormat="1" applyFont="1" applyFill="1" applyBorder="1" applyAlignment="1">
      <alignment vertical="center" shrinkToFit="1"/>
    </xf>
    <xf numFmtId="0" fontId="70" fillId="7" borderId="0" xfId="0" applyFont="1" applyFill="1" applyBorder="1" applyAlignment="1" applyProtection="1">
      <alignment vertical="center"/>
    </xf>
    <xf numFmtId="0" fontId="38" fillId="7" borderId="0" xfId="0" applyFont="1" applyFill="1" applyBorder="1" applyAlignment="1">
      <alignment horizontal="center" vertical="center"/>
    </xf>
    <xf numFmtId="0" fontId="0" fillId="0" borderId="21" xfId="0" applyBorder="1" applyAlignment="1">
      <alignment horizontal="center" vertical="center"/>
    </xf>
    <xf numFmtId="0" fontId="0" fillId="0" borderId="68" xfId="0" applyBorder="1" applyAlignment="1">
      <alignment horizontal="center" vertical="center"/>
    </xf>
    <xf numFmtId="0" fontId="0" fillId="0" borderId="22" xfId="0" applyBorder="1" applyAlignment="1">
      <alignment horizontal="center" vertical="center"/>
    </xf>
    <xf numFmtId="0" fontId="3" fillId="0" borderId="1" xfId="2" applyBorder="1" applyAlignment="1">
      <alignment horizontal="center" vertical="center" shrinkToFit="1"/>
    </xf>
    <xf numFmtId="0" fontId="3" fillId="10" borderId="5" xfId="2" applyFill="1" applyBorder="1" applyAlignment="1">
      <alignment horizontal="center" vertical="center" shrinkToFit="1"/>
    </xf>
    <xf numFmtId="0" fontId="3" fillId="10" borderId="6" xfId="2" applyFill="1" applyBorder="1" applyAlignment="1">
      <alignment horizontal="center" vertical="center" shrinkToFit="1"/>
    </xf>
    <xf numFmtId="0" fontId="3" fillId="0" borderId="2" xfId="2" applyFill="1" applyBorder="1" applyAlignment="1">
      <alignment horizontal="center" shrinkToFit="1"/>
    </xf>
    <xf numFmtId="0" fontId="3" fillId="0" borderId="4" xfId="2" applyFill="1" applyBorder="1" applyAlignment="1">
      <alignment horizontal="center" shrinkToFit="1"/>
    </xf>
    <xf numFmtId="0" fontId="2" fillId="0" borderId="2" xfId="2" applyFont="1" applyFill="1" applyBorder="1" applyAlignment="1">
      <alignment horizontal="center" shrinkToFit="1"/>
    </xf>
    <xf numFmtId="0" fontId="3" fillId="0" borderId="3" xfId="2" applyFill="1" applyBorder="1" applyAlignment="1">
      <alignment horizontal="center" shrinkToFit="1"/>
    </xf>
    <xf numFmtId="0" fontId="3" fillId="0" borderId="1" xfId="2" applyBorder="1" applyAlignment="1">
      <alignment horizontal="center" vertical="center"/>
    </xf>
    <xf numFmtId="0" fontId="3" fillId="0" borderId="0" xfId="2" applyFill="1" applyBorder="1" applyAlignment="1">
      <alignment horizontal="center" shrinkToFit="1"/>
    </xf>
    <xf numFmtId="0" fontId="3" fillId="0" borderId="1" xfId="2" applyFill="1" applyBorder="1" applyAlignment="1">
      <alignment horizontal="center" shrinkToFit="1"/>
    </xf>
    <xf numFmtId="0" fontId="3" fillId="10" borderId="1" xfId="2" applyFill="1" applyBorder="1" applyAlignment="1">
      <alignment horizontal="center" shrinkToFit="1"/>
    </xf>
    <xf numFmtId="0" fontId="3" fillId="0" borderId="30" xfId="2" applyFill="1" applyBorder="1" applyAlignment="1">
      <alignment horizontal="center" shrinkToFit="1"/>
    </xf>
    <xf numFmtId="0" fontId="3" fillId="0" borderId="31" xfId="2" applyFill="1" applyBorder="1" applyAlignment="1">
      <alignment horizontal="center" shrinkToFit="1"/>
    </xf>
    <xf numFmtId="0" fontId="3" fillId="0" borderId="0" xfId="2" applyBorder="1" applyAlignment="1">
      <alignment horizontal="center"/>
    </xf>
    <xf numFmtId="0" fontId="3" fillId="0" borderId="12" xfId="2" applyFill="1" applyBorder="1" applyAlignment="1">
      <alignment horizontal="center" shrinkToFit="1"/>
    </xf>
    <xf numFmtId="0" fontId="3" fillId="0" borderId="13" xfId="2" applyFill="1" applyBorder="1" applyAlignment="1">
      <alignment horizontal="center" shrinkToFit="1"/>
    </xf>
    <xf numFmtId="0" fontId="3" fillId="0" borderId="23" xfId="2" applyFill="1" applyBorder="1" applyAlignment="1">
      <alignment horizontal="center" shrinkToFit="1"/>
    </xf>
    <xf numFmtId="0" fontId="3" fillId="0" borderId="24" xfId="2" applyFill="1" applyBorder="1" applyAlignment="1">
      <alignment horizontal="center" shrinkToFit="1"/>
    </xf>
    <xf numFmtId="0" fontId="3" fillId="0" borderId="28" xfId="2" applyFill="1" applyBorder="1" applyAlignment="1">
      <alignment horizontal="center" shrinkToFit="1"/>
    </xf>
    <xf numFmtId="0" fontId="3" fillId="0" borderId="29" xfId="2" applyFill="1" applyBorder="1" applyAlignment="1">
      <alignment horizontal="center" shrinkToFit="1"/>
    </xf>
    <xf numFmtId="0" fontId="3" fillId="9" borderId="28" xfId="2" applyFill="1" applyBorder="1" applyAlignment="1">
      <alignment horizontal="center" shrinkToFit="1"/>
    </xf>
    <xf numFmtId="0" fontId="3" fillId="9" borderId="29" xfId="2" applyFill="1" applyBorder="1" applyAlignment="1">
      <alignment horizontal="center" shrinkToFit="1"/>
    </xf>
    <xf numFmtId="0" fontId="3" fillId="9" borderId="30" xfId="2" applyFill="1" applyBorder="1" applyAlignment="1">
      <alignment horizontal="center" shrinkToFit="1"/>
    </xf>
    <xf numFmtId="0" fontId="2" fillId="0" borderId="34" xfId="2" applyFont="1" applyBorder="1" applyAlignment="1">
      <alignment horizontal="center" vertical="center"/>
    </xf>
    <xf numFmtId="0" fontId="3" fillId="0" borderId="6" xfId="2" applyBorder="1" applyAlignment="1">
      <alignment horizontal="center" vertical="center"/>
    </xf>
    <xf numFmtId="0" fontId="3" fillId="0" borderId="35" xfId="2" applyBorder="1" applyAlignment="1">
      <alignment horizontal="center" vertical="center"/>
    </xf>
    <xf numFmtId="0" fontId="3" fillId="0" borderId="38" xfId="2"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3" fillId="0" borderId="28" xfId="2" applyBorder="1" applyAlignment="1">
      <alignment horizontal="center" vertical="center"/>
    </xf>
    <xf numFmtId="0" fontId="3" fillId="0" borderId="29" xfId="2" applyBorder="1" applyAlignment="1">
      <alignment horizontal="center" vertical="center"/>
    </xf>
    <xf numFmtId="0" fontId="3" fillId="0" borderId="30" xfId="2" applyBorder="1" applyAlignment="1">
      <alignment horizontal="center" vertical="center"/>
    </xf>
    <xf numFmtId="0" fontId="3" fillId="0" borderId="34" xfId="2" applyFill="1" applyBorder="1" applyAlignment="1">
      <alignment horizontal="center" shrinkToFit="1"/>
    </xf>
    <xf numFmtId="0" fontId="3" fillId="0" borderId="6" xfId="2" applyFill="1" applyBorder="1" applyAlignment="1">
      <alignment horizontal="center" shrinkToFit="1"/>
    </xf>
    <xf numFmtId="0" fontId="3" fillId="0" borderId="35" xfId="2" applyFill="1" applyBorder="1" applyAlignment="1">
      <alignment horizontal="center" shrinkToFit="1"/>
    </xf>
    <xf numFmtId="0" fontId="3" fillId="0" borderId="12" xfId="2" applyBorder="1" applyAlignment="1">
      <alignment horizontal="center"/>
    </xf>
    <xf numFmtId="0" fontId="3" fillId="0" borderId="13" xfId="2" applyBorder="1" applyAlignment="1">
      <alignment horizontal="center"/>
    </xf>
    <xf numFmtId="0" fontId="3" fillId="2" borderId="2" xfId="2" applyFill="1" applyBorder="1" applyAlignment="1">
      <alignment horizontal="center"/>
    </xf>
    <xf numFmtId="0" fontId="3" fillId="2" borderId="3" xfId="2" applyFill="1" applyBorder="1" applyAlignment="1">
      <alignment horizontal="center"/>
    </xf>
    <xf numFmtId="0" fontId="3" fillId="2" borderId="4" xfId="2" applyFill="1" applyBorder="1" applyAlignment="1">
      <alignment horizontal="center"/>
    </xf>
    <xf numFmtId="0" fontId="3" fillId="0" borderId="28" xfId="2" applyBorder="1" applyAlignment="1">
      <alignment horizontal="center"/>
    </xf>
    <xf numFmtId="0" fontId="3" fillId="0" borderId="29" xfId="2" applyBorder="1" applyAlignment="1">
      <alignment horizontal="center"/>
    </xf>
    <xf numFmtId="0" fontId="3" fillId="0" borderId="30" xfId="2" applyBorder="1" applyAlignment="1">
      <alignment horizontal="center"/>
    </xf>
    <xf numFmtId="0" fontId="2" fillId="0" borderId="28" xfId="2" applyFont="1" applyBorder="1" applyAlignment="1">
      <alignment horizontal="center" vertical="center"/>
    </xf>
    <xf numFmtId="0" fontId="0" fillId="7" borderId="29" xfId="0" applyFill="1" applyBorder="1" applyAlignment="1">
      <alignment horizontal="center" shrinkToFit="1"/>
    </xf>
  </cellXfs>
  <cellStyles count="5">
    <cellStyle name="桁区切り" xfId="1" builtinId="6"/>
    <cellStyle name="桁区切り 2" xfId="3"/>
    <cellStyle name="標準" xfId="0" builtinId="0"/>
    <cellStyle name="標準 2" xfId="2"/>
    <cellStyle name="標準 3" xfId="4"/>
  </cellStyles>
  <dxfs count="421">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ont>
        <u val="none"/>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border>
        <left/>
        <right/>
        <top/>
        <bottom/>
        <vertical/>
        <horizontal/>
      </border>
    </dxf>
  </dxfs>
  <tableStyles count="0" defaultTableStyle="TableStyleMedium9" defaultPivotStyle="PivotStyleLight16"/>
  <colors>
    <mruColors>
      <color rgb="FFFFCCCC"/>
      <color rgb="FFFFFF99"/>
      <color rgb="FFFFFFCC"/>
      <color rgb="FFFF9900"/>
      <color rgb="FFFFCCFF"/>
      <color rgb="FF0000FF"/>
      <color rgb="FF00FFFF"/>
      <color rgb="FFEBF1DE"/>
      <color rgb="FFE4DFE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Radio" firstButton="1" fmlaLink="$Y$14" lockText="1"/>
</file>

<file path=xl/ctrlProps/ctrlProp10.xml><?xml version="1.0" encoding="utf-8"?>
<formControlPr xmlns="http://schemas.microsoft.com/office/spreadsheetml/2009/9/main" objectType="CheckBox" checked="Checked" fmlaLink="$AL$26" lockText="1" noThreeD="1"/>
</file>

<file path=xl/ctrlProps/ctrlProp100.xml><?xml version="1.0" encoding="utf-8"?>
<formControlPr xmlns="http://schemas.microsoft.com/office/spreadsheetml/2009/9/main" objectType="Radio" checked="Checked"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firstButton="1" fmlaLink="$Y$14" lockText="1"/>
</file>

<file path=xl/ctrlProps/ctrlProp103.xml><?xml version="1.0" encoding="utf-8"?>
<formControlPr xmlns="http://schemas.microsoft.com/office/spreadsheetml/2009/9/main" objectType="Radio" checked="Checked"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Radio" firstButton="1" fmlaLink="$Y$14" lockText="1"/>
</file>

<file path=xl/ctrlProps/ctrlProp106.xml><?xml version="1.0" encoding="utf-8"?>
<formControlPr xmlns="http://schemas.microsoft.com/office/spreadsheetml/2009/9/main" objectType="Radio" checked="Checked"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Radio" firstButton="1" fmlaLink="$Y$14" lockText="1"/>
</file>

<file path=xl/ctrlProps/ctrlProp109.xml><?xml version="1.0" encoding="utf-8"?>
<formControlPr xmlns="http://schemas.microsoft.com/office/spreadsheetml/2009/9/main" objectType="Radio" checked="Checked" lockText="1"/>
</file>

<file path=xl/ctrlProps/ctrlProp11.xml><?xml version="1.0" encoding="utf-8"?>
<formControlPr xmlns="http://schemas.microsoft.com/office/spreadsheetml/2009/9/main" objectType="CheckBox" checked="Checked" fmlaLink="$AL$27" lockText="1" noThreeD="1"/>
</file>

<file path=xl/ctrlProps/ctrlProp110.xml><?xml version="1.0" encoding="utf-8"?>
<formControlPr xmlns="http://schemas.microsoft.com/office/spreadsheetml/2009/9/main" objectType="Radio" lockText="1"/>
</file>

<file path=xl/ctrlProps/ctrlProp12.xml><?xml version="1.0" encoding="utf-8"?>
<formControlPr xmlns="http://schemas.microsoft.com/office/spreadsheetml/2009/9/main" objectType="CheckBox" checked="Checked" fmlaLink="$AL$28" lockText="1" noThreeD="1"/>
</file>

<file path=xl/ctrlProps/ctrlProp13.xml><?xml version="1.0" encoding="utf-8"?>
<formControlPr xmlns="http://schemas.microsoft.com/office/spreadsheetml/2009/9/main" objectType="CheckBox" checked="Checked" fmlaLink="$AL$29" lockText="1" noThreeD="1"/>
</file>

<file path=xl/ctrlProps/ctrlProp14.xml><?xml version="1.0" encoding="utf-8"?>
<formControlPr xmlns="http://schemas.microsoft.com/office/spreadsheetml/2009/9/main" objectType="CheckBox" checked="Checked" fmlaLink="$AL$30" lockText="1" noThreeD="1"/>
</file>

<file path=xl/ctrlProps/ctrlProp15.xml><?xml version="1.0" encoding="utf-8"?>
<formControlPr xmlns="http://schemas.microsoft.com/office/spreadsheetml/2009/9/main" objectType="CheckBox" checked="Checked" fmlaLink="$AL$31" lockText="1" noThreeD="1"/>
</file>

<file path=xl/ctrlProps/ctrlProp16.xml><?xml version="1.0" encoding="utf-8"?>
<formControlPr xmlns="http://schemas.microsoft.com/office/spreadsheetml/2009/9/main" objectType="CheckBox" checked="Checked" fmlaLink="$AL$32" lockText="1" noThreeD="1"/>
</file>

<file path=xl/ctrlProps/ctrlProp17.xml><?xml version="1.0" encoding="utf-8"?>
<formControlPr xmlns="http://schemas.microsoft.com/office/spreadsheetml/2009/9/main" objectType="CheckBox" checked="Checked" fmlaLink="$AL$33" lockText="1" noThreeD="1"/>
</file>

<file path=xl/ctrlProps/ctrlProp18.xml><?xml version="1.0" encoding="utf-8"?>
<formControlPr xmlns="http://schemas.microsoft.com/office/spreadsheetml/2009/9/main" objectType="CheckBox" checked="Checked" fmlaLink="$AL$34" lockText="1" noThreeD="1"/>
</file>

<file path=xl/ctrlProps/ctrlProp19.xml><?xml version="1.0" encoding="utf-8"?>
<formControlPr xmlns="http://schemas.microsoft.com/office/spreadsheetml/2009/9/main" objectType="CheckBox" checked="Checked" fmlaLink="$AL$35" lockText="1" noThreeD="1"/>
</file>

<file path=xl/ctrlProps/ctrlProp2.xml><?xml version="1.0" encoding="utf-8"?>
<formControlPr xmlns="http://schemas.microsoft.com/office/spreadsheetml/2009/9/main" objectType="Radio" checked="Checked" lockText="1"/>
</file>

<file path=xl/ctrlProps/ctrlProp20.xml><?xml version="1.0" encoding="utf-8"?>
<formControlPr xmlns="http://schemas.microsoft.com/office/spreadsheetml/2009/9/main" objectType="CheckBox" checked="Checked" fmlaLink="$AL$36" lockText="1" noThreeD="1"/>
</file>

<file path=xl/ctrlProps/ctrlProp21.xml><?xml version="1.0" encoding="utf-8"?>
<formControlPr xmlns="http://schemas.microsoft.com/office/spreadsheetml/2009/9/main" objectType="CheckBox" checked="Checked" fmlaLink="$AL$37" lockText="1" noThreeD="1"/>
</file>

<file path=xl/ctrlProps/ctrlProp22.xml><?xml version="1.0" encoding="utf-8"?>
<formControlPr xmlns="http://schemas.microsoft.com/office/spreadsheetml/2009/9/main" objectType="CheckBox" checked="Checked" fmlaLink="$AL$38" lockText="1" noThreeD="1"/>
</file>

<file path=xl/ctrlProps/ctrlProp23.xml><?xml version="1.0" encoding="utf-8"?>
<formControlPr xmlns="http://schemas.microsoft.com/office/spreadsheetml/2009/9/main" objectType="CheckBox" checked="Checked" fmlaLink="$AL$39" lockText="1" noThreeD="1"/>
</file>

<file path=xl/ctrlProps/ctrlProp24.xml><?xml version="1.0" encoding="utf-8"?>
<formControlPr xmlns="http://schemas.microsoft.com/office/spreadsheetml/2009/9/main" objectType="CheckBox" checked="Checked" fmlaLink="$AL$40" lockText="1" noThreeD="1"/>
</file>

<file path=xl/ctrlProps/ctrlProp25.xml><?xml version="1.0" encoding="utf-8"?>
<formControlPr xmlns="http://schemas.microsoft.com/office/spreadsheetml/2009/9/main" objectType="CheckBox" checked="Checked" fmlaLink="$AL$41" lockText="1" noThreeD="1"/>
</file>

<file path=xl/ctrlProps/ctrlProp26.xml><?xml version="1.0" encoding="utf-8"?>
<formControlPr xmlns="http://schemas.microsoft.com/office/spreadsheetml/2009/9/main" objectType="CheckBox" checked="Checked" fmlaLink="$AL$42" lockText="1" noThreeD="1"/>
</file>

<file path=xl/ctrlProps/ctrlProp27.xml><?xml version="1.0" encoding="utf-8"?>
<formControlPr xmlns="http://schemas.microsoft.com/office/spreadsheetml/2009/9/main" objectType="CheckBox" checked="Checked" fmlaLink="$AL$43" lockText="1" noThreeD="1"/>
</file>

<file path=xl/ctrlProps/ctrlProp28.xml><?xml version="1.0" encoding="utf-8"?>
<formControlPr xmlns="http://schemas.microsoft.com/office/spreadsheetml/2009/9/main" objectType="CheckBox" checked="Checked" fmlaLink="$AL$44" lockText="1" noThreeD="1"/>
</file>

<file path=xl/ctrlProps/ctrlProp29.xml><?xml version="1.0" encoding="utf-8"?>
<formControlPr xmlns="http://schemas.microsoft.com/office/spreadsheetml/2009/9/main" objectType="CheckBox" checked="Checked" fmlaLink="$AL$45" lockText="1" noThreeD="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CheckBox" checked="Checked" fmlaLink="$AL$46" lockText="1" noThreeD="1"/>
</file>

<file path=xl/ctrlProps/ctrlProp31.xml><?xml version="1.0" encoding="utf-8"?>
<formControlPr xmlns="http://schemas.microsoft.com/office/spreadsheetml/2009/9/main" objectType="CheckBox" checked="Checked" fmlaLink="$AL$47" lockText="1" noThreeD="1"/>
</file>

<file path=xl/ctrlProps/ctrlProp32.xml><?xml version="1.0" encoding="utf-8"?>
<formControlPr xmlns="http://schemas.microsoft.com/office/spreadsheetml/2009/9/main" objectType="CheckBox" checked="Checked" fmlaLink="$AL$48" lockText="1" noThreeD="1"/>
</file>

<file path=xl/ctrlProps/ctrlProp33.xml><?xml version="1.0" encoding="utf-8"?>
<formControlPr xmlns="http://schemas.microsoft.com/office/spreadsheetml/2009/9/main" objectType="Radio" firstButton="1" fmlaLink="$Y$14" lockText="1"/>
</file>

<file path=xl/ctrlProps/ctrlProp34.xml><?xml version="1.0" encoding="utf-8"?>
<formControlPr xmlns="http://schemas.microsoft.com/office/spreadsheetml/2009/9/main" objectType="Radio" checked="Checked"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firstButton="1" fmlaLink="$Y$14" lockText="1"/>
</file>

<file path=xl/ctrlProps/ctrlProp37.xml><?xml version="1.0" encoding="utf-8"?>
<formControlPr xmlns="http://schemas.microsoft.com/office/spreadsheetml/2009/9/main" objectType="Radio" checked="Checked"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firstButton="1" fmlaLink="$Y$14" lockText="1"/>
</file>

<file path=xl/ctrlProps/ctrlProp4.xml><?xml version="1.0" encoding="utf-8"?>
<formControlPr xmlns="http://schemas.microsoft.com/office/spreadsheetml/2009/9/main" objectType="Radio" firstButton="1" fmlaLink="$AJ$14" lockText="1"/>
</file>

<file path=xl/ctrlProps/ctrlProp40.xml><?xml version="1.0" encoding="utf-8"?>
<formControlPr xmlns="http://schemas.microsoft.com/office/spreadsheetml/2009/9/main" objectType="Radio" checked="Checked"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fmlaLink="$Y$14" lockText="1"/>
</file>

<file path=xl/ctrlProps/ctrlProp43.xml><?xml version="1.0" encoding="utf-8"?>
<formControlPr xmlns="http://schemas.microsoft.com/office/spreadsheetml/2009/9/main" objectType="Radio" checked="Checked"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firstButton="1" fmlaLink="$Y$14" lockText="1"/>
</file>

<file path=xl/ctrlProps/ctrlProp46.xml><?xml version="1.0" encoding="utf-8"?>
<formControlPr xmlns="http://schemas.microsoft.com/office/spreadsheetml/2009/9/main" objectType="Radio" checked="Checked"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firstButton="1" fmlaLink="$Y$14" lockText="1"/>
</file>

<file path=xl/ctrlProps/ctrlProp49.xml><?xml version="1.0" encoding="utf-8"?>
<formControlPr xmlns="http://schemas.microsoft.com/office/spreadsheetml/2009/9/main" objectType="Radio" checked="Checked" lockText="1"/>
</file>

<file path=xl/ctrlProps/ctrlProp5.xml><?xml version="1.0" encoding="utf-8"?>
<formControlPr xmlns="http://schemas.microsoft.com/office/spreadsheetml/2009/9/main" objectType="Radio" checked="Checked"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firstButton="1" fmlaLink="$Y$14" lockText="1"/>
</file>

<file path=xl/ctrlProps/ctrlProp52.xml><?xml version="1.0" encoding="utf-8"?>
<formControlPr xmlns="http://schemas.microsoft.com/office/spreadsheetml/2009/9/main" objectType="Radio" checked="Checked"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firstButton="1" fmlaLink="$Y$14" lockText="1"/>
</file>

<file path=xl/ctrlProps/ctrlProp55.xml><?xml version="1.0" encoding="utf-8"?>
<formControlPr xmlns="http://schemas.microsoft.com/office/spreadsheetml/2009/9/main" objectType="Radio" checked="Checked"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firstButton="1" fmlaLink="$Y$14" lockText="1"/>
</file>

<file path=xl/ctrlProps/ctrlProp58.xml><?xml version="1.0" encoding="utf-8"?>
<formControlPr xmlns="http://schemas.microsoft.com/office/spreadsheetml/2009/9/main" objectType="Radio" checked="Checked"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Radio" firstButton="1" fmlaLink="$Y$14" lockText="1"/>
</file>

<file path=xl/ctrlProps/ctrlProp61.xml><?xml version="1.0" encoding="utf-8"?>
<formControlPr xmlns="http://schemas.microsoft.com/office/spreadsheetml/2009/9/main" objectType="Radio" checked="Checked"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firstButton="1" fmlaLink="$Y$14" lockText="1"/>
</file>

<file path=xl/ctrlProps/ctrlProp64.xml><?xml version="1.0" encoding="utf-8"?>
<formControlPr xmlns="http://schemas.microsoft.com/office/spreadsheetml/2009/9/main" objectType="Radio" checked="Checked"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Radio" firstButton="1" fmlaLink="$Y$14" lockText="1"/>
</file>

<file path=xl/ctrlProps/ctrlProp67.xml><?xml version="1.0" encoding="utf-8"?>
<formControlPr xmlns="http://schemas.microsoft.com/office/spreadsheetml/2009/9/main" objectType="Radio" checked="Checked"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Radio" firstButton="1" fmlaLink="$Y$14" lockText="1"/>
</file>

<file path=xl/ctrlProps/ctrlProp7.xml><?xml version="1.0" encoding="utf-8"?>
<formControlPr xmlns="http://schemas.microsoft.com/office/spreadsheetml/2009/9/main" objectType="CheckBox" checked="Checked" fmlaLink="$AL$23" lockText="1" noThreeD="1"/>
</file>

<file path=xl/ctrlProps/ctrlProp70.xml><?xml version="1.0" encoding="utf-8"?>
<formControlPr xmlns="http://schemas.microsoft.com/office/spreadsheetml/2009/9/main" objectType="Radio" checked="Checked"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Radio" firstButton="1" fmlaLink="$Y$14" lockText="1"/>
</file>

<file path=xl/ctrlProps/ctrlProp73.xml><?xml version="1.0" encoding="utf-8"?>
<formControlPr xmlns="http://schemas.microsoft.com/office/spreadsheetml/2009/9/main" objectType="Radio" checked="Checked"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firstButton="1" fmlaLink="$Y$14" lockText="1"/>
</file>

<file path=xl/ctrlProps/ctrlProp76.xml><?xml version="1.0" encoding="utf-8"?>
<formControlPr xmlns="http://schemas.microsoft.com/office/spreadsheetml/2009/9/main" objectType="Radio" checked="Checked"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firstButton="1" fmlaLink="$Y$14" lockText="1"/>
</file>

<file path=xl/ctrlProps/ctrlProp79.xml><?xml version="1.0" encoding="utf-8"?>
<formControlPr xmlns="http://schemas.microsoft.com/office/spreadsheetml/2009/9/main" objectType="Radio" checked="Checked" lockText="1"/>
</file>

<file path=xl/ctrlProps/ctrlProp8.xml><?xml version="1.0" encoding="utf-8"?>
<formControlPr xmlns="http://schemas.microsoft.com/office/spreadsheetml/2009/9/main" objectType="CheckBox" checked="Checked" fmlaLink="$AL$24" lockText="1" noThreeD="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firstButton="1" fmlaLink="$Y$14" lockText="1"/>
</file>

<file path=xl/ctrlProps/ctrlProp82.xml><?xml version="1.0" encoding="utf-8"?>
<formControlPr xmlns="http://schemas.microsoft.com/office/spreadsheetml/2009/9/main" objectType="Radio" checked="Checked"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Radio" firstButton="1" fmlaLink="$Y$14" lockText="1"/>
</file>

<file path=xl/ctrlProps/ctrlProp85.xml><?xml version="1.0" encoding="utf-8"?>
<formControlPr xmlns="http://schemas.microsoft.com/office/spreadsheetml/2009/9/main" objectType="Radio" checked="Checked"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firstButton="1" fmlaLink="$Y$14" lockText="1"/>
</file>

<file path=xl/ctrlProps/ctrlProp88.xml><?xml version="1.0" encoding="utf-8"?>
<formControlPr xmlns="http://schemas.microsoft.com/office/spreadsheetml/2009/9/main" objectType="Radio" checked="Checked"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CheckBox" checked="Checked" fmlaLink="$AL$25" lockText="1" noThreeD="1"/>
</file>

<file path=xl/ctrlProps/ctrlProp90.xml><?xml version="1.0" encoding="utf-8"?>
<formControlPr xmlns="http://schemas.microsoft.com/office/spreadsheetml/2009/9/main" objectType="Radio" firstButton="1" fmlaLink="$Y$14" lockText="1"/>
</file>

<file path=xl/ctrlProps/ctrlProp91.xml><?xml version="1.0" encoding="utf-8"?>
<formControlPr xmlns="http://schemas.microsoft.com/office/spreadsheetml/2009/9/main" objectType="Radio" checked="Checked"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Radio" firstButton="1" fmlaLink="$Y$14" lockText="1"/>
</file>

<file path=xl/ctrlProps/ctrlProp94.xml><?xml version="1.0" encoding="utf-8"?>
<formControlPr xmlns="http://schemas.microsoft.com/office/spreadsheetml/2009/9/main" objectType="Radio" checked="Checked"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Radio" firstButton="1" fmlaLink="$Y$14" lockText="1"/>
</file>

<file path=xl/ctrlProps/ctrlProp97.xml><?xml version="1.0" encoding="utf-8"?>
<formControlPr xmlns="http://schemas.microsoft.com/office/spreadsheetml/2009/9/main" objectType="Radio" checked="Checked"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Radio" firstButton="1" fmlaLink="$Y$14" lockText="1"/>
</file>

<file path=xl/drawings/_rels/drawing1.xml.rels><?xml version="1.0" encoding="UTF-8" standalone="yes"?>
<Relationships xmlns="http://schemas.openxmlformats.org/package/2006/relationships"><Relationship Id="rId1" Type="http://schemas.openxmlformats.org/officeDocument/2006/relationships/hyperlink" Target="#'&#21360;&#21047;&#29992;&#12524;&#12509;&#12540;&#12488; (&#19968;&#29289;&#36074;)'!A1"/></Relationships>
</file>

<file path=xl/drawings/_rels/drawing10.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11.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12.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13.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14.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15.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16.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17.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18.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19.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xml.rels><?xml version="1.0" encoding="UTF-8" standalone="yes"?>
<Relationships xmlns="http://schemas.openxmlformats.org/package/2006/relationships"><Relationship Id="rId1" Type="http://schemas.openxmlformats.org/officeDocument/2006/relationships/hyperlink" Target="#'&#20837;&#21147;&#12471;&#12540;&#12488; (&#19968;&#29289;&#36074;)'!A1"/></Relationships>
</file>

<file path=xl/drawings/_rels/drawing20.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1.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2.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3.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4.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5.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6.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7.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8.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29.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3.xml.rels><?xml version="1.0" encoding="UTF-8" standalone="yes"?>
<Relationships xmlns="http://schemas.openxmlformats.org/package/2006/relationships"><Relationship Id="rId1" Type="http://schemas.openxmlformats.org/officeDocument/2006/relationships/hyperlink" Target="#'&#21360;&#21047;&#29992;&#12524;&#12509;&#12540;&#12488; (&#35079;&#25968;&#29289;&#36074;)'!A1"/></Relationships>
</file>

<file path=xl/drawings/_rels/drawing30.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31.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12471;&#12540;&#12488; (&#35079;&#25968;&#29289;&#36074;)'!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12471;&#12540;&#12488;!A1"/></Relationships>
</file>

<file path=xl/drawings/_rels/drawing6.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7.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8.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_rels/drawing9.xml.rels><?xml version="1.0" encoding="UTF-8" standalone="yes"?>
<Relationships xmlns="http://schemas.openxmlformats.org/package/2006/relationships"><Relationship Id="rId2" Type="http://schemas.openxmlformats.org/officeDocument/2006/relationships/hyperlink" Target="#'&#12497;&#12521;&#12513;&#12540;&#12479;&#12540; &#19968;&#35239;&#34920;'!A1"/><Relationship Id="rId1" Type="http://schemas.openxmlformats.org/officeDocument/2006/relationships/hyperlink" Target="#&#21360;&#21047;&#29992;&#12524;&#12509;&#12540;&#12488;!A1"/></Relationships>
</file>

<file path=xl/drawings/drawing1.xml><?xml version="1.0" encoding="utf-8"?>
<xdr:wsDr xmlns:xdr="http://schemas.openxmlformats.org/drawingml/2006/spreadsheetDrawing" xmlns:a="http://schemas.openxmlformats.org/drawingml/2006/main">
  <xdr:twoCellAnchor>
    <xdr:from>
      <xdr:col>5</xdr:col>
      <xdr:colOff>9380</xdr:colOff>
      <xdr:row>15</xdr:row>
      <xdr:rowOff>62901</xdr:rowOff>
    </xdr:from>
    <xdr:to>
      <xdr:col>12</xdr:col>
      <xdr:colOff>111324</xdr:colOff>
      <xdr:row>16</xdr:row>
      <xdr:rowOff>17972</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29403" y="2809875"/>
          <a:ext cx="4904328" cy="0"/>
          <a:chOff x="3033118" y="2741601"/>
          <a:chExt cx="4742611"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43388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64513" name="Option Button 9" hidden="1">
                <a:extLst>
                  <a:ext uri="{63B3BB69-23CF-44E3-9099-C40C66FF867C}">
                    <a14:compatExt spid="_x0000_s64513"/>
                  </a:ext>
                </a:extLst>
              </xdr:cNvPr>
              <xdr:cNvSpPr/>
            </xdr:nvSpPr>
            <xdr:spPr bwMode="auto">
              <a:xfrm>
                <a:off x="3033118" y="2809875"/>
                <a:ext cx="33722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99756</xdr:colOff>
      <xdr:row>16</xdr:row>
      <xdr:rowOff>296533</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28471" y="2809875"/>
          <a:ext cx="4893692" cy="0"/>
          <a:chOff x="3032218" y="2809875"/>
          <a:chExt cx="4732606" cy="439207"/>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434180"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200">
                <a:solidFill>
                  <a:schemeClr val="tx1"/>
                </a:solidFill>
                <a:effectLst/>
                <a:latin typeface="+mn-lt"/>
                <a:ea typeface="+mn-ea"/>
                <a:cs typeface="+mn-cs"/>
              </a:rPr>
              <a:t>基準不適合土壌が地下水位より</a:t>
            </a:r>
            <a:r>
              <a:rPr kumimoji="1" lang="ja-JP" altLang="en-US" sz="1200" b="1" u="sng">
                <a:solidFill>
                  <a:schemeClr val="tx1"/>
                </a:solidFill>
                <a:effectLst/>
                <a:latin typeface="+mn-lt"/>
                <a:ea typeface="+mn-ea"/>
                <a:cs typeface="+mn-cs"/>
              </a:rPr>
              <a:t>深い</a:t>
            </a:r>
            <a:r>
              <a:rPr kumimoji="1" lang="ja-JP" altLang="ja-JP" sz="1200" b="1" u="sng">
                <a:solidFill>
                  <a:schemeClr val="tx1"/>
                </a:solidFill>
                <a:effectLst/>
                <a:latin typeface="+mn-lt"/>
                <a:ea typeface="+mn-ea"/>
                <a:cs typeface="+mn-cs"/>
              </a:rPr>
              <a:t>位置</a:t>
            </a:r>
            <a:r>
              <a:rPr kumimoji="1" lang="ja-JP" altLang="ja-JP" sz="1200">
                <a:solidFill>
                  <a:schemeClr val="tx1"/>
                </a:solidFill>
                <a:effectLst/>
                <a:latin typeface="+mn-lt"/>
                <a:ea typeface="+mn-ea"/>
                <a:cs typeface="+mn-cs"/>
              </a:rPr>
              <a:t>に分布している</a:t>
            </a:r>
            <a:endParaRPr lang="ja-JP" altLang="ja-JP" sz="1400">
              <a:effectLst/>
            </a:endParaRPr>
          </a:p>
        </xdr:txBody>
      </xdr:sp>
      <mc:AlternateContent xmlns:mc="http://schemas.openxmlformats.org/markup-compatibility/2006">
        <mc:Choice xmlns:a14="http://schemas.microsoft.com/office/drawing/2010/main" Requires="a14">
          <xdr:sp macro="" textlink="">
            <xdr:nvSpPr>
              <xdr:cNvPr id="64514" name="Option Button 10" hidden="1">
                <a:extLst>
                  <a:ext uri="{63B3BB69-23CF-44E3-9099-C40C66FF867C}">
                    <a14:compatExt spid="_x0000_s64514"/>
                  </a:ext>
                </a:extLst>
              </xdr:cNvPr>
              <xdr:cNvSpPr/>
            </xdr:nvSpPr>
            <xdr:spPr bwMode="auto">
              <a:xfrm>
                <a:off x="3032218" y="2809875"/>
                <a:ext cx="32528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16</xdr:row>
      <xdr:rowOff>265580</xdr:rowOff>
    </xdr:from>
    <xdr:to>
      <xdr:col>12</xdr:col>
      <xdr:colOff>111522</xdr:colOff>
      <xdr:row>17</xdr:row>
      <xdr:rowOff>206674</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29270" y="2809875"/>
          <a:ext cx="4904657" cy="0"/>
          <a:chOff x="3032987" y="2809875"/>
          <a:chExt cx="4743248" cy="661458"/>
        </a:xfrm>
      </xdr:grpSpPr>
      <mc:AlternateContent xmlns:mc="http://schemas.openxmlformats.org/markup-compatibility/2006">
        <mc:Choice xmlns:a14="http://schemas.microsoft.com/office/drawing/2010/main" Requires="a14">
          <xdr:sp macro="" textlink="">
            <xdr:nvSpPr>
              <xdr:cNvPr id="64515" name="Option Button 11" hidden="1">
                <a:extLst>
                  <a:ext uri="{63B3BB69-23CF-44E3-9099-C40C66FF867C}">
                    <a14:compatExt spid="_x0000_s64515"/>
                  </a:ext>
                </a:extLst>
              </xdr:cNvPr>
              <xdr:cNvSpPr/>
            </xdr:nvSpPr>
            <xdr:spPr bwMode="auto">
              <a:xfrm>
                <a:off x="3032987" y="2809875"/>
                <a:ext cx="33590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434180"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200">
                <a:solidFill>
                  <a:schemeClr val="tx1"/>
                </a:solidFill>
                <a:effectLst/>
                <a:latin typeface="+mn-lt"/>
                <a:ea typeface="+mn-ea"/>
                <a:cs typeface="+mn-cs"/>
              </a:rPr>
              <a:t>基準不適合土壌が地下水位</a:t>
            </a:r>
            <a:r>
              <a:rPr kumimoji="1" lang="ja-JP" altLang="en-US" sz="1200">
                <a:solidFill>
                  <a:schemeClr val="tx1"/>
                </a:solidFill>
                <a:effectLst/>
                <a:latin typeface="+mn-lt"/>
                <a:ea typeface="+mn-ea"/>
                <a:cs typeface="+mn-cs"/>
              </a:rPr>
              <a:t>を、</a:t>
            </a:r>
            <a:r>
              <a:rPr kumimoji="1" lang="ja-JP" altLang="en-US" sz="1200" b="1" u="sng">
                <a:solidFill>
                  <a:schemeClr val="tx1"/>
                </a:solidFill>
                <a:effectLst/>
                <a:latin typeface="+mn-lt"/>
                <a:ea typeface="+mn-ea"/>
                <a:cs typeface="+mn-cs"/>
              </a:rPr>
              <a:t>またいだ位置</a:t>
            </a:r>
            <a:r>
              <a:rPr kumimoji="1" lang="ja-JP" altLang="en-US" sz="1200">
                <a:solidFill>
                  <a:schemeClr val="tx1"/>
                </a:solidFill>
                <a:effectLst/>
                <a:latin typeface="+mn-lt"/>
                <a:ea typeface="+mn-ea"/>
                <a:cs typeface="+mn-cs"/>
              </a:rPr>
              <a:t>に</a:t>
            </a:r>
            <a:r>
              <a:rPr kumimoji="1" lang="ja-JP" altLang="ja-JP" sz="1200">
                <a:solidFill>
                  <a:schemeClr val="tx1"/>
                </a:solidFill>
                <a:effectLst/>
                <a:latin typeface="+mn-lt"/>
                <a:ea typeface="+mn-ea"/>
                <a:cs typeface="+mn-cs"/>
              </a:rPr>
              <a:t>分布している</a:t>
            </a:r>
            <a:endParaRPr lang="ja-JP" altLang="ja-JP" sz="14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4574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wsDr>
</file>

<file path=xl/drawings/drawing10.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2289" name="Option Button 9" hidden="1">
                <a:extLst>
                  <a:ext uri="{63B3BB69-23CF-44E3-9099-C40C66FF867C}">
                    <a14:compatExt spid="_x0000_s12289"/>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2290" name="Option Button 10" hidden="1">
                <a:extLst>
                  <a:ext uri="{63B3BB69-23CF-44E3-9099-C40C66FF867C}">
                    <a14:compatExt spid="_x0000_s12290"/>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2291" name="Option Button 11" hidden="1">
                <a:extLst>
                  <a:ext uri="{63B3BB69-23CF-44E3-9099-C40C66FF867C}">
                    <a14:compatExt spid="_x0000_s12291"/>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3313" name="Option Button 9" hidden="1">
                <a:extLst>
                  <a:ext uri="{63B3BB69-23CF-44E3-9099-C40C66FF867C}">
                    <a14:compatExt spid="_x0000_s13313"/>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3314" name="Option Button 10" hidden="1">
                <a:extLst>
                  <a:ext uri="{63B3BB69-23CF-44E3-9099-C40C66FF867C}">
                    <a14:compatExt spid="_x0000_s13314"/>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3315" name="Option Button 11" hidden="1">
                <a:extLst>
                  <a:ext uri="{63B3BB69-23CF-44E3-9099-C40C66FF867C}">
                    <a14:compatExt spid="_x0000_s13315"/>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4337" name="Option Button 9" hidden="1">
                <a:extLst>
                  <a:ext uri="{63B3BB69-23CF-44E3-9099-C40C66FF867C}">
                    <a14:compatExt spid="_x0000_s14337"/>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4338" name="Option Button 10" hidden="1">
                <a:extLst>
                  <a:ext uri="{63B3BB69-23CF-44E3-9099-C40C66FF867C}">
                    <a14:compatExt spid="_x0000_s14338"/>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4339" name="Option Button 11" hidden="1">
                <a:extLst>
                  <a:ext uri="{63B3BB69-23CF-44E3-9099-C40C66FF867C}">
                    <a14:compatExt spid="_x0000_s14339"/>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5361" name="Option Button 9" hidden="1">
                <a:extLst>
                  <a:ext uri="{63B3BB69-23CF-44E3-9099-C40C66FF867C}">
                    <a14:compatExt spid="_x0000_s15361"/>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5362" name="Option Button 10" hidden="1">
                <a:extLst>
                  <a:ext uri="{63B3BB69-23CF-44E3-9099-C40C66FF867C}">
                    <a14:compatExt spid="_x0000_s15362"/>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5363" name="Option Button 11" hidden="1">
                <a:extLst>
                  <a:ext uri="{63B3BB69-23CF-44E3-9099-C40C66FF867C}">
                    <a14:compatExt spid="_x0000_s15363"/>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6385" name="Option Button 9" hidden="1">
                <a:extLst>
                  <a:ext uri="{63B3BB69-23CF-44E3-9099-C40C66FF867C}">
                    <a14:compatExt spid="_x0000_s16385"/>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6386" name="Option Button 10" hidden="1">
                <a:extLst>
                  <a:ext uri="{63B3BB69-23CF-44E3-9099-C40C66FF867C}">
                    <a14:compatExt spid="_x0000_s16386"/>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6387" name="Option Button 11" hidden="1">
                <a:extLst>
                  <a:ext uri="{63B3BB69-23CF-44E3-9099-C40C66FF867C}">
                    <a14:compatExt spid="_x0000_s16387"/>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7409" name="Option Button 9" hidden="1">
                <a:extLst>
                  <a:ext uri="{63B3BB69-23CF-44E3-9099-C40C66FF867C}">
                    <a14:compatExt spid="_x0000_s17409"/>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7410" name="Option Button 10" hidden="1">
                <a:extLst>
                  <a:ext uri="{63B3BB69-23CF-44E3-9099-C40C66FF867C}">
                    <a14:compatExt spid="_x0000_s17410"/>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7411" name="Option Button 11" hidden="1">
                <a:extLst>
                  <a:ext uri="{63B3BB69-23CF-44E3-9099-C40C66FF867C}">
                    <a14:compatExt spid="_x0000_s17411"/>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8433" name="Option Button 9" hidden="1">
                <a:extLst>
                  <a:ext uri="{63B3BB69-23CF-44E3-9099-C40C66FF867C}">
                    <a14:compatExt spid="_x0000_s18433"/>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8434" name="Option Button 10" hidden="1">
                <a:extLst>
                  <a:ext uri="{63B3BB69-23CF-44E3-9099-C40C66FF867C}">
                    <a14:compatExt spid="_x0000_s18434"/>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8435" name="Option Button 11" hidden="1">
                <a:extLst>
                  <a:ext uri="{63B3BB69-23CF-44E3-9099-C40C66FF867C}">
                    <a14:compatExt spid="_x0000_s18435"/>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9457" name="Option Button 9" hidden="1">
                <a:extLst>
                  <a:ext uri="{63B3BB69-23CF-44E3-9099-C40C66FF867C}">
                    <a14:compatExt spid="_x0000_s19457"/>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9458" name="Option Button 10" hidden="1">
                <a:extLst>
                  <a:ext uri="{63B3BB69-23CF-44E3-9099-C40C66FF867C}">
                    <a14:compatExt spid="_x0000_s19458"/>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9459" name="Option Button 11" hidden="1">
                <a:extLst>
                  <a:ext uri="{63B3BB69-23CF-44E3-9099-C40C66FF867C}">
                    <a14:compatExt spid="_x0000_s19459"/>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0481" name="Option Button 9" hidden="1">
                <a:extLst>
                  <a:ext uri="{63B3BB69-23CF-44E3-9099-C40C66FF867C}">
                    <a14:compatExt spid="_x0000_s20481"/>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0482" name="Option Button 10" hidden="1">
                <a:extLst>
                  <a:ext uri="{63B3BB69-23CF-44E3-9099-C40C66FF867C}">
                    <a14:compatExt spid="_x0000_s20482"/>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0483" name="Option Button 11" hidden="1">
                <a:extLst>
                  <a:ext uri="{63B3BB69-23CF-44E3-9099-C40C66FF867C}">
                    <a14:compatExt spid="_x0000_s20483"/>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1505" name="Option Button 9" hidden="1">
                <a:extLst>
                  <a:ext uri="{63B3BB69-23CF-44E3-9099-C40C66FF867C}">
                    <a14:compatExt spid="_x0000_s21505"/>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1506" name="Option Button 10" hidden="1">
                <a:extLst>
                  <a:ext uri="{63B3BB69-23CF-44E3-9099-C40C66FF867C}">
                    <a14:compatExt spid="_x0000_s21506"/>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1507" name="Option Button 11" hidden="1">
                <a:extLst>
                  <a:ext uri="{63B3BB69-23CF-44E3-9099-C40C66FF867C}">
                    <a14:compatExt spid="_x0000_s21507"/>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10</xdr:col>
      <xdr:colOff>292100</xdr:colOff>
      <xdr:row>0</xdr:row>
      <xdr:rowOff>0</xdr:rowOff>
    </xdr:from>
    <xdr:to>
      <xdr:col>11</xdr:col>
      <xdr:colOff>589491</xdr:colOff>
      <xdr:row>1</xdr:row>
      <xdr:rowOff>152560</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6997700" y="0"/>
          <a:ext cx="983191" cy="330360"/>
        </a:xfrm>
        <a:prstGeom prst="bevel">
          <a:avLst/>
        </a:prstGeom>
        <a:solidFill>
          <a:schemeClr val="accent3">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入力シートへ</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2529" name="Option Button 9" hidden="1">
                <a:extLst>
                  <a:ext uri="{63B3BB69-23CF-44E3-9099-C40C66FF867C}">
                    <a14:compatExt spid="_x0000_s22529"/>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2530" name="Option Button 10" hidden="1">
                <a:extLst>
                  <a:ext uri="{63B3BB69-23CF-44E3-9099-C40C66FF867C}">
                    <a14:compatExt spid="_x0000_s22530"/>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2531" name="Option Button 11" hidden="1">
                <a:extLst>
                  <a:ext uri="{63B3BB69-23CF-44E3-9099-C40C66FF867C}">
                    <a14:compatExt spid="_x0000_s22531"/>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3553" name="Option Button 9" hidden="1">
                <a:extLst>
                  <a:ext uri="{63B3BB69-23CF-44E3-9099-C40C66FF867C}">
                    <a14:compatExt spid="_x0000_s23553"/>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3554" name="Option Button 10" hidden="1">
                <a:extLst>
                  <a:ext uri="{63B3BB69-23CF-44E3-9099-C40C66FF867C}">
                    <a14:compatExt spid="_x0000_s23554"/>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3555" name="Option Button 11" hidden="1">
                <a:extLst>
                  <a:ext uri="{63B3BB69-23CF-44E3-9099-C40C66FF867C}">
                    <a14:compatExt spid="_x0000_s23555"/>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4577" name="Option Button 9" hidden="1">
                <a:extLst>
                  <a:ext uri="{63B3BB69-23CF-44E3-9099-C40C66FF867C}">
                    <a14:compatExt spid="_x0000_s24577"/>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4578" name="Option Button 10" hidden="1">
                <a:extLst>
                  <a:ext uri="{63B3BB69-23CF-44E3-9099-C40C66FF867C}">
                    <a14:compatExt spid="_x0000_s24578"/>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4579" name="Option Button 11" hidden="1">
                <a:extLst>
                  <a:ext uri="{63B3BB69-23CF-44E3-9099-C40C66FF867C}">
                    <a14:compatExt spid="_x0000_s24579"/>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5601" name="Option Button 9" hidden="1">
                <a:extLst>
                  <a:ext uri="{63B3BB69-23CF-44E3-9099-C40C66FF867C}">
                    <a14:compatExt spid="_x0000_s25601"/>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5602" name="Option Button 10" hidden="1">
                <a:extLst>
                  <a:ext uri="{63B3BB69-23CF-44E3-9099-C40C66FF867C}">
                    <a14:compatExt spid="_x0000_s25602"/>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5603" name="Option Button 11" hidden="1">
                <a:extLst>
                  <a:ext uri="{63B3BB69-23CF-44E3-9099-C40C66FF867C}">
                    <a14:compatExt spid="_x0000_s25603"/>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6625" name="Option Button 9" hidden="1">
                <a:extLst>
                  <a:ext uri="{63B3BB69-23CF-44E3-9099-C40C66FF867C}">
                    <a14:compatExt spid="_x0000_s26625"/>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6626" name="Option Button 10" hidden="1">
                <a:extLst>
                  <a:ext uri="{63B3BB69-23CF-44E3-9099-C40C66FF867C}">
                    <a14:compatExt spid="_x0000_s26626"/>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6627" name="Option Button 11" hidden="1">
                <a:extLst>
                  <a:ext uri="{63B3BB69-23CF-44E3-9099-C40C66FF867C}">
                    <a14:compatExt spid="_x0000_s26627"/>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7649" name="Option Button 9" hidden="1">
                <a:extLst>
                  <a:ext uri="{63B3BB69-23CF-44E3-9099-C40C66FF867C}">
                    <a14:compatExt spid="_x0000_s27649"/>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7650" name="Option Button 10" hidden="1">
                <a:extLst>
                  <a:ext uri="{63B3BB69-23CF-44E3-9099-C40C66FF867C}">
                    <a14:compatExt spid="_x0000_s27650"/>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7651" name="Option Button 11" hidden="1">
                <a:extLst>
                  <a:ext uri="{63B3BB69-23CF-44E3-9099-C40C66FF867C}">
                    <a14:compatExt spid="_x0000_s27651"/>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8673" name="Option Button 9" hidden="1">
                <a:extLst>
                  <a:ext uri="{63B3BB69-23CF-44E3-9099-C40C66FF867C}">
                    <a14:compatExt spid="_x0000_s28673"/>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8674" name="Option Button 10" hidden="1">
                <a:extLst>
                  <a:ext uri="{63B3BB69-23CF-44E3-9099-C40C66FF867C}">
                    <a14:compatExt spid="_x0000_s28674"/>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8675" name="Option Button 11" hidden="1">
                <a:extLst>
                  <a:ext uri="{63B3BB69-23CF-44E3-9099-C40C66FF867C}">
                    <a14:compatExt spid="_x0000_s28675"/>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29697" name="Option Button 9" hidden="1">
                <a:extLst>
                  <a:ext uri="{63B3BB69-23CF-44E3-9099-C40C66FF867C}">
                    <a14:compatExt spid="_x0000_s29697"/>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29698" name="Option Button 10" hidden="1">
                <a:extLst>
                  <a:ext uri="{63B3BB69-23CF-44E3-9099-C40C66FF867C}">
                    <a14:compatExt spid="_x0000_s29698"/>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29699" name="Option Button 11" hidden="1">
                <a:extLst>
                  <a:ext uri="{63B3BB69-23CF-44E3-9099-C40C66FF867C}">
                    <a14:compatExt spid="_x0000_s29699"/>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30721" name="Option Button 9" hidden="1">
                <a:extLst>
                  <a:ext uri="{63B3BB69-23CF-44E3-9099-C40C66FF867C}">
                    <a14:compatExt spid="_x0000_s30721"/>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30722" name="Option Button 10" hidden="1">
                <a:extLst>
                  <a:ext uri="{63B3BB69-23CF-44E3-9099-C40C66FF867C}">
                    <a14:compatExt spid="_x0000_s30722"/>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30723" name="Option Button 11" hidden="1">
                <a:extLst>
                  <a:ext uri="{63B3BB69-23CF-44E3-9099-C40C66FF867C}">
                    <a14:compatExt spid="_x0000_s30723"/>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31745" name="Option Button 9" hidden="1">
                <a:extLst>
                  <a:ext uri="{63B3BB69-23CF-44E3-9099-C40C66FF867C}">
                    <a14:compatExt spid="_x0000_s31745"/>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31746" name="Option Button 10" hidden="1">
                <a:extLst>
                  <a:ext uri="{63B3BB69-23CF-44E3-9099-C40C66FF867C}">
                    <a14:compatExt spid="_x0000_s31746"/>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31747" name="Option Button 11" hidden="1">
                <a:extLst>
                  <a:ext uri="{63B3BB69-23CF-44E3-9099-C40C66FF867C}">
                    <a14:compatExt spid="_x0000_s31747"/>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9380</xdr:colOff>
      <xdr:row>15</xdr:row>
      <xdr:rowOff>71437</xdr:rowOff>
    </xdr:from>
    <xdr:to>
      <xdr:col>18</xdr:col>
      <xdr:colOff>34873</xdr:colOff>
      <xdr:row>16</xdr:row>
      <xdr:rowOff>29925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576933" y="2857500"/>
          <a:ext cx="5375721" cy="0"/>
          <a:chOff x="3341842" y="2741601"/>
          <a:chExt cx="4374516"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374516"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5129" name="Option Button 9" hidden="1">
                <a:extLst>
                  <a:ext uri="{63B3BB69-23CF-44E3-9099-C40C66FF867C}">
                    <a14:compatExt spid="_x0000_s5129"/>
                  </a:ext>
                </a:extLst>
              </xdr:cNvPr>
              <xdr:cNvSpPr/>
            </xdr:nvSpPr>
            <xdr:spPr bwMode="auto">
              <a:xfrm>
                <a:off x="4151908" y="2857500"/>
                <a:ext cx="33722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18</xdr:col>
      <xdr:colOff>21870</xdr:colOff>
      <xdr:row>16</xdr:row>
      <xdr:rowOff>345281</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563121" y="2857500"/>
          <a:ext cx="5376530" cy="0"/>
          <a:chOff x="3330644" y="2857500"/>
          <a:chExt cx="4375781" cy="391582"/>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330644" y="2991437"/>
            <a:ext cx="4375781"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200">
                <a:solidFill>
                  <a:schemeClr val="tx1"/>
                </a:solidFill>
                <a:effectLst/>
                <a:latin typeface="+mn-lt"/>
                <a:ea typeface="+mn-ea"/>
                <a:cs typeface="+mn-cs"/>
              </a:rPr>
              <a:t>基準不適合土壌が地下水位より</a:t>
            </a:r>
            <a:r>
              <a:rPr kumimoji="1" lang="ja-JP" altLang="en-US" sz="1200" b="1" u="sng">
                <a:solidFill>
                  <a:schemeClr val="tx1"/>
                </a:solidFill>
                <a:effectLst/>
                <a:latin typeface="+mn-lt"/>
                <a:ea typeface="+mn-ea"/>
                <a:cs typeface="+mn-cs"/>
              </a:rPr>
              <a:t>深い</a:t>
            </a:r>
            <a:r>
              <a:rPr kumimoji="1" lang="ja-JP" altLang="ja-JP" sz="1200" b="1" u="sng">
                <a:solidFill>
                  <a:schemeClr val="tx1"/>
                </a:solidFill>
                <a:effectLst/>
                <a:latin typeface="+mn-lt"/>
                <a:ea typeface="+mn-ea"/>
                <a:cs typeface="+mn-cs"/>
              </a:rPr>
              <a:t>位置</a:t>
            </a:r>
            <a:r>
              <a:rPr kumimoji="1" lang="ja-JP" altLang="ja-JP" sz="1200">
                <a:solidFill>
                  <a:schemeClr val="tx1"/>
                </a:solidFill>
                <a:effectLst/>
                <a:latin typeface="+mn-lt"/>
                <a:ea typeface="+mn-ea"/>
                <a:cs typeface="+mn-cs"/>
              </a:rPr>
              <a:t>に分布している</a:t>
            </a:r>
            <a:endParaRPr lang="ja-JP" altLang="ja-JP" sz="1400">
              <a:effectLst/>
            </a:endParaRPr>
          </a:p>
        </xdr:txBody>
      </xdr:sp>
      <mc:AlternateContent xmlns:mc="http://schemas.openxmlformats.org/markup-compatibility/2006">
        <mc:Choice xmlns:a14="http://schemas.microsoft.com/office/drawing/2010/main" Requires="a14">
          <xdr:sp macro="" textlink="">
            <xdr:nvSpPr>
              <xdr:cNvPr id="5130" name="Option Button 10" hidden="1">
                <a:extLst>
                  <a:ext uri="{63B3BB69-23CF-44E3-9099-C40C66FF867C}">
                    <a14:compatExt spid="_x0000_s5130"/>
                  </a:ext>
                </a:extLst>
              </xdr:cNvPr>
              <xdr:cNvSpPr/>
            </xdr:nvSpPr>
            <xdr:spPr bwMode="auto">
              <a:xfrm>
                <a:off x="4143839" y="2857500"/>
                <a:ext cx="32528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16</xdr:row>
      <xdr:rowOff>290742</xdr:rowOff>
    </xdr:from>
    <xdr:to>
      <xdr:col>18</xdr:col>
      <xdr:colOff>35014</xdr:colOff>
      <xdr:row>17</xdr:row>
      <xdr:rowOff>238126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577081" y="2857500"/>
          <a:ext cx="5375713" cy="0"/>
          <a:chOff x="3342055" y="2857500"/>
          <a:chExt cx="4375782" cy="613833"/>
        </a:xfrm>
      </xdr:grpSpPr>
      <mc:AlternateContent xmlns:mc="http://schemas.openxmlformats.org/markup-compatibility/2006">
        <mc:Choice xmlns:a14="http://schemas.microsoft.com/office/drawing/2010/main" Requires="a14">
          <xdr:sp macro="" textlink="">
            <xdr:nvSpPr>
              <xdr:cNvPr id="5131" name="Option Button 11" hidden="1">
                <a:extLst>
                  <a:ext uri="{63B3BB69-23CF-44E3-9099-C40C66FF867C}">
                    <a14:compatExt spid="_x0000_s5131"/>
                  </a:ext>
                </a:extLst>
              </xdr:cNvPr>
              <xdr:cNvSpPr/>
            </xdr:nvSpPr>
            <xdr:spPr bwMode="auto">
              <a:xfrm>
                <a:off x="4150154" y="2857500"/>
                <a:ext cx="33590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342055" y="3222324"/>
            <a:ext cx="4375782"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200">
                <a:solidFill>
                  <a:schemeClr val="tx1"/>
                </a:solidFill>
                <a:effectLst/>
                <a:latin typeface="+mn-lt"/>
                <a:ea typeface="+mn-ea"/>
                <a:cs typeface="+mn-cs"/>
              </a:rPr>
              <a:t>基準不適合土壌が地下水位</a:t>
            </a:r>
            <a:r>
              <a:rPr kumimoji="1" lang="ja-JP" altLang="en-US" sz="1200">
                <a:solidFill>
                  <a:schemeClr val="tx1"/>
                </a:solidFill>
                <a:effectLst/>
                <a:latin typeface="+mn-lt"/>
                <a:ea typeface="+mn-ea"/>
                <a:cs typeface="+mn-cs"/>
              </a:rPr>
              <a:t>を、</a:t>
            </a:r>
            <a:r>
              <a:rPr kumimoji="1" lang="ja-JP" altLang="en-US" sz="1200" b="1" u="sng">
                <a:solidFill>
                  <a:schemeClr val="tx1"/>
                </a:solidFill>
                <a:effectLst/>
                <a:latin typeface="+mn-lt"/>
                <a:ea typeface="+mn-ea"/>
                <a:cs typeface="+mn-cs"/>
              </a:rPr>
              <a:t>またいだ位置</a:t>
            </a:r>
            <a:r>
              <a:rPr kumimoji="1" lang="ja-JP" altLang="en-US" sz="1200">
                <a:solidFill>
                  <a:schemeClr val="tx1"/>
                </a:solidFill>
                <a:effectLst/>
                <a:latin typeface="+mn-lt"/>
                <a:ea typeface="+mn-ea"/>
                <a:cs typeface="+mn-cs"/>
              </a:rPr>
              <a:t>に</a:t>
            </a:r>
            <a:r>
              <a:rPr kumimoji="1" lang="ja-JP" altLang="ja-JP" sz="1200">
                <a:solidFill>
                  <a:schemeClr val="tx1"/>
                </a:solidFill>
                <a:effectLst/>
                <a:latin typeface="+mn-lt"/>
                <a:ea typeface="+mn-ea"/>
                <a:cs typeface="+mn-cs"/>
              </a:rPr>
              <a:t>分布している</a:t>
            </a:r>
            <a:endParaRPr lang="ja-JP" altLang="ja-JP" sz="1400">
              <a:effectLst/>
            </a:endParaRPr>
          </a:p>
        </xdr:txBody>
      </xdr:sp>
    </xdr:grpSp>
    <xdr:clientData/>
  </xdr:twoCellAnchor>
  <xdr:oneCellAnchor>
    <xdr:from>
      <xdr:col>19</xdr:col>
      <xdr:colOff>214778</xdr:colOff>
      <xdr:row>47</xdr:row>
      <xdr:rowOff>134471</xdr:rowOff>
    </xdr:from>
    <xdr:ext cx="1347922" cy="344225"/>
    <xdr:sp macro="" textlink="">
      <xdr:nvSpPr>
        <xdr:cNvPr id="20" name="額縁 19">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8932954" y="9973236"/>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mc:AlternateContent xmlns:mc="http://schemas.openxmlformats.org/markup-compatibility/2006">
    <mc:Choice xmlns:a14="http://schemas.microsoft.com/office/drawing/2010/main" Requires="a14">
      <xdr:twoCellAnchor editAs="oneCell">
        <xdr:from>
          <xdr:col>5</xdr:col>
          <xdr:colOff>31750</xdr:colOff>
          <xdr:row>22</xdr:row>
          <xdr:rowOff>12700</xdr:rowOff>
        </xdr:from>
        <xdr:to>
          <xdr:col>5</xdr:col>
          <xdr:colOff>323850</xdr:colOff>
          <xdr:row>23</xdr:row>
          <xdr:rowOff>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12700</xdr:rowOff>
        </xdr:from>
        <xdr:to>
          <xdr:col>5</xdr:col>
          <xdr:colOff>323850</xdr:colOff>
          <xdr:row>28</xdr:row>
          <xdr:rowOff>222250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23</xdr:row>
          <xdr:rowOff>12700</xdr:rowOff>
        </xdr:from>
        <xdr:to>
          <xdr:col>5</xdr:col>
          <xdr:colOff>323850</xdr:colOff>
          <xdr:row>24</xdr:row>
          <xdr:rowOff>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24</xdr:row>
          <xdr:rowOff>12700</xdr:rowOff>
        </xdr:from>
        <xdr:to>
          <xdr:col>5</xdr:col>
          <xdr:colOff>323850</xdr:colOff>
          <xdr:row>25</xdr:row>
          <xdr:rowOff>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12700</xdr:rowOff>
        </xdr:from>
        <xdr:to>
          <xdr:col>5</xdr:col>
          <xdr:colOff>323850</xdr:colOff>
          <xdr:row>25</xdr:row>
          <xdr:rowOff>222250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12700</xdr:rowOff>
        </xdr:from>
        <xdr:to>
          <xdr:col>5</xdr:col>
          <xdr:colOff>323850</xdr:colOff>
          <xdr:row>26</xdr:row>
          <xdr:rowOff>222250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12700</xdr:rowOff>
        </xdr:from>
        <xdr:to>
          <xdr:col>5</xdr:col>
          <xdr:colOff>323850</xdr:colOff>
          <xdr:row>31</xdr:row>
          <xdr:rowOff>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31</xdr:row>
          <xdr:rowOff>19050</xdr:rowOff>
        </xdr:from>
        <xdr:to>
          <xdr:col>5</xdr:col>
          <xdr:colOff>323850</xdr:colOff>
          <xdr:row>32</xdr:row>
          <xdr:rowOff>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19050</xdr:rowOff>
        </xdr:from>
        <xdr:to>
          <xdr:col>5</xdr:col>
          <xdr:colOff>323850</xdr:colOff>
          <xdr:row>33</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29</xdr:row>
          <xdr:rowOff>12700</xdr:rowOff>
        </xdr:from>
        <xdr:to>
          <xdr:col>5</xdr:col>
          <xdr:colOff>323850</xdr:colOff>
          <xdr:row>29</xdr:row>
          <xdr:rowOff>222250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27</xdr:row>
          <xdr:rowOff>12700</xdr:rowOff>
        </xdr:from>
        <xdr:to>
          <xdr:col>5</xdr:col>
          <xdr:colOff>323850</xdr:colOff>
          <xdr:row>27</xdr:row>
          <xdr:rowOff>222250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33</xdr:row>
          <xdr:rowOff>12700</xdr:rowOff>
        </xdr:from>
        <xdr:to>
          <xdr:col>5</xdr:col>
          <xdr:colOff>323850</xdr:colOff>
          <xdr:row>33</xdr:row>
          <xdr:rowOff>222250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27</xdr:row>
          <xdr:rowOff>19050</xdr:rowOff>
        </xdr:from>
        <xdr:to>
          <xdr:col>12</xdr:col>
          <xdr:colOff>336550</xdr:colOff>
          <xdr:row>27</xdr:row>
          <xdr:rowOff>222250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22</xdr:row>
          <xdr:rowOff>0</xdr:rowOff>
        </xdr:from>
        <xdr:to>
          <xdr:col>12</xdr:col>
          <xdr:colOff>336550</xdr:colOff>
          <xdr:row>22</xdr:row>
          <xdr:rowOff>222250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25</xdr:row>
          <xdr:rowOff>0</xdr:rowOff>
        </xdr:from>
        <xdr:to>
          <xdr:col>12</xdr:col>
          <xdr:colOff>336550</xdr:colOff>
          <xdr:row>25</xdr:row>
          <xdr:rowOff>222250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28</xdr:row>
          <xdr:rowOff>12700</xdr:rowOff>
        </xdr:from>
        <xdr:to>
          <xdr:col>12</xdr:col>
          <xdr:colOff>336550</xdr:colOff>
          <xdr:row>28</xdr:row>
          <xdr:rowOff>222250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23</xdr:row>
          <xdr:rowOff>0</xdr:rowOff>
        </xdr:from>
        <xdr:to>
          <xdr:col>12</xdr:col>
          <xdr:colOff>336550</xdr:colOff>
          <xdr:row>23</xdr:row>
          <xdr:rowOff>222250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29</xdr:row>
          <xdr:rowOff>12700</xdr:rowOff>
        </xdr:from>
        <xdr:to>
          <xdr:col>12</xdr:col>
          <xdr:colOff>336550</xdr:colOff>
          <xdr:row>29</xdr:row>
          <xdr:rowOff>222250</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30</xdr:row>
          <xdr:rowOff>12700</xdr:rowOff>
        </xdr:from>
        <xdr:to>
          <xdr:col>12</xdr:col>
          <xdr:colOff>336550</xdr:colOff>
          <xdr:row>30</xdr:row>
          <xdr:rowOff>222250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26</xdr:row>
          <xdr:rowOff>0</xdr:rowOff>
        </xdr:from>
        <xdr:to>
          <xdr:col>12</xdr:col>
          <xdr:colOff>336550</xdr:colOff>
          <xdr:row>26</xdr:row>
          <xdr:rowOff>222250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24</xdr:row>
          <xdr:rowOff>0</xdr:rowOff>
        </xdr:from>
        <xdr:to>
          <xdr:col>12</xdr:col>
          <xdr:colOff>336550</xdr:colOff>
          <xdr:row>24</xdr:row>
          <xdr:rowOff>222250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22</xdr:row>
          <xdr:rowOff>12700</xdr:rowOff>
        </xdr:from>
        <xdr:to>
          <xdr:col>16</xdr:col>
          <xdr:colOff>355600</xdr:colOff>
          <xdr:row>23</xdr:row>
          <xdr:rowOff>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24</xdr:row>
          <xdr:rowOff>0</xdr:rowOff>
        </xdr:from>
        <xdr:to>
          <xdr:col>16</xdr:col>
          <xdr:colOff>355600</xdr:colOff>
          <xdr:row>24</xdr:row>
          <xdr:rowOff>222250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23</xdr:row>
          <xdr:rowOff>0</xdr:rowOff>
        </xdr:from>
        <xdr:to>
          <xdr:col>16</xdr:col>
          <xdr:colOff>355600</xdr:colOff>
          <xdr:row>23</xdr:row>
          <xdr:rowOff>222250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25</xdr:row>
          <xdr:rowOff>19050</xdr:rowOff>
        </xdr:from>
        <xdr:to>
          <xdr:col>16</xdr:col>
          <xdr:colOff>355600</xdr:colOff>
          <xdr:row>26</xdr:row>
          <xdr:rowOff>12700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26</xdr:row>
          <xdr:rowOff>19050</xdr:rowOff>
        </xdr:from>
        <xdr:to>
          <xdr:col>16</xdr:col>
          <xdr:colOff>355600</xdr:colOff>
          <xdr:row>27</xdr:row>
          <xdr:rowOff>12700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32769" name="Option Button 9" hidden="1">
                <a:extLst>
                  <a:ext uri="{63B3BB69-23CF-44E3-9099-C40C66FF867C}">
                    <a14:compatExt spid="_x0000_s32769"/>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32770" name="Option Button 10" hidden="1">
                <a:extLst>
                  <a:ext uri="{63B3BB69-23CF-44E3-9099-C40C66FF867C}">
                    <a14:compatExt spid="_x0000_s32770"/>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32771" name="Option Button 11" hidden="1">
                <a:extLst>
                  <a:ext uri="{63B3BB69-23CF-44E3-9099-C40C66FF867C}">
                    <a14:compatExt spid="_x0000_s32771"/>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33793" name="Option Button 9" hidden="1">
                <a:extLst>
                  <a:ext uri="{63B3BB69-23CF-44E3-9099-C40C66FF867C}">
                    <a14:compatExt spid="_x0000_s33793"/>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33794" name="Option Button 10" hidden="1">
                <a:extLst>
                  <a:ext uri="{63B3BB69-23CF-44E3-9099-C40C66FF867C}">
                    <a14:compatExt spid="_x0000_s33794"/>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33795" name="Option Button 11" hidden="1">
                <a:extLst>
                  <a:ext uri="{63B3BB69-23CF-44E3-9099-C40C66FF867C}">
                    <a14:compatExt spid="_x0000_s33795"/>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12</xdr:col>
      <xdr:colOff>292100</xdr:colOff>
      <xdr:row>0</xdr:row>
      <xdr:rowOff>0</xdr:rowOff>
    </xdr:from>
    <xdr:to>
      <xdr:col>13</xdr:col>
      <xdr:colOff>589491</xdr:colOff>
      <xdr:row>1</xdr:row>
      <xdr:rowOff>152560</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7254875" y="0"/>
          <a:ext cx="983191" cy="324010"/>
        </a:xfrm>
        <a:prstGeom prst="bevel">
          <a:avLst/>
        </a:prstGeom>
        <a:solidFill>
          <a:schemeClr val="accent3">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入力シートへ</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391583</xdr:colOff>
      <xdr:row>0</xdr:row>
      <xdr:rowOff>158751</xdr:rowOff>
    </xdr:from>
    <xdr:to>
      <xdr:col>9</xdr:col>
      <xdr:colOff>686858</xdr:colOff>
      <xdr:row>2</xdr:row>
      <xdr:rowOff>150444</xdr:rowOff>
    </xdr:to>
    <xdr:sp macro="" textlink="">
      <xdr:nvSpPr>
        <xdr:cNvPr id="4" name="額縁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7524750" y="158751"/>
          <a:ext cx="983191" cy="330360"/>
        </a:xfrm>
        <a:prstGeom prst="bevel">
          <a:avLst/>
        </a:prstGeom>
        <a:solidFill>
          <a:schemeClr val="accent3">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入力シートへ</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8193" name="Option Button 9" hidden="1">
                <a:extLst>
                  <a:ext uri="{63B3BB69-23CF-44E3-9099-C40C66FF867C}">
                    <a14:compatExt spid="_x0000_s8193"/>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8194" name="Option Button 10" hidden="1">
                <a:extLst>
                  <a:ext uri="{63B3BB69-23CF-44E3-9099-C40C66FF867C}">
                    <a14:compatExt spid="_x0000_s8194"/>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8195" name="Option Button 11" hidden="1">
                <a:extLst>
                  <a:ext uri="{63B3BB69-23CF-44E3-9099-C40C66FF867C}">
                    <a14:compatExt spid="_x0000_s8195"/>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4574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2084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9217" name="Option Button 9" hidden="1">
                <a:extLst>
                  <a:ext uri="{63B3BB69-23CF-44E3-9099-C40C66FF867C}">
                    <a14:compatExt spid="_x0000_s9217"/>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9218" name="Option Button 10" hidden="1">
                <a:extLst>
                  <a:ext uri="{63B3BB69-23CF-44E3-9099-C40C66FF867C}">
                    <a14:compatExt spid="_x0000_s9218"/>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9219" name="Option Button 11" hidden="1">
                <a:extLst>
                  <a:ext uri="{63B3BB69-23CF-44E3-9099-C40C66FF867C}">
                    <a14:compatExt spid="_x0000_s9219"/>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0241" name="Option Button 9" hidden="1">
                <a:extLst>
                  <a:ext uri="{63B3BB69-23CF-44E3-9099-C40C66FF867C}">
                    <a14:compatExt spid="_x0000_s10241"/>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0242" name="Option Button 10" hidden="1">
                <a:extLst>
                  <a:ext uri="{63B3BB69-23CF-44E3-9099-C40C66FF867C}">
                    <a14:compatExt spid="_x0000_s10242"/>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0243" name="Option Button 11" hidden="1">
                <a:extLst>
                  <a:ext uri="{63B3BB69-23CF-44E3-9099-C40C66FF867C}">
                    <a14:compatExt spid="_x0000_s10243"/>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5</xdr:col>
      <xdr:colOff>9380</xdr:colOff>
      <xdr:row>14</xdr:row>
      <xdr:rowOff>222768</xdr:rowOff>
    </xdr:from>
    <xdr:to>
      <xdr:col>12</xdr:col>
      <xdr:colOff>179916</xdr:colOff>
      <xdr:row>16</xdr:row>
      <xdr:rowOff>29925</xdr:rowOff>
    </xdr:to>
    <xdr:grpSp>
      <xdr:nvGrpSpPr>
        <xdr:cNvPr id="2" name="グループ化 1">
          <a:extLst>
            <a:ext uri="{FF2B5EF4-FFF2-40B4-BE49-F238E27FC236}">
              <a16:creationId xmlns:a16="http://schemas.microsoft.com/office/drawing/2014/main" id="{00000000-0008-0000-0000-00000C000000}"/>
            </a:ext>
          </a:extLst>
        </xdr:cNvPr>
        <xdr:cNvGrpSpPr/>
      </xdr:nvGrpSpPr>
      <xdr:grpSpPr>
        <a:xfrm>
          <a:off x="3012556" y="2665650"/>
          <a:ext cx="4966654" cy="255393"/>
          <a:chOff x="3025630" y="2741601"/>
          <a:chExt cx="4816619" cy="2728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1842" y="2741601"/>
            <a:ext cx="4500407" cy="272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en-US" sz="1200"/>
              <a:t>基準不適合土壌が地下水位より</a:t>
            </a:r>
            <a:r>
              <a:rPr kumimoji="1" lang="ja-JP" altLang="en-US" sz="1200" b="1" u="sng"/>
              <a:t>浅い位置</a:t>
            </a:r>
            <a:r>
              <a:rPr kumimoji="1" lang="ja-JP" altLang="en-US" sz="1200"/>
              <a:t>に分布している</a:t>
            </a:r>
          </a:p>
        </xdr:txBody>
      </xdr:sp>
      <mc:AlternateContent xmlns:mc="http://schemas.openxmlformats.org/markup-compatibility/2006">
        <mc:Choice xmlns:a14="http://schemas.microsoft.com/office/drawing/2010/main" Requires="a14">
          <xdr:sp macro="" textlink="">
            <xdr:nvSpPr>
              <xdr:cNvPr id="11265" name="Option Button 9" hidden="1">
                <a:extLst>
                  <a:ext uri="{63B3BB69-23CF-44E3-9099-C40C66FF867C}">
                    <a14:compatExt spid="_x0000_s11265"/>
                  </a:ext>
                </a:extLst>
              </xdr:cNvPr>
              <xdr:cNvSpPr/>
            </xdr:nvSpPr>
            <xdr:spPr bwMode="auto">
              <a:xfrm>
                <a:off x="3025630" y="2773704"/>
                <a:ext cx="337226" cy="208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9382</xdr:colOff>
      <xdr:row>16</xdr:row>
      <xdr:rowOff>6937</xdr:rowOff>
    </xdr:from>
    <xdr:to>
      <xdr:col>12</xdr:col>
      <xdr:colOff>190500</xdr:colOff>
      <xdr:row>17</xdr:row>
      <xdr:rowOff>31749</xdr:rowOff>
    </xdr:to>
    <xdr:grpSp>
      <xdr:nvGrpSpPr>
        <xdr:cNvPr id="5" name="グループ化 4">
          <a:extLst>
            <a:ext uri="{FF2B5EF4-FFF2-40B4-BE49-F238E27FC236}">
              <a16:creationId xmlns:a16="http://schemas.microsoft.com/office/drawing/2014/main" id="{00000000-0008-0000-0000-00000B000000}"/>
            </a:ext>
          </a:extLst>
        </xdr:cNvPr>
        <xdr:cNvGrpSpPr/>
      </xdr:nvGrpSpPr>
      <xdr:grpSpPr>
        <a:xfrm>
          <a:off x="3012558" y="2898055"/>
          <a:ext cx="4977236" cy="248929"/>
          <a:chOff x="3025632" y="2991437"/>
          <a:chExt cx="4827201" cy="257645"/>
        </a:xfrm>
      </xdr:grpSpPr>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330644" y="2991437"/>
            <a:ext cx="4522189" cy="25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基準不適合土壌が地下水位より</a:t>
            </a:r>
            <a:r>
              <a:rPr kumimoji="1" lang="ja-JP" altLang="en-US" sz="1100" b="1" u="sng">
                <a:solidFill>
                  <a:schemeClr val="tx1"/>
                </a:solidFill>
                <a:effectLst/>
                <a:latin typeface="+mn-lt"/>
                <a:ea typeface="+mn-ea"/>
                <a:cs typeface="+mn-cs"/>
              </a:rPr>
              <a:t>深い</a:t>
            </a:r>
            <a:r>
              <a:rPr kumimoji="1" lang="ja-JP" altLang="ja-JP" sz="1100" b="1" u="sng">
                <a:solidFill>
                  <a:schemeClr val="tx1"/>
                </a:solidFill>
                <a:effectLst/>
                <a:latin typeface="+mn-lt"/>
                <a:ea typeface="+mn-ea"/>
                <a:cs typeface="+mn-cs"/>
              </a:rPr>
              <a:t>位置</a:t>
            </a:r>
            <a:r>
              <a:rPr kumimoji="1" lang="ja-JP" altLang="ja-JP" sz="1100">
                <a:solidFill>
                  <a:schemeClr val="tx1"/>
                </a:solidFill>
                <a:effectLst/>
                <a:latin typeface="+mn-lt"/>
                <a:ea typeface="+mn-ea"/>
                <a:cs typeface="+mn-cs"/>
              </a:rPr>
              <a:t>に分布している</a:t>
            </a:r>
            <a:endParaRPr lang="ja-JP" altLang="ja-JP" sz="1200">
              <a:effectLst/>
            </a:endParaRPr>
          </a:p>
        </xdr:txBody>
      </xdr:sp>
      <mc:AlternateContent xmlns:mc="http://schemas.openxmlformats.org/markup-compatibility/2006">
        <mc:Choice xmlns:a14="http://schemas.microsoft.com/office/drawing/2010/main" Requires="a14">
          <xdr:sp macro="" textlink="">
            <xdr:nvSpPr>
              <xdr:cNvPr id="11266" name="Option Button 10" hidden="1">
                <a:extLst>
                  <a:ext uri="{63B3BB69-23CF-44E3-9099-C40C66FF867C}">
                    <a14:compatExt spid="_x0000_s11266"/>
                  </a:ext>
                </a:extLst>
              </xdr:cNvPr>
              <xdr:cNvSpPr/>
            </xdr:nvSpPr>
            <xdr:spPr bwMode="auto">
              <a:xfrm>
                <a:off x="3025632" y="3008545"/>
                <a:ext cx="325280" cy="221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9381</xdr:colOff>
      <xdr:row>17</xdr:row>
      <xdr:rowOff>4991</xdr:rowOff>
    </xdr:from>
    <xdr:to>
      <xdr:col>12</xdr:col>
      <xdr:colOff>190499</xdr:colOff>
      <xdr:row>18</xdr:row>
      <xdr:rowOff>21166</xdr:rowOff>
    </xdr:to>
    <xdr:grpSp>
      <xdr:nvGrpSpPr>
        <xdr:cNvPr id="8" name="グループ化 7">
          <a:extLst>
            <a:ext uri="{FF2B5EF4-FFF2-40B4-BE49-F238E27FC236}">
              <a16:creationId xmlns:a16="http://schemas.microsoft.com/office/drawing/2014/main" id="{00000000-0008-0000-0000-00000A000000}"/>
            </a:ext>
          </a:extLst>
        </xdr:cNvPr>
        <xdr:cNvGrpSpPr/>
      </xdr:nvGrpSpPr>
      <xdr:grpSpPr>
        <a:xfrm>
          <a:off x="3012557" y="3120226"/>
          <a:ext cx="4977236" cy="240293"/>
          <a:chOff x="3025631" y="3222324"/>
          <a:chExt cx="4827201" cy="249009"/>
        </a:xfrm>
      </xdr:grpSpPr>
      <mc:AlternateContent xmlns:mc="http://schemas.openxmlformats.org/markup-compatibility/2006">
        <mc:Choice xmlns:a14="http://schemas.microsoft.com/office/drawing/2010/main" Requires="a14">
          <xdr:sp macro="" textlink="">
            <xdr:nvSpPr>
              <xdr:cNvPr id="11267" name="Option Button 11" hidden="1">
                <a:extLst>
                  <a:ext uri="{63B3BB69-23CF-44E3-9099-C40C66FF867C}">
                    <a14:compatExt spid="_x0000_s11267"/>
                  </a:ext>
                </a:extLst>
              </xdr:cNvPr>
              <xdr:cNvSpPr/>
            </xdr:nvSpPr>
            <xdr:spPr bwMode="auto">
              <a:xfrm>
                <a:off x="3025631" y="3243616"/>
                <a:ext cx="335906" cy="213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12000000}"/>
              </a:ext>
            </a:extLst>
          </xdr:cNvPr>
          <xdr:cNvSpPr txBox="1"/>
        </xdr:nvSpPr>
        <xdr:spPr>
          <a:xfrm>
            <a:off x="3342055" y="3222324"/>
            <a:ext cx="4510777" cy="24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36000" bIns="36000" rtlCol="0" anchor="ctr" anchorCtr="0">
            <a:noAutofit/>
          </a:bodyPr>
          <a:lstStyle/>
          <a:p>
            <a:r>
              <a:rPr kumimoji="1" lang="ja-JP" altLang="ja-JP" sz="1100">
                <a:solidFill>
                  <a:schemeClr val="tx1"/>
                </a:solidFill>
                <a:effectLst/>
                <a:latin typeface="+mn-lt"/>
                <a:ea typeface="+mn-ea"/>
                <a:cs typeface="+mn-cs"/>
              </a:rPr>
              <a:t>基準不適合土壌が地下水位</a:t>
            </a:r>
            <a:r>
              <a:rPr kumimoji="1" lang="ja-JP" altLang="en-US" sz="1100">
                <a:solidFill>
                  <a:schemeClr val="tx1"/>
                </a:solidFill>
                <a:effectLst/>
                <a:latin typeface="+mn-lt"/>
                <a:ea typeface="+mn-ea"/>
                <a:cs typeface="+mn-cs"/>
              </a:rPr>
              <a:t>を、</a:t>
            </a:r>
            <a:r>
              <a:rPr kumimoji="1" lang="ja-JP" altLang="en-US" sz="1100" b="1" u="sng">
                <a:solidFill>
                  <a:schemeClr val="tx1"/>
                </a:solidFill>
                <a:effectLst/>
                <a:latin typeface="+mn-lt"/>
                <a:ea typeface="+mn-ea"/>
                <a:cs typeface="+mn-cs"/>
              </a:rPr>
              <a:t>またいだ位置</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分布している</a:t>
            </a:r>
            <a:endParaRPr lang="ja-JP" altLang="ja-JP" sz="1200">
              <a:effectLst/>
            </a:endParaRPr>
          </a:p>
        </xdr:txBody>
      </xdr:sp>
    </xdr:grpSp>
    <xdr:clientData/>
  </xdr:twoCellAnchor>
  <xdr:oneCellAnchor>
    <xdr:from>
      <xdr:col>17</xdr:col>
      <xdr:colOff>158749</xdr:colOff>
      <xdr:row>41</xdr:row>
      <xdr:rowOff>148167</xdr:rowOff>
    </xdr:from>
    <xdr:ext cx="1347922" cy="344225"/>
    <xdr:sp macro="" textlink="">
      <xdr:nvSpPr>
        <xdr:cNvPr id="11" name="額縁 10">
          <a:hlinkClick xmlns:r="http://schemas.openxmlformats.org/officeDocument/2006/relationships" r:id="rId1"/>
          <a:extLst>
            <a:ext uri="{FF2B5EF4-FFF2-40B4-BE49-F238E27FC236}">
              <a16:creationId xmlns:a16="http://schemas.microsoft.com/office/drawing/2014/main" id="{00000000-0008-0000-0000-000014000000}"/>
            </a:ext>
          </a:extLst>
        </xdr:cNvPr>
        <xdr:cNvSpPr/>
      </xdr:nvSpPr>
      <xdr:spPr>
        <a:xfrm>
          <a:off x="10464799" y="8406342"/>
          <a:ext cx="1347922" cy="344225"/>
        </a:xfrm>
        <a:prstGeom prst="bevel">
          <a:avLst/>
        </a:prstGeom>
        <a:solidFill>
          <a:srgbClr val="00B0F0"/>
        </a:solidFill>
        <a:ln w="12700" cap="flat" cmpd="sng" algn="ctr">
          <a:solidFill>
            <a:srgbClr val="4F81BD">
              <a:shade val="50000"/>
            </a:srgbClr>
          </a:solidFill>
          <a:prstDash val="solid"/>
        </a:ln>
        <a:effectLst/>
      </xdr:spPr>
      <xdr:txBody>
        <a:bodyPr vertOverflow="clip" horzOverflow="clip" wrap="square"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印刷用レポートへ</a:t>
          </a:r>
        </a:p>
      </xdr:txBody>
    </xdr:sp>
    <xdr:clientData fPrintsWithSheet="0"/>
  </xdr:oneCellAnchor>
  <xdr:twoCellAnchor>
    <xdr:from>
      <xdr:col>16</xdr:col>
      <xdr:colOff>338667</xdr:colOff>
      <xdr:row>31</xdr:row>
      <xdr:rowOff>170390</xdr:rowOff>
    </xdr:from>
    <xdr:to>
      <xdr:col>19</xdr:col>
      <xdr:colOff>37437</xdr:colOff>
      <xdr:row>32</xdr:row>
      <xdr:rowOff>211666</xdr:rowOff>
    </xdr:to>
    <xdr:sp macro="" textlink="">
      <xdr:nvSpPr>
        <xdr:cNvPr id="12" name="額縁 11">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10139892" y="6533090"/>
          <a:ext cx="1441845" cy="269876"/>
        </a:xfrm>
        <a:prstGeom prst="bevel">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000">
              <a:solidFill>
                <a:sysClr val="windowText" lastClr="000000"/>
              </a:solidFill>
            </a:rPr>
            <a:t>パラメーター 一覧表</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50.xml"/><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8.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20.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22.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24.bin"/><Relationship Id="rId6" Type="http://schemas.openxmlformats.org/officeDocument/2006/relationships/ctrlProp" Target="../ctrlProps/ctrlProp62.xml"/><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26.bin"/><Relationship Id="rId6" Type="http://schemas.openxmlformats.org/officeDocument/2006/relationships/ctrlProp" Target="../ctrlProps/ctrlProp65.xml"/><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28.bin"/><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30.bin"/><Relationship Id="rId6" Type="http://schemas.openxmlformats.org/officeDocument/2006/relationships/ctrlProp" Target="../ctrlProps/ctrlProp71.xml"/><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32.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34.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36.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38.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40.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42.bin"/><Relationship Id="rId6" Type="http://schemas.openxmlformats.org/officeDocument/2006/relationships/ctrlProp" Target="../ctrlProps/ctrlProp89.xml"/><Relationship Id="rId5" Type="http://schemas.openxmlformats.org/officeDocument/2006/relationships/ctrlProp" Target="../ctrlProps/ctrlProp88.xml"/><Relationship Id="rId4" Type="http://schemas.openxmlformats.org/officeDocument/2006/relationships/ctrlProp" Target="../ctrlProps/ctrlProp87.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44.bin"/><Relationship Id="rId6" Type="http://schemas.openxmlformats.org/officeDocument/2006/relationships/ctrlProp" Target="../ctrlProps/ctrlProp92.xml"/><Relationship Id="rId5" Type="http://schemas.openxmlformats.org/officeDocument/2006/relationships/ctrlProp" Target="../ctrlProps/ctrlProp91.xml"/><Relationship Id="rId4" Type="http://schemas.openxmlformats.org/officeDocument/2006/relationships/ctrlProp" Target="../ctrlProps/ctrlProp90.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46.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48.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50.bin"/><Relationship Id="rId6" Type="http://schemas.openxmlformats.org/officeDocument/2006/relationships/ctrlProp" Target="../ctrlProps/ctrlProp101.xml"/><Relationship Id="rId5" Type="http://schemas.openxmlformats.org/officeDocument/2006/relationships/ctrlProp" Target="../ctrlProps/ctrlProp100.xml"/><Relationship Id="rId4" Type="http://schemas.openxmlformats.org/officeDocument/2006/relationships/ctrlProp" Target="../ctrlProps/ctrlProp99.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52.bin"/><Relationship Id="rId6" Type="http://schemas.openxmlformats.org/officeDocument/2006/relationships/ctrlProp" Target="../ctrlProps/ctrlProp104.xml"/><Relationship Id="rId5" Type="http://schemas.openxmlformats.org/officeDocument/2006/relationships/ctrlProp" Target="../ctrlProps/ctrlProp103.xml"/><Relationship Id="rId4" Type="http://schemas.openxmlformats.org/officeDocument/2006/relationships/ctrlProp" Target="../ctrlProps/ctrlProp102.xm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54.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56.bin"/><Relationship Id="rId6" Type="http://schemas.openxmlformats.org/officeDocument/2006/relationships/ctrlProp" Target="../ctrlProps/ctrlProp110.xml"/><Relationship Id="rId5" Type="http://schemas.openxmlformats.org/officeDocument/2006/relationships/ctrlProp" Target="../ctrlProps/ctrlProp109.xml"/><Relationship Id="rId4" Type="http://schemas.openxmlformats.org/officeDocument/2006/relationships/ctrlProp" Target="../ctrlProps/ctrlProp108.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showRowColHeaders="0" tabSelected="1" zoomScale="80" zoomScaleNormal="80" zoomScaleSheetLayoutView="70" workbookViewId="0">
      <selection activeCell="E8" sqref="E8"/>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26" width="9" style="149" hidden="1" customWidth="1"/>
    <col min="27" max="30" width="9" style="149"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12.75" customHeight="1" thickBot="1" x14ac:dyDescent="0.25">
      <c r="B3" s="155"/>
      <c r="C3" s="484"/>
      <c r="D3" s="484"/>
      <c r="E3" s="155"/>
      <c r="F3" s="155"/>
      <c r="G3" s="155"/>
      <c r="H3" s="155"/>
      <c r="I3" s="155"/>
      <c r="J3" s="155"/>
      <c r="K3" s="155"/>
      <c r="L3" s="155"/>
      <c r="M3" s="155"/>
      <c r="N3" s="155"/>
      <c r="O3" s="155"/>
      <c r="P3" s="155"/>
      <c r="Q3" s="155"/>
      <c r="R3" s="155"/>
      <c r="S3" s="155"/>
      <c r="T3" s="155"/>
      <c r="U3" s="445" t="s">
        <v>388</v>
      </c>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446"/>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363</v>
      </c>
      <c r="D8" s="205"/>
      <c r="E8" s="286" t="s">
        <v>372</v>
      </c>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500" t="s">
        <v>387</v>
      </c>
      <c r="D9" s="501"/>
      <c r="E9" s="444">
        <v>43595</v>
      </c>
      <c r="F9" s="197"/>
      <c r="G9" s="197"/>
      <c r="H9" s="197"/>
      <c r="I9" s="197"/>
      <c r="J9" s="197"/>
      <c r="K9" s="197"/>
      <c r="L9" s="197"/>
      <c r="M9" s="198"/>
      <c r="N9" s="189"/>
      <c r="O9" s="199"/>
      <c r="P9" s="207" t="s">
        <v>23</v>
      </c>
      <c r="Q9" s="206" t="s">
        <v>26</v>
      </c>
      <c r="R9" s="466">
        <f>IF(VLOOKUP($X$23,'パラメーター 一覧表'!$A$20:$F$49,5)=0,VLOOKUP($X$23,'パラメーター 一覧表'!$A$20:$H$49,7)*R29,VLOOKUP($X$23,'パラメーター 一覧表'!$A$20:$F$49,5))</f>
        <v>11</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364</v>
      </c>
      <c r="D10" s="205"/>
      <c r="E10" s="444">
        <v>43600</v>
      </c>
      <c r="F10" s="197"/>
      <c r="G10" s="197"/>
      <c r="H10" s="197"/>
      <c r="I10" s="197"/>
      <c r="J10" s="197"/>
      <c r="K10" s="197"/>
      <c r="L10" s="197"/>
      <c r="M10" s="198"/>
      <c r="N10" s="189"/>
      <c r="O10" s="199"/>
      <c r="P10" s="207" t="s">
        <v>172</v>
      </c>
      <c r="Q10" s="206" t="s">
        <v>34</v>
      </c>
      <c r="R10" s="46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t="s">
        <v>377</v>
      </c>
      <c r="F11" s="486"/>
      <c r="G11" s="486"/>
      <c r="H11" s="486"/>
      <c r="I11" s="486"/>
      <c r="J11" s="486"/>
      <c r="K11" s="487"/>
      <c r="L11" s="209"/>
      <c r="M11" s="198"/>
      <c r="N11" s="189"/>
      <c r="O11" s="199"/>
      <c r="P11" s="207" t="s">
        <v>24</v>
      </c>
      <c r="Q11" s="206" t="s">
        <v>198</v>
      </c>
      <c r="R11" s="46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440" t="s">
        <v>378</v>
      </c>
      <c r="D12" s="205"/>
      <c r="E12" s="485" t="s">
        <v>379</v>
      </c>
      <c r="F12" s="486"/>
      <c r="G12" s="486"/>
      <c r="H12" s="486"/>
      <c r="I12" s="486"/>
      <c r="J12" s="486"/>
      <c r="K12" s="487"/>
      <c r="L12" s="205"/>
      <c r="M12" s="198"/>
      <c r="N12" s="189"/>
      <c r="O12" s="199"/>
      <c r="P12" s="207" t="s">
        <v>60</v>
      </c>
      <c r="Q12" s="206" t="s">
        <v>62</v>
      </c>
      <c r="R12" s="46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6" t="s">
        <v>63</v>
      </c>
      <c r="R13" s="46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6"/>
      <c r="R14" s="466">
        <f>VLOOKUP($X$23,'パラメーター 一覧表'!$A$20:$J$49,10)</f>
        <v>0.01</v>
      </c>
      <c r="S14" s="208" t="s">
        <v>28</v>
      </c>
      <c r="T14" s="203"/>
      <c r="U14" s="190"/>
      <c r="W14" s="4" t="s">
        <v>219</v>
      </c>
      <c r="X14" s="183">
        <f>IF(Y14=1,2,1)</f>
        <v>1</v>
      </c>
      <c r="Y14" s="184">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6"/>
      <c r="R15" s="466">
        <f>VLOOKUP($X$23,'パラメーター 一覧表'!$A$20:$K$49,11)</f>
        <v>0.3</v>
      </c>
      <c r="S15" s="208" t="s">
        <v>28</v>
      </c>
      <c r="T15" s="203"/>
      <c r="U15" s="190"/>
      <c r="X15" s="149">
        <v>1</v>
      </c>
      <c r="Y15" s="149" t="s">
        <v>432</v>
      </c>
      <c r="AA15"/>
      <c r="AB15"/>
      <c r="AC15"/>
      <c r="AD15"/>
      <c r="AE15"/>
      <c r="AF15"/>
      <c r="AG15"/>
      <c r="AH15"/>
      <c r="AI15"/>
      <c r="AJ15"/>
      <c r="AK15"/>
      <c r="AL15"/>
      <c r="AM15"/>
      <c r="AN15"/>
      <c r="AO15"/>
      <c r="AP15"/>
      <c r="AQ15"/>
      <c r="AR15"/>
      <c r="AS15"/>
    </row>
    <row r="16" spans="1:46" ht="24" hidden="1" customHeight="1" x14ac:dyDescent="0.2">
      <c r="A16" s="179"/>
      <c r="B16" s="189"/>
      <c r="C16" s="214"/>
      <c r="D16" s="488" t="s">
        <v>283</v>
      </c>
      <c r="E16" s="489"/>
      <c r="F16" s="310"/>
      <c r="G16" s="311"/>
      <c r="H16" s="312"/>
      <c r="I16" s="312"/>
      <c r="J16" s="312"/>
      <c r="K16" s="312"/>
      <c r="L16" s="312"/>
      <c r="M16" s="314"/>
      <c r="N16" s="427"/>
      <c r="O16" s="199"/>
      <c r="P16" s="320"/>
      <c r="Q16" s="202"/>
      <c r="R16" s="321"/>
      <c r="S16" s="202"/>
      <c r="T16" s="203"/>
      <c r="U16" s="190"/>
      <c r="X16" s="149">
        <v>2</v>
      </c>
      <c r="Y16" s="323" t="s">
        <v>433</v>
      </c>
      <c r="AA16"/>
      <c r="AB16"/>
      <c r="AC16"/>
      <c r="AD16"/>
      <c r="AE16"/>
      <c r="AF16"/>
      <c r="AG16"/>
      <c r="AH16"/>
      <c r="AI16"/>
      <c r="AJ16"/>
      <c r="AK16"/>
      <c r="AL16"/>
      <c r="AM16"/>
      <c r="AN16"/>
      <c r="AO16"/>
      <c r="AP16"/>
      <c r="AQ16"/>
      <c r="AR16"/>
      <c r="AS16"/>
    </row>
    <row r="17" spans="1:45" ht="24" hidden="1" customHeight="1" x14ac:dyDescent="0.2">
      <c r="A17" s="179"/>
      <c r="B17" s="189"/>
      <c r="C17" s="308"/>
      <c r="D17" s="490"/>
      <c r="E17" s="491"/>
      <c r="F17" s="314"/>
      <c r="G17" s="309"/>
      <c r="H17" s="189"/>
      <c r="I17" s="189"/>
      <c r="J17" s="189"/>
      <c r="K17" s="189"/>
      <c r="L17" s="189"/>
      <c r="M17" s="314"/>
      <c r="N17" s="427"/>
      <c r="O17" s="199"/>
      <c r="P17" s="320"/>
      <c r="Q17" s="202"/>
      <c r="R17" s="321"/>
      <c r="S17" s="202"/>
      <c r="T17" s="203"/>
      <c r="U17" s="190"/>
      <c r="X17" s="149">
        <v>3</v>
      </c>
      <c r="Y17" s="323" t="s">
        <v>434</v>
      </c>
      <c r="AA17"/>
      <c r="AB17"/>
      <c r="AC17"/>
      <c r="AD17"/>
      <c r="AE17"/>
      <c r="AF17"/>
      <c r="AG17"/>
      <c r="AH17"/>
      <c r="AI17"/>
      <c r="AJ17"/>
      <c r="AK17"/>
      <c r="AL17"/>
      <c r="AM17"/>
      <c r="AN17"/>
      <c r="AO17"/>
      <c r="AP17"/>
      <c r="AQ17"/>
      <c r="AR17"/>
      <c r="AS17"/>
    </row>
    <row r="18" spans="1:45" ht="24" hidden="1" customHeight="1" x14ac:dyDescent="0.2">
      <c r="A18" s="179"/>
      <c r="B18" s="189"/>
      <c r="C18" s="308"/>
      <c r="D18" s="492"/>
      <c r="E18" s="493"/>
      <c r="F18" s="314"/>
      <c r="G18" s="309"/>
      <c r="H18" s="189"/>
      <c r="I18" s="318"/>
      <c r="J18" s="318"/>
      <c r="K18" s="318"/>
      <c r="L18" s="318"/>
      <c r="M18" s="314"/>
      <c r="N18" s="427"/>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494" t="s">
        <v>274</v>
      </c>
      <c r="G19" s="494"/>
      <c r="H19" s="494"/>
      <c r="I19" s="189"/>
      <c r="J19" s="189"/>
      <c r="K19" s="189"/>
      <c r="L19" s="189"/>
      <c r="M19" s="203"/>
      <c r="N19" s="189"/>
      <c r="O19" s="340"/>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437</v>
      </c>
      <c r="D20" s="495" t="s">
        <v>18</v>
      </c>
      <c r="E20" s="496"/>
      <c r="F20" s="497" t="s">
        <v>392</v>
      </c>
      <c r="G20" s="498"/>
      <c r="H20" s="499"/>
      <c r="I20" s="181"/>
      <c r="J20" s="215"/>
      <c r="K20" s="205"/>
      <c r="L20" s="205"/>
      <c r="M20" s="198"/>
      <c r="N20" s="189"/>
      <c r="O20" s="340"/>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340"/>
      <c r="T21" s="203"/>
      <c r="U21" s="190"/>
      <c r="AA21"/>
      <c r="AB21"/>
      <c r="AC21"/>
      <c r="AD21"/>
      <c r="AE21"/>
      <c r="AF21"/>
      <c r="AG21"/>
      <c r="AN21"/>
      <c r="AO21"/>
      <c r="AP21"/>
      <c r="AQ21"/>
      <c r="AR21"/>
      <c r="AS21"/>
    </row>
    <row r="22" spans="1:45" ht="18" customHeight="1" thickBot="1" x14ac:dyDescent="0.25">
      <c r="A22" s="179"/>
      <c r="B22" s="189"/>
      <c r="C22" s="507" t="s">
        <v>438</v>
      </c>
      <c r="D22" s="508" t="s">
        <v>302</v>
      </c>
      <c r="E22" s="508"/>
      <c r="F22" s="509" t="s">
        <v>306</v>
      </c>
      <c r="G22" s="510"/>
      <c r="H22" s="511"/>
      <c r="I22" s="512" t="s">
        <v>268</v>
      </c>
      <c r="J22" s="513"/>
      <c r="K22" s="514"/>
      <c r="L22" s="181"/>
      <c r="M22" s="342"/>
      <c r="N22" s="205"/>
      <c r="O22" s="199" t="s">
        <v>189</v>
      </c>
      <c r="P22" s="217" t="s">
        <v>13</v>
      </c>
      <c r="Q22" s="218"/>
      <c r="R22" s="202"/>
      <c r="S22" s="202"/>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19" t="s">
        <v>14</v>
      </c>
      <c r="Q23" s="219" t="s">
        <v>7</v>
      </c>
      <c r="R23" s="219" t="s">
        <v>15</v>
      </c>
      <c r="S23" s="219" t="s">
        <v>5</v>
      </c>
      <c r="T23" s="203"/>
      <c r="U23" s="190"/>
      <c r="V23" s="215">
        <f>VLOOKUP(I22,W59:X63,2,FALSE)</f>
        <v>3</v>
      </c>
      <c r="X23" s="215">
        <f>VLOOKUP(F20,Y59:Z88,2,FALSE)</f>
        <v>202</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471">
        <v>8</v>
      </c>
      <c r="K24" s="368" t="s">
        <v>43</v>
      </c>
      <c r="L24" s="329" t="s">
        <v>273</v>
      </c>
      <c r="M24" s="203"/>
      <c r="N24" s="189"/>
      <c r="O24" s="199"/>
      <c r="P24" s="220" t="s">
        <v>2</v>
      </c>
      <c r="Q24" s="219" t="s">
        <v>8</v>
      </c>
      <c r="R24" s="467">
        <f>VLOOKUP($V$23,'パラメーター 一覧表'!$A$7:$F$11,3)</f>
        <v>3.0000000000000001E-5</v>
      </c>
      <c r="S24" s="221" t="s">
        <v>6</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v>
      </c>
      <c r="Q25" s="219" t="s">
        <v>9</v>
      </c>
      <c r="R25" s="468">
        <f>VLOOKUP($V$23,'パラメーター 一覧表'!$A$7:$F$11,4)</f>
        <v>0.3</v>
      </c>
      <c r="S25" s="221" t="s">
        <v>284</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439</v>
      </c>
      <c r="D26" s="518" t="s">
        <v>69</v>
      </c>
      <c r="E26" s="519"/>
      <c r="F26" s="522" t="s">
        <v>15</v>
      </c>
      <c r="G26" s="523"/>
      <c r="H26" s="223" t="s">
        <v>5</v>
      </c>
      <c r="I26" s="205"/>
      <c r="J26" s="215"/>
      <c r="K26" s="215"/>
      <c r="L26" s="215"/>
      <c r="M26" s="203"/>
      <c r="N26" s="189"/>
      <c r="O26" s="199"/>
      <c r="P26" s="220" t="s">
        <v>160</v>
      </c>
      <c r="Q26" s="219" t="s">
        <v>163</v>
      </c>
      <c r="R26" s="468">
        <f>VLOOKUP($V$23,'パラメーター 一覧表'!$A$7:$G$11,5)</f>
        <v>0.4</v>
      </c>
      <c r="S26" s="221" t="s">
        <v>284</v>
      </c>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24">
        <f>1/200</f>
        <v>5.0000000000000001E-3</v>
      </c>
      <c r="G27" s="525"/>
      <c r="H27" s="368" t="s">
        <v>16</v>
      </c>
      <c r="I27" s="215"/>
      <c r="J27" s="215"/>
      <c r="K27" s="215"/>
      <c r="L27" s="215"/>
      <c r="M27" s="203"/>
      <c r="N27" s="189"/>
      <c r="O27" s="199"/>
      <c r="P27" s="220" t="s">
        <v>4</v>
      </c>
      <c r="Q27" s="219" t="s">
        <v>10</v>
      </c>
      <c r="R27" s="468">
        <f>VLOOKUP($V$23,'パラメーター 一覧表'!$A$7:$F$11,6)</f>
        <v>2.7</v>
      </c>
      <c r="S27" s="221" t="s">
        <v>285</v>
      </c>
      <c r="T27" s="203"/>
      <c r="U27" s="190"/>
      <c r="V27" s="282">
        <v>4</v>
      </c>
      <c r="W27" s="265" t="s">
        <v>279</v>
      </c>
      <c r="X27" s="253">
        <v>999</v>
      </c>
      <c r="Y27" s="254" t="s">
        <v>351</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c r="P28" s="220" t="s">
        <v>11</v>
      </c>
      <c r="Q28" s="219" t="s">
        <v>12</v>
      </c>
      <c r="R28" s="469">
        <f>VLOOKUP($V$23,'パラメーター 一覧表'!$A$7:$G$11,7)</f>
        <v>1.62</v>
      </c>
      <c r="S28" s="221" t="s">
        <v>285</v>
      </c>
      <c r="T28" s="203"/>
      <c r="U28" s="190"/>
      <c r="V28" s="283">
        <v>5</v>
      </c>
      <c r="W28" s="284" t="s">
        <v>312</v>
      </c>
      <c r="X28" s="255">
        <v>101</v>
      </c>
      <c r="Y28" s="256" t="s">
        <v>224</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0" t="s">
        <v>37</v>
      </c>
      <c r="Q29" s="461" t="s">
        <v>35</v>
      </c>
      <c r="R29" s="468">
        <f>VLOOKUP($V$23,'パラメーター 一覧表'!$A$7:$H$11,8)</f>
        <v>1E-3</v>
      </c>
      <c r="S29" s="220" t="s">
        <v>36</v>
      </c>
      <c r="T29" s="203"/>
      <c r="U29" s="190"/>
      <c r="V29" s="266"/>
      <c r="W29" s="181"/>
      <c r="X29" s="255">
        <v>103</v>
      </c>
      <c r="Y29" s="256" t="s">
        <v>389</v>
      </c>
      <c r="Z29" s="249"/>
      <c r="AA29"/>
      <c r="AB29"/>
      <c r="AC29"/>
      <c r="AD29"/>
      <c r="AE29"/>
      <c r="AF29"/>
      <c r="AR29"/>
      <c r="AS29"/>
    </row>
    <row r="30" spans="1:45" ht="18" customHeight="1" thickBot="1" x14ac:dyDescent="0.25">
      <c r="A30" s="179"/>
      <c r="B30" s="189"/>
      <c r="C30" s="216" t="s">
        <v>440</v>
      </c>
      <c r="D30" s="502" t="s">
        <v>197</v>
      </c>
      <c r="E30" s="503"/>
      <c r="F30" s="504" t="str">
        <f>IF($Y$14=4,"PRB通過後の観測点から評価地点までの距離","評価地点までの距離")</f>
        <v>評価地点までの距離</v>
      </c>
      <c r="G30" s="505"/>
      <c r="H30" s="506"/>
      <c r="I30" s="327" t="s">
        <v>294</v>
      </c>
      <c r="J30" s="471">
        <v>50</v>
      </c>
      <c r="K30" s="368" t="s">
        <v>79</v>
      </c>
      <c r="L30" s="325"/>
      <c r="M30" s="203"/>
      <c r="N30" s="189"/>
      <c r="O30" s="322"/>
      <c r="P30" s="155"/>
      <c r="Q30" s="155"/>
      <c r="R30" s="155"/>
      <c r="S30" s="155"/>
      <c r="T30" s="203"/>
      <c r="U30" s="190"/>
      <c r="X30" s="255">
        <v>104</v>
      </c>
      <c r="Y30" s="256" t="s">
        <v>326</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322"/>
      <c r="P31" s="155"/>
      <c r="Q31" s="155"/>
      <c r="R31" s="155"/>
      <c r="S31" s="155"/>
      <c r="T31" s="203"/>
      <c r="U31" s="190"/>
      <c r="V31" s="181"/>
      <c r="W31" s="181"/>
      <c r="X31" s="255">
        <v>105</v>
      </c>
      <c r="Y31" s="256" t="s">
        <v>229</v>
      </c>
      <c r="Z31" s="249"/>
      <c r="AA31"/>
      <c r="AB31"/>
      <c r="AC31"/>
      <c r="AD31"/>
      <c r="AE31"/>
      <c r="AF31"/>
      <c r="AR31"/>
      <c r="AS31"/>
    </row>
    <row r="32" spans="1:45" ht="18" customHeight="1" x14ac:dyDescent="0.2">
      <c r="A32" s="179"/>
      <c r="B32" s="189"/>
      <c r="C32" s="507" t="s">
        <v>441</v>
      </c>
      <c r="D32" s="533" t="s">
        <v>293</v>
      </c>
      <c r="E32" s="533"/>
      <c r="F32" s="504" t="s">
        <v>291</v>
      </c>
      <c r="G32" s="505"/>
      <c r="H32" s="506"/>
      <c r="I32" s="327" t="s">
        <v>295</v>
      </c>
      <c r="J32" s="472">
        <v>30</v>
      </c>
      <c r="K32" s="368" t="s">
        <v>43</v>
      </c>
      <c r="L32" s="325"/>
      <c r="M32" s="203"/>
      <c r="N32" s="189"/>
      <c r="O32" s="199" t="s">
        <v>190</v>
      </c>
      <c r="P32" s="226" t="s">
        <v>191</v>
      </c>
      <c r="Q32" s="227"/>
      <c r="R32" s="202"/>
      <c r="S32" s="202"/>
      <c r="T32" s="203"/>
      <c r="U32" s="190"/>
      <c r="V32" s="181"/>
      <c r="W32" s="181"/>
      <c r="X32" s="255">
        <v>106</v>
      </c>
      <c r="Y32" s="256" t="s">
        <v>390</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473">
        <v>15</v>
      </c>
      <c r="K33" s="368" t="s">
        <v>43</v>
      </c>
      <c r="L33" s="325"/>
      <c r="M33" s="203"/>
      <c r="N33" s="189"/>
      <c r="O33" s="199"/>
      <c r="P33" s="228" t="s">
        <v>14</v>
      </c>
      <c r="Q33" s="228" t="s">
        <v>7</v>
      </c>
      <c r="R33" s="228" t="s">
        <v>15</v>
      </c>
      <c r="S33" s="228" t="s">
        <v>5</v>
      </c>
      <c r="T33" s="203"/>
      <c r="U33" s="190"/>
      <c r="V33" s="181"/>
      <c r="W33" s="181"/>
      <c r="X33" s="255">
        <v>112</v>
      </c>
      <c r="Y33" s="256" t="s">
        <v>242</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199"/>
      <c r="P34" s="229" t="s">
        <v>192</v>
      </c>
      <c r="Q34" s="462" t="s">
        <v>193</v>
      </c>
      <c r="R34" s="470">
        <f>+計算シート１!G39</f>
        <v>15.768000000000002</v>
      </c>
      <c r="S34" s="230" t="s">
        <v>194</v>
      </c>
      <c r="T34" s="203"/>
      <c r="U34" s="190"/>
      <c r="V34" s="181"/>
      <c r="W34" s="181"/>
      <c r="X34" s="255">
        <v>102</v>
      </c>
      <c r="Y34" s="256" t="s">
        <v>322</v>
      </c>
      <c r="Z34" s="249"/>
      <c r="AA34"/>
      <c r="AB34"/>
      <c r="AC34"/>
      <c r="AD34"/>
      <c r="AE34"/>
      <c r="AF34"/>
      <c r="AG34"/>
      <c r="AR34"/>
      <c r="AS34"/>
    </row>
    <row r="35" spans="1:46" ht="18.649999999999999" customHeight="1" thickBot="1" x14ac:dyDescent="0.25">
      <c r="A35" s="179"/>
      <c r="B35" s="189"/>
      <c r="C35" s="216" t="str">
        <f>IF($X$14=1,"","⑦")</f>
        <v/>
      </c>
      <c r="D35" s="534" t="str">
        <f>IF($X$14=1,"","かん養量")</f>
        <v/>
      </c>
      <c r="E35" s="534"/>
      <c r="F35" s="535" t="str">
        <f>IF($X$14=1,"","地下水かん養量")</f>
        <v/>
      </c>
      <c r="G35" s="536"/>
      <c r="H35" s="537"/>
      <c r="I35" s="324" t="s">
        <v>298</v>
      </c>
      <c r="J35" s="480"/>
      <c r="K35" s="304" t="str">
        <f>IF($X$14=1,"","mm/day")</f>
        <v/>
      </c>
      <c r="L35" s="326" t="str">
        <f>IF($X$14=1,"","原則1mm/day")</f>
        <v/>
      </c>
      <c r="M35" s="203"/>
      <c r="N35" s="189"/>
      <c r="O35" s="199"/>
      <c r="P35" s="229" t="s">
        <v>195</v>
      </c>
      <c r="Q35" s="463" t="s">
        <v>196</v>
      </c>
      <c r="R35" s="349">
        <f>計算シート１!G41</f>
        <v>60.400000000000006</v>
      </c>
      <c r="S35" s="230"/>
      <c r="T35" s="203"/>
      <c r="U35" s="190"/>
      <c r="X35" s="255">
        <v>111</v>
      </c>
      <c r="Y35" s="256" t="s">
        <v>240</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233"/>
      <c r="P36" s="234"/>
      <c r="Q36" s="234"/>
      <c r="R36" s="234"/>
      <c r="S36" s="234"/>
      <c r="T36" s="212"/>
      <c r="U36" s="190"/>
      <c r="X36" s="255">
        <v>108</v>
      </c>
      <c r="Y36" s="256" t="s">
        <v>234</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109</v>
      </c>
      <c r="Y37" s="256" t="s">
        <v>236</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110</v>
      </c>
      <c r="Y38" s="256" t="s">
        <v>238</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244</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202</v>
      </c>
      <c r="Y40" s="256" t="s">
        <v>392</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 (一物質)'!$Y$14=1,"目標土壌溶出量",IF('入力シート (一物質)'!$Y$14=2,"目標土壌溶出量",IF('入力シート (一物質)'!$Y$14=3,"目標土壌溶出量","PRB通過後の観測点における目標地下水濃度")))</f>
        <v>目標土壌溶出量</v>
      </c>
      <c r="E41" s="527"/>
      <c r="F41" s="527"/>
      <c r="G41" s="528">
        <f>IF($X$14=1,IF(計算シート１!E83&gt;10000,"&gt;10,000",+計算シート１!E83),計算シート１!E74)</f>
        <v>0.14000000000000001</v>
      </c>
      <c r="H41" s="528"/>
      <c r="I41" s="244" t="s">
        <v>28</v>
      </c>
      <c r="J41" s="155"/>
      <c r="K41" s="529">
        <f>+計算シート１!E83</f>
        <v>0.14000000000000001</v>
      </c>
      <c r="L41" s="530"/>
      <c r="M41" s="530"/>
      <c r="N41" s="531" t="s">
        <v>28</v>
      </c>
      <c r="O41" s="532"/>
      <c r="P41" s="299"/>
      <c r="Q41" s="155"/>
      <c r="R41" s="189"/>
      <c r="S41" s="189"/>
      <c r="T41" s="189"/>
      <c r="U41" s="190"/>
      <c r="X41" s="257">
        <v>205</v>
      </c>
      <c r="Y41" s="258" t="s">
        <v>393</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c r="J42" s="155"/>
      <c r="K42" s="297"/>
      <c r="L42" s="297"/>
      <c r="M42" s="297"/>
      <c r="N42" s="298"/>
      <c r="O42" s="298"/>
      <c r="P42" s="299"/>
      <c r="Q42" s="155"/>
      <c r="R42" s="189"/>
      <c r="S42" s="189"/>
      <c r="T42" s="189"/>
      <c r="U42" s="190"/>
      <c r="X42" s="257">
        <v>209</v>
      </c>
      <c r="Y42" s="258" t="s">
        <v>398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203</v>
      </c>
      <c r="Y43" s="256" t="s">
        <v>399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208</v>
      </c>
      <c r="Y44" s="256" t="s">
        <v>404</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201</v>
      </c>
      <c r="Y45" s="256" t="s">
        <v>405</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204</v>
      </c>
      <c r="Y46" s="256" t="s">
        <v>410</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206</v>
      </c>
      <c r="Y47" s="256" t="s">
        <v>416</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207</v>
      </c>
      <c r="Y48" s="256" t="s">
        <v>420</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255</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303</v>
      </c>
      <c r="Y50" s="256" t="s">
        <v>259</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302</v>
      </c>
      <c r="Y51" s="256" t="s">
        <v>257</v>
      </c>
      <c r="Z51" s="249"/>
      <c r="AA51"/>
      <c r="AB51"/>
      <c r="AC51"/>
      <c r="AD51"/>
      <c r="AE51"/>
      <c r="AF51"/>
      <c r="AG51"/>
      <c r="AH51"/>
      <c r="AI51"/>
      <c r="AJ51"/>
      <c r="AK51"/>
      <c r="AL51"/>
      <c r="AM51"/>
      <c r="AN51"/>
      <c r="AO51"/>
      <c r="AP51"/>
      <c r="AQ51"/>
      <c r="AR51"/>
      <c r="AS51"/>
    </row>
    <row r="52" spans="1:45" x14ac:dyDescent="0.2">
      <c r="X52" s="255">
        <v>304</v>
      </c>
      <c r="Y52" s="256" t="s">
        <v>391</v>
      </c>
      <c r="Z52" s="249"/>
      <c r="AA52"/>
      <c r="AB52"/>
      <c r="AC52"/>
      <c r="AD52"/>
      <c r="AE52"/>
      <c r="AF52"/>
      <c r="AG52"/>
      <c r="AH52"/>
      <c r="AI52"/>
      <c r="AJ52"/>
      <c r="AK52"/>
      <c r="AL52"/>
      <c r="AM52"/>
      <c r="AN52"/>
      <c r="AO52"/>
      <c r="AP52"/>
      <c r="AQ52"/>
      <c r="AR52"/>
      <c r="AS52"/>
    </row>
    <row r="53" spans="1:45" ht="17" thickBot="1" x14ac:dyDescent="0.25">
      <c r="X53" s="259">
        <v>305</v>
      </c>
      <c r="Y53" s="260" t="s">
        <v>425</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374</v>
      </c>
      <c r="Z64" s="256">
        <v>304</v>
      </c>
      <c r="AA64"/>
      <c r="AB64"/>
      <c r="AC64"/>
      <c r="AD64"/>
      <c r="AE64"/>
      <c r="AF64"/>
      <c r="AG64"/>
      <c r="AH64"/>
      <c r="AI64"/>
      <c r="AJ64"/>
      <c r="AK64"/>
      <c r="AL64"/>
      <c r="AM64"/>
      <c r="AN64"/>
      <c r="AO64"/>
      <c r="AP64"/>
      <c r="AQ64"/>
      <c r="AR64"/>
      <c r="AS64"/>
    </row>
    <row r="65" spans="25:45" x14ac:dyDescent="0.2">
      <c r="Y65" s="263" t="s">
        <v>392</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398</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352</v>
      </c>
      <c r="Z70" s="256">
        <v>106</v>
      </c>
      <c r="AA70" s="249"/>
    </row>
    <row r="71" spans="25:45" x14ac:dyDescent="0.2">
      <c r="Y71" s="255" t="s">
        <v>256</v>
      </c>
      <c r="Z71" s="256">
        <v>301</v>
      </c>
      <c r="AA71" s="249"/>
    </row>
    <row r="72" spans="25:45" x14ac:dyDescent="0.2">
      <c r="Y72" s="263" t="s">
        <v>400</v>
      </c>
      <c r="Z72" s="264">
        <v>203</v>
      </c>
      <c r="AA72" s="250"/>
    </row>
    <row r="73" spans="25:45" x14ac:dyDescent="0.2">
      <c r="Y73" s="255" t="s">
        <v>404</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406</v>
      </c>
      <c r="Z82" s="256">
        <v>201</v>
      </c>
      <c r="AA82" s="249"/>
    </row>
    <row r="83" spans="25:27" x14ac:dyDescent="0.2">
      <c r="Y83" s="255" t="s">
        <v>411</v>
      </c>
      <c r="Z83" s="256">
        <v>204</v>
      </c>
      <c r="AA83" s="249"/>
    </row>
    <row r="84" spans="25:27" x14ac:dyDescent="0.2">
      <c r="Y84" s="255" t="s">
        <v>417</v>
      </c>
      <c r="Z84" s="256">
        <v>206</v>
      </c>
      <c r="AA84" s="249"/>
    </row>
    <row r="85" spans="25:27" x14ac:dyDescent="0.2">
      <c r="Y85" s="255" t="s">
        <v>245</v>
      </c>
      <c r="Z85" s="256">
        <v>113</v>
      </c>
      <c r="AA85" s="249"/>
    </row>
    <row r="86" spans="25:27" x14ac:dyDescent="0.2">
      <c r="Y86" s="255" t="s">
        <v>421</v>
      </c>
      <c r="Z86" s="256">
        <v>207</v>
      </c>
      <c r="AA86" s="249"/>
    </row>
    <row r="87" spans="25:27" x14ac:dyDescent="0.2">
      <c r="Y87" s="255" t="s">
        <v>426</v>
      </c>
      <c r="Z87" s="256">
        <v>305</v>
      </c>
      <c r="AA87" s="249"/>
    </row>
    <row r="88" spans="25:27" ht="17" thickBot="1" x14ac:dyDescent="0.25">
      <c r="Y88" s="259" t="s">
        <v>394</v>
      </c>
      <c r="Z88" s="260">
        <v>205</v>
      </c>
      <c r="AA88" s="249"/>
    </row>
  </sheetData>
  <sheetProtection password="CC6D" sheet="1" objects="1" scenarios="1"/>
  <mergeCells count="32">
    <mergeCell ref="D41:F41"/>
    <mergeCell ref="G41:H41"/>
    <mergeCell ref="K41:M41"/>
    <mergeCell ref="N41:O41"/>
    <mergeCell ref="C32:C33"/>
    <mergeCell ref="D32:E33"/>
    <mergeCell ref="F32:H32"/>
    <mergeCell ref="F33:H33"/>
    <mergeCell ref="D35:E35"/>
    <mergeCell ref="F35:H35"/>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C1:D3"/>
    <mergeCell ref="E11:K11"/>
    <mergeCell ref="D16:E18"/>
    <mergeCell ref="F19:H19"/>
    <mergeCell ref="D20:E20"/>
    <mergeCell ref="F20:H20"/>
    <mergeCell ref="E12:K12"/>
    <mergeCell ref="C9:D9"/>
  </mergeCells>
  <phoneticPr fontId="4"/>
  <conditionalFormatting sqref="Y13">
    <cfRule type="containsBlanks" dxfId="420" priority="3">
      <formula>LEN(TRIM(Y13))=0</formula>
    </cfRule>
  </conditionalFormatting>
  <conditionalFormatting sqref="D35:H35 J35:L35">
    <cfRule type="expression" dxfId="419" priority="2">
      <formula>$X$14=1</formula>
    </cfRule>
  </conditionalFormatting>
  <conditionalFormatting sqref="I35">
    <cfRule type="expression" dxfId="418" priority="1">
      <formula>$X$14=1</formula>
    </cfRule>
  </conditionalFormatting>
  <dataValidations disablePrompts="1" count="3">
    <dataValidation type="list" allowBlank="1" showInputMessage="1" showErrorMessage="1" sqref="I22:K22">
      <formula1>$W$24:$W$28</formula1>
    </dataValidation>
    <dataValidation type="decimal" allowBlank="1" showInputMessage="1" showErrorMessage="1" errorTitle="入力値確認" error="入力可能な厚さは、_x000a_0～10ｍの範囲です。" sqref="J24">
      <formula1>0</formula1>
      <formula2>10</formula2>
    </dataValidation>
    <dataValidation type="list" showInputMessage="1" showErrorMessage="1" errorTitle="物質種類の選択" error="プルダウンリストから選択して下さい" sqref="F20:H20">
      <formula1>$Y$28:$Y$53</formula1>
    </dataValidation>
  </dataValidations>
  <printOptions horizontalCentered="1"/>
  <pageMargins left="0.19685039370078741" right="0.19685039370078741" top="0" bottom="0" header="0" footer="0"/>
  <pageSetup paperSize="9" scale="8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Option Button 9">
              <controlPr defaultSize="0" autoFill="0" autoLine="0" autoPict="0">
                <anchor moveWithCells="1">
                  <from>
                    <xdr:col>5</xdr:col>
                    <xdr:colOff>12700</xdr:colOff>
                    <xdr:row>15</xdr:row>
                    <xdr:rowOff>0</xdr:rowOff>
                  </from>
                  <to>
                    <xdr:col>6</xdr:col>
                    <xdr:colOff>0</xdr:colOff>
                    <xdr:row>15</xdr:row>
                    <xdr:rowOff>0</xdr:rowOff>
                  </to>
                </anchor>
              </controlPr>
            </control>
          </mc:Choice>
        </mc:AlternateContent>
        <mc:AlternateContent xmlns:mc="http://schemas.openxmlformats.org/markup-compatibility/2006">
          <mc:Choice Requires="x14">
            <control shapeId="64514" r:id="rId5" name="Option Button 10">
              <controlPr defaultSize="0" autoFill="0" autoLine="0" autoPict="0">
                <anchor moveWithCells="1">
                  <from>
                    <xdr:col>5</xdr:col>
                    <xdr:colOff>12700</xdr:colOff>
                    <xdr:row>15</xdr:row>
                    <xdr:rowOff>0</xdr:rowOff>
                  </from>
                  <to>
                    <xdr:col>5</xdr:col>
                    <xdr:colOff>342900</xdr:colOff>
                    <xdr:row>15</xdr:row>
                    <xdr:rowOff>0</xdr:rowOff>
                  </to>
                </anchor>
              </controlPr>
            </control>
          </mc:Choice>
        </mc:AlternateContent>
        <mc:AlternateContent xmlns:mc="http://schemas.openxmlformats.org/markup-compatibility/2006">
          <mc:Choice Requires="x14">
            <control shapeId="64515" r:id="rId6" name="Option Button 11">
              <controlPr defaultSize="0" autoFill="0" autoLine="0" autoPict="0">
                <anchor moveWithCells="1">
                  <from>
                    <xdr:col>5</xdr:col>
                    <xdr:colOff>12700</xdr:colOff>
                    <xdr:row>15</xdr:row>
                    <xdr:rowOff>0</xdr:rowOff>
                  </from>
                  <to>
                    <xdr:col>5</xdr:col>
                    <xdr:colOff>355600</xdr:colOff>
                    <xdr:row>15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+入力シート_クロロエチレン!F20</f>
        <v>クロロエチレン</v>
      </c>
      <c r="D6" s="721"/>
      <c r="E6" s="722"/>
      <c r="F6" s="17"/>
      <c r="G6" s="18" t="str">
        <f>$C$6</f>
        <v>クロロエチレン</v>
      </c>
      <c r="L6" s="102"/>
      <c r="M6" s="15"/>
      <c r="N6" s="15"/>
      <c r="O6" s="15"/>
      <c r="P6" s="15"/>
      <c r="Q6" s="15"/>
      <c r="R6" s="15"/>
      <c r="S6" s="15"/>
    </row>
    <row r="7" spans="2:19" ht="13.5" thickBot="1" x14ac:dyDescent="0.25">
      <c r="B7" s="19" t="s">
        <v>87</v>
      </c>
      <c r="C7" s="723" t="s">
        <v>88</v>
      </c>
      <c r="D7" s="724"/>
      <c r="E7" s="725"/>
      <c r="F7" s="20" t="s">
        <v>89</v>
      </c>
      <c r="G7" s="21">
        <f>+入力シート_クロロエチレン!R14</f>
        <v>2E-3</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++入力シート_クロロエチレン!J32</f>
        <v>30</v>
      </c>
      <c r="L9" s="102"/>
      <c r="M9" s="15"/>
      <c r="N9" s="15"/>
      <c r="O9" s="15"/>
      <c r="P9" s="15"/>
      <c r="Q9" s="15"/>
      <c r="R9" s="15"/>
      <c r="S9" s="15"/>
    </row>
    <row r="10" spans="2:19" ht="18" x14ac:dyDescent="0.2">
      <c r="B10" s="26" t="s">
        <v>91</v>
      </c>
      <c r="C10" s="686" t="s">
        <v>72</v>
      </c>
      <c r="D10" s="689"/>
      <c r="E10" s="687"/>
      <c r="F10" s="362" t="s">
        <v>43</v>
      </c>
      <c r="G10" s="28">
        <f>+入力シート_クロロエチレン!J33</f>
        <v>15</v>
      </c>
      <c r="L10" s="102"/>
      <c r="M10" s="15"/>
      <c r="N10" s="15"/>
      <c r="O10" s="15"/>
      <c r="P10" s="15"/>
      <c r="Q10" s="15"/>
      <c r="R10" s="15"/>
      <c r="S10" s="15"/>
    </row>
    <row r="11" spans="2:19" ht="18" x14ac:dyDescent="0.2">
      <c r="B11" s="26" t="s">
        <v>73</v>
      </c>
      <c r="C11" s="686" t="s">
        <v>74</v>
      </c>
      <c r="D11" s="689"/>
      <c r="E11" s="687"/>
      <c r="F11" s="362" t="s">
        <v>43</v>
      </c>
      <c r="G11" s="28">
        <f>+入力シート_クロロエチレン!J24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入力シート_クロロエチレン!J30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入力シート_クロロエチレン!R20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入力シート_クロロエチレン!F27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入力シート_クロロエチレン!R21</f>
        <v>0.3</v>
      </c>
      <c r="L23" s="70"/>
      <c r="M23" s="15"/>
      <c r="N23" s="15"/>
      <c r="O23" s="15"/>
      <c r="P23" s="15"/>
      <c r="Q23" s="15"/>
      <c r="R23" s="15"/>
      <c r="S23" s="15"/>
    </row>
    <row r="24" spans="1:19" ht="18" x14ac:dyDescent="0.2">
      <c r="A24" s="37"/>
      <c r="B24" s="26" t="s">
        <v>163</v>
      </c>
      <c r="C24" s="688" t="s">
        <v>177</v>
      </c>
      <c r="D24" s="689"/>
      <c r="E24" s="687"/>
      <c r="F24" s="362" t="s">
        <v>51</v>
      </c>
      <c r="G24" s="28">
        <f>入力シート_クロロエチレン!R22</f>
        <v>0.4</v>
      </c>
      <c r="L24" s="70"/>
      <c r="M24" s="15"/>
      <c r="N24" s="15"/>
      <c r="O24" s="15"/>
      <c r="P24" s="15"/>
      <c r="Q24" s="15"/>
      <c r="R24" s="15"/>
      <c r="S24" s="15"/>
    </row>
    <row r="25" spans="1:19" ht="21" x14ac:dyDescent="0.2">
      <c r="A25" s="37"/>
      <c r="B25" s="26" t="s">
        <v>101</v>
      </c>
      <c r="C25" s="686" t="s">
        <v>46</v>
      </c>
      <c r="D25" s="689"/>
      <c r="E25" s="687"/>
      <c r="F25" s="362" t="s">
        <v>43</v>
      </c>
      <c r="G25" s="43">
        <f>入力シート_クロロエチレン!R12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入力シート_クロロエチレン!R13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入力シート_クロロエチレン!R13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入力シート_クロロエチレン!R11</f>
        <v>7.9</v>
      </c>
      <c r="L29" s="70"/>
      <c r="M29" s="15"/>
      <c r="N29" s="15"/>
      <c r="O29" s="15"/>
      <c r="P29" s="15"/>
      <c r="Q29" s="15"/>
      <c r="R29" s="15"/>
      <c r="S29" s="15"/>
    </row>
    <row r="30" spans="1:19" ht="14" x14ac:dyDescent="0.3">
      <c r="A30" s="37"/>
      <c r="B30" s="49" t="s">
        <v>107</v>
      </c>
      <c r="C30" s="692" t="s">
        <v>53</v>
      </c>
      <c r="D30" s="692"/>
      <c r="E30" s="692"/>
      <c r="F30" s="364" t="s">
        <v>108</v>
      </c>
      <c r="G30" s="51">
        <f>入力シート_クロロエチレン!R9</f>
        <v>1.9E-2</v>
      </c>
      <c r="L30" s="70"/>
      <c r="M30" s="15"/>
      <c r="N30" s="15"/>
      <c r="O30" s="15"/>
      <c r="P30" s="15"/>
      <c r="Q30" s="15"/>
      <c r="R30" s="15"/>
      <c r="S30" s="15"/>
    </row>
    <row r="31" spans="1:19" ht="18" x14ac:dyDescent="0.4">
      <c r="A31" s="37"/>
      <c r="B31" s="52" t="s">
        <v>109</v>
      </c>
      <c r="C31" s="692" t="s">
        <v>110</v>
      </c>
      <c r="D31" s="692"/>
      <c r="E31" s="692"/>
      <c r="F31" s="364" t="s">
        <v>111</v>
      </c>
      <c r="G31" s="51">
        <f>IF(A31="",入力シート_クロロエチレン!R10,A31)</f>
        <v>19</v>
      </c>
      <c r="L31" s="70"/>
      <c r="M31" s="15"/>
      <c r="N31" s="15"/>
      <c r="O31" s="15"/>
      <c r="P31" s="15"/>
      <c r="Q31" s="15"/>
      <c r="R31" s="15"/>
      <c r="S31" s="15"/>
    </row>
    <row r="32" spans="1:19" ht="18.5" thickBot="1" x14ac:dyDescent="0.45">
      <c r="A32" s="37"/>
      <c r="B32" s="53" t="s">
        <v>112</v>
      </c>
      <c r="C32" s="695" t="s">
        <v>113</v>
      </c>
      <c r="D32" s="695"/>
      <c r="E32" s="695"/>
      <c r="F32" s="365" t="s">
        <v>114</v>
      </c>
      <c r="G32" s="55">
        <f>入力シート_クロロエチレン!R25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入力シート_クロロエチレン!R24</f>
        <v>1.62</v>
      </c>
      <c r="L34" s="15"/>
      <c r="M34" s="15"/>
      <c r="N34" s="15"/>
      <c r="O34" s="15"/>
      <c r="P34" s="15"/>
      <c r="Q34" s="15"/>
      <c r="R34" s="15"/>
      <c r="S34" s="15"/>
    </row>
    <row r="35" spans="1:19" ht="18" x14ac:dyDescent="0.2">
      <c r="B35" s="26" t="s">
        <v>118</v>
      </c>
      <c r="C35" s="686" t="s">
        <v>119</v>
      </c>
      <c r="D35" s="689"/>
      <c r="E35" s="687"/>
      <c r="F35" s="362" t="s">
        <v>120</v>
      </c>
      <c r="G35" s="43">
        <f>+入力シート_クロロエチレン!J35*0.365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8.7740149437967749E-2</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1.1026</v>
      </c>
    </row>
    <row r="42" spans="1:19" ht="18.5" thickBot="1" x14ac:dyDescent="0.25">
      <c r="B42" s="61" t="s">
        <v>131</v>
      </c>
      <c r="R42" s="60"/>
    </row>
    <row r="43" spans="1:19" x14ac:dyDescent="0.2">
      <c r="B43" s="12"/>
      <c r="C43" s="697" t="s">
        <v>132</v>
      </c>
      <c r="D43" s="698"/>
      <c r="E43" s="698"/>
      <c r="F43" s="367"/>
      <c r="G43" s="125">
        <f>SQRT(1+4*$G38*G25/$G39)</f>
        <v>1.0541768710667556</v>
      </c>
      <c r="H43" s="122"/>
      <c r="I43" s="122"/>
      <c r="N43" s="60"/>
      <c r="R43" s="47"/>
    </row>
    <row r="44" spans="1:19" x14ac:dyDescent="0.2">
      <c r="B44" s="62" t="s">
        <v>133</v>
      </c>
      <c r="C44" s="687"/>
      <c r="D44" s="692"/>
      <c r="E44" s="692"/>
      <c r="F44" s="63"/>
      <c r="G44" s="126">
        <f>EXP(G14/(2*G25)*(1-G43))</f>
        <v>0.7627046940349419</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0.73685293014803466</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0.73685293014803466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クロロエチレン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0.73685293014803466</v>
      </c>
      <c r="H63" s="139"/>
      <c r="I63" s="139"/>
      <c r="J63" s="79"/>
      <c r="K63" s="84"/>
      <c r="L63" s="691"/>
      <c r="M63" s="691"/>
      <c r="N63" s="691"/>
      <c r="O63" s="74"/>
      <c r="P63" s="85"/>
      <c r="Q63" s="47"/>
    </row>
    <row r="64" spans="1:17" ht="16.5" x14ac:dyDescent="0.2">
      <c r="B64" s="87"/>
      <c r="C64" s="693" t="s">
        <v>150</v>
      </c>
      <c r="D64" s="693"/>
      <c r="E64" s="693"/>
      <c r="F64" s="88">
        <f>+G64/G63*F63</f>
        <v>2.7142458395302813E-3</v>
      </c>
      <c r="G64" s="83">
        <f>+G7</f>
        <v>2E-3</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2.7000000000000001E-3</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9.3131057905464443E-2</v>
      </c>
      <c r="H68" s="139"/>
      <c r="I68" s="139"/>
      <c r="J68" s="79"/>
    </row>
    <row r="69" spans="2:10" x14ac:dyDescent="0.2">
      <c r="B69" s="81"/>
      <c r="C69" s="686" t="s">
        <v>150</v>
      </c>
      <c r="D69" s="687"/>
      <c r="E69" s="364" t="s">
        <v>153</v>
      </c>
      <c r="F69" s="86">
        <f>+G69/G68*F68</f>
        <v>2.7142458395302813E-3</v>
      </c>
      <c r="G69" s="83">
        <f>+G64</f>
        <v>2E-3</v>
      </c>
      <c r="H69" s="139"/>
      <c r="I69" s="139"/>
      <c r="J69" s="79"/>
    </row>
    <row r="70" spans="2:10" x14ac:dyDescent="0.2">
      <c r="B70" s="81"/>
      <c r="C70" s="683" t="s">
        <v>154</v>
      </c>
      <c r="D70" s="683"/>
      <c r="E70" s="93">
        <f>+F69/F68*E68</f>
        <v>2.1475113082363585E-2</v>
      </c>
      <c r="F70" s="47"/>
      <c r="G70" s="47"/>
      <c r="H70" s="47"/>
      <c r="I70" s="47"/>
      <c r="J70" s="79"/>
    </row>
    <row r="71" spans="2:10" x14ac:dyDescent="0.2">
      <c r="B71" s="81"/>
      <c r="C71" s="683" t="s">
        <v>155</v>
      </c>
      <c r="D71" s="683"/>
      <c r="E71" s="83">
        <f>入力シート_クロロエチレン!R15</f>
        <v>0.02</v>
      </c>
      <c r="F71" s="47"/>
      <c r="G71" s="47"/>
      <c r="H71" s="47"/>
      <c r="I71" s="47"/>
      <c r="J71" s="79"/>
    </row>
    <row r="72" spans="2:10" ht="13.5" thickBot="1" x14ac:dyDescent="0.25">
      <c r="B72" s="81"/>
      <c r="C72" s="47"/>
      <c r="D72" s="47"/>
      <c r="E72" s="74">
        <f>IF(E70&gt;10,ROUNDDOWN(E70,0),IF(E70&gt;1,ROUNDDOWN(E70,1),IF(E70&gt;0.1,ROUNDDOWN(E70,2),IF(E70&gt;0.01,ROUNDDOWN(E70,3),ROUNDDOWN(E70,4)))))</f>
        <v>2.1000000000000001E-2</v>
      </c>
      <c r="F72" s="47"/>
      <c r="G72" s="47"/>
      <c r="H72" s="47"/>
      <c r="I72" s="47"/>
      <c r="J72" s="79"/>
    </row>
    <row r="73" spans="2:10" ht="13.5" thickBot="1" x14ac:dyDescent="0.25">
      <c r="B73" s="81"/>
      <c r="C73" s="684" t="s">
        <v>156</v>
      </c>
      <c r="D73" s="685"/>
      <c r="E73" s="109">
        <f>IF(E70&gt;E71,E71,E70)</f>
        <v>0.02</v>
      </c>
      <c r="F73" s="95" t="s">
        <v>157</v>
      </c>
      <c r="G73" s="47"/>
      <c r="H73" s="47"/>
      <c r="I73" s="47"/>
      <c r="J73" s="79"/>
    </row>
    <row r="74" spans="2:10" x14ac:dyDescent="0.2">
      <c r="B74" s="81"/>
      <c r="C74" s="47"/>
      <c r="D74" s="47"/>
      <c r="E74" s="74">
        <f>IF(E73&gt;10,ROUNDDOWN(E73,0),IF(E73&gt;1,ROUNDDOWN(E73,1),IF(E73&gt;0.1,ROUNDDOWN(E73,2),IF(E73&gt;0.01,ROUNDDOWN(E73,3),ROUNDDOWN(E73,4)))))</f>
        <v>0.02</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0.73685293014803466</v>
      </c>
      <c r="H77" s="139"/>
      <c r="I77" s="139"/>
      <c r="J77" s="79"/>
    </row>
    <row r="78" spans="2:10" x14ac:dyDescent="0.2">
      <c r="B78" s="81"/>
      <c r="C78" s="686" t="s">
        <v>150</v>
      </c>
      <c r="D78" s="687"/>
      <c r="E78" s="364" t="s">
        <v>153</v>
      </c>
      <c r="F78" s="86">
        <f>+F64</f>
        <v>2.7142458395302813E-3</v>
      </c>
      <c r="G78" s="83">
        <f>+G69</f>
        <v>2E-3</v>
      </c>
      <c r="H78" s="139"/>
      <c r="I78" s="139"/>
      <c r="J78" s="79"/>
    </row>
    <row r="79" spans="2:10" x14ac:dyDescent="0.2">
      <c r="B79" s="81"/>
      <c r="C79" s="683" t="s">
        <v>154</v>
      </c>
      <c r="D79" s="683"/>
      <c r="E79" s="93">
        <f>+F78/F77*E77</f>
        <v>2.7142458395302813E-3</v>
      </c>
      <c r="F79" s="47"/>
      <c r="G79" s="47"/>
      <c r="H79" s="47"/>
      <c r="I79" s="47"/>
      <c r="J79" s="79"/>
    </row>
    <row r="80" spans="2:10" x14ac:dyDescent="0.2">
      <c r="B80" s="81"/>
      <c r="C80" s="683" t="s">
        <v>155</v>
      </c>
      <c r="D80" s="683"/>
      <c r="E80" s="83">
        <f>+E71</f>
        <v>0.02</v>
      </c>
      <c r="F80" s="47"/>
      <c r="G80" s="47"/>
      <c r="H80" s="47"/>
      <c r="I80" s="47"/>
      <c r="J80" s="79"/>
    </row>
    <row r="81" spans="2:10" ht="13.5" thickBot="1" x14ac:dyDescent="0.25">
      <c r="B81" s="81"/>
      <c r="C81" s="47"/>
      <c r="D81" s="47"/>
      <c r="E81" s="74">
        <f>IF(E79&gt;10,ROUNDDOWN(E79,0),IF(E79&gt;1,ROUNDDOWN(E79,1),IF(E79&gt;0.1,ROUNDDOWN(E79,2),IF(E79&gt;0.01,ROUNDDOWN(E79,3),ROUNDDOWN(E79,4)))))</f>
        <v>2.7000000000000001E-3</v>
      </c>
      <c r="F81" s="47"/>
      <c r="G81" s="47"/>
      <c r="H81" s="47"/>
      <c r="I81" s="47"/>
      <c r="J81" s="79"/>
    </row>
    <row r="82" spans="2:10" ht="13.5" thickBot="1" x14ac:dyDescent="0.25">
      <c r="B82" s="81"/>
      <c r="C82" s="684" t="s">
        <v>156</v>
      </c>
      <c r="D82" s="685"/>
      <c r="E82" s="109">
        <f>IF(E79&gt;E80,E80,E79)</f>
        <v>2.7142458395302813E-3</v>
      </c>
      <c r="F82" s="95" t="s">
        <v>157</v>
      </c>
      <c r="G82" s="47"/>
      <c r="H82" s="47"/>
      <c r="I82" s="47"/>
      <c r="J82" s="79"/>
    </row>
    <row r="83" spans="2:10" x14ac:dyDescent="0.2">
      <c r="B83" s="81"/>
      <c r="C83" s="47"/>
      <c r="D83" s="47"/>
      <c r="E83" s="74">
        <f>IF(E82&gt;10,ROUNDDOWN(E82,0),IF(E82&gt;1,ROUNDDOWN(E82,1),IF(E82&gt;0.1,ROUNDDOWN(E82,2),IF(E82&gt;0.01,ROUNDDOWN(E82,3),ROUNDDOWN(E82,4)))))</f>
        <v>2.7000000000000001E-3</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386" priority="5">
      <formula>$A41&gt;0</formula>
    </cfRule>
  </conditionalFormatting>
  <conditionalFormatting sqref="G30">
    <cfRule type="expression" dxfId="385" priority="4">
      <formula>$A$29&gt;0</formula>
    </cfRule>
  </conditionalFormatting>
  <conditionalFormatting sqref="G31">
    <cfRule type="expression" dxfId="384" priority="3">
      <formula>$A$30&gt;0</formula>
    </cfRule>
  </conditionalFormatting>
  <conditionalFormatting sqref="G32">
    <cfRule type="expression" dxfId="383" priority="2">
      <formula>$A$31&gt;0</formula>
    </cfRule>
  </conditionalFormatting>
  <conditionalFormatting sqref="G9">
    <cfRule type="expression" dxfId="382" priority="6">
      <formula>#REF!&gt;0</formula>
    </cfRule>
  </conditionalFormatting>
  <conditionalFormatting sqref="G11 G25:I27">
    <cfRule type="expression" dxfId="381" priority="7">
      <formula>#REF!&gt;0</formula>
    </cfRule>
  </conditionalFormatting>
  <conditionalFormatting sqref="G18">
    <cfRule type="expression" dxfId="380" priority="8">
      <formula>#REF!&gt;0</formula>
    </cfRule>
  </conditionalFormatting>
  <conditionalFormatting sqref="G22:G24">
    <cfRule type="expression" dxfId="379" priority="9">
      <formula>$A$25&gt;0</formula>
    </cfRule>
  </conditionalFormatting>
  <conditionalFormatting sqref="G23:G24">
    <cfRule type="expression" dxfId="378" priority="10">
      <formula>#REF!&gt;0</formula>
    </cfRule>
  </conditionalFormatting>
  <conditionalFormatting sqref="G21">
    <cfRule type="expression" dxfId="377" priority="11">
      <formula>$A$23&gt;0</formula>
    </cfRule>
  </conditionalFormatting>
  <conditionalFormatting sqref="G12">
    <cfRule type="expression" dxfId="376" priority="1">
      <formula>#REF!&gt;0</formula>
    </cfRule>
  </conditionalFormatting>
  <conditionalFormatting sqref="G34">
    <cfRule type="expression" dxfId="375" priority="12">
      <formula>#REF!&gt;0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1.2E-2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12</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4.5</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0.02</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0.2</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324</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102</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+計算シート_ジクロロメタン!G39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計算シート_ジクロロメタン!G41</f>
        <v>1.0648</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ジクロロメタン!$Y$14=1,"目標土壌溶出量濃度",IF(入力シート_ジクロロメタン!$Y$14=2,"目標土壌溶出量濃度",IF(入力シート_ジクロロメタン!$Y$14=3,"目標土壌溶出量濃度","PRB通過後の観測点における目標地下水濃度")))</f>
        <v>目標土壌溶出量濃度</v>
      </c>
      <c r="E41" s="527"/>
      <c r="F41" s="527"/>
      <c r="G41" s="528">
        <f>IF($X$14=1,IF(計算シート_ジクロロメタン!E83&gt;10000,"&gt;10,000",+計算シート_ジクロロメタン!E83),計算シート_ジクロロメタン!E74)</f>
        <v>3.3000000000000002E-2</v>
      </c>
      <c r="H41" s="528"/>
      <c r="I41" s="244" t="s">
        <v>28</v>
      </c>
      <c r="J41" s="155"/>
      <c r="K41" s="529">
        <f>+計算シート_ジクロロメタン!E83</f>
        <v>3.3000000000000002E-2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374" priority="3">
      <formula>LEN(TRIM(Y13))=0</formula>
    </cfRule>
  </conditionalFormatting>
  <conditionalFormatting sqref="D35:H35 J35:L35">
    <cfRule type="expression" dxfId="373" priority="2">
      <formula>$X$14=1</formula>
    </cfRule>
  </conditionalFormatting>
  <conditionalFormatting sqref="I35">
    <cfRule type="expression" dxfId="372"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9218"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9219"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+入力シート_ジクロロメタン!F20</f>
        <v>ジクロロメタン</v>
      </c>
      <c r="D6" s="721"/>
      <c r="E6" s="722"/>
      <c r="F6" s="17"/>
      <c r="G6" s="18" t="str">
        <f>$C$6</f>
        <v>ジクロロメタン</v>
      </c>
      <c r="L6" s="102"/>
      <c r="M6" s="15"/>
      <c r="N6" s="15"/>
      <c r="O6" s="15"/>
      <c r="P6" s="15"/>
      <c r="Q6" s="15"/>
      <c r="R6" s="15"/>
      <c r="S6" s="15"/>
    </row>
    <row r="7" spans="2:19" ht="13.5" thickBot="1" x14ac:dyDescent="0.25">
      <c r="B7" s="19" t="s">
        <v>87</v>
      </c>
      <c r="C7" s="723" t="s">
        <v>88</v>
      </c>
      <c r="D7" s="724"/>
      <c r="E7" s="725"/>
      <c r="F7" s="20" t="s">
        <v>89</v>
      </c>
      <c r="G7" s="21">
        <f>+入力シート_ジクロロメタン!R14</f>
        <v>0.02</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++入力シート_ジクロロメタン!J32</f>
        <v>30</v>
      </c>
      <c r="L9" s="102"/>
      <c r="M9" s="15"/>
      <c r="N9" s="15"/>
      <c r="O9" s="15"/>
      <c r="P9" s="15"/>
      <c r="Q9" s="15"/>
      <c r="R9" s="15"/>
      <c r="S9" s="15"/>
    </row>
    <row r="10" spans="2:19" ht="18" x14ac:dyDescent="0.2">
      <c r="B10" s="26" t="s">
        <v>91</v>
      </c>
      <c r="C10" s="686" t="s">
        <v>72</v>
      </c>
      <c r="D10" s="689"/>
      <c r="E10" s="687"/>
      <c r="F10" s="362" t="s">
        <v>43</v>
      </c>
      <c r="G10" s="28">
        <f>+入力シート_ジクロロメタン!J33</f>
        <v>15</v>
      </c>
      <c r="L10" s="102"/>
      <c r="M10" s="15"/>
      <c r="N10" s="15"/>
      <c r="O10" s="15"/>
      <c r="P10" s="15"/>
      <c r="Q10" s="15"/>
      <c r="R10" s="15"/>
      <c r="S10" s="15"/>
    </row>
    <row r="11" spans="2:19" ht="18" x14ac:dyDescent="0.2">
      <c r="B11" s="26" t="s">
        <v>73</v>
      </c>
      <c r="C11" s="686" t="s">
        <v>74</v>
      </c>
      <c r="D11" s="689"/>
      <c r="E11" s="687"/>
      <c r="F11" s="362" t="s">
        <v>43</v>
      </c>
      <c r="G11" s="28">
        <f>+入力シート_ジクロロメタン!J24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入力シート_ジクロロメタン!J30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入力シート_ジクロロメタン!R20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入力シート_ジクロロメタン!F27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入力シート_ジクロロメタン!R21</f>
        <v>0.3</v>
      </c>
      <c r="L23" s="70"/>
      <c r="M23" s="15"/>
      <c r="N23" s="15"/>
      <c r="O23" s="15"/>
      <c r="P23" s="15"/>
      <c r="Q23" s="15"/>
      <c r="R23" s="15"/>
      <c r="S23" s="15"/>
    </row>
    <row r="24" spans="1:19" ht="18" x14ac:dyDescent="0.2">
      <c r="A24" s="37"/>
      <c r="B24" s="26" t="s">
        <v>163</v>
      </c>
      <c r="C24" s="688" t="s">
        <v>177</v>
      </c>
      <c r="D24" s="689"/>
      <c r="E24" s="687"/>
      <c r="F24" s="362" t="s">
        <v>51</v>
      </c>
      <c r="G24" s="28">
        <f>入力シート_ジクロロメタン!R22</f>
        <v>0.4</v>
      </c>
      <c r="L24" s="70"/>
      <c r="M24" s="15"/>
      <c r="N24" s="15"/>
      <c r="O24" s="15"/>
      <c r="P24" s="15"/>
      <c r="Q24" s="15"/>
      <c r="R24" s="15"/>
      <c r="S24" s="15"/>
    </row>
    <row r="25" spans="1:19" ht="21" x14ac:dyDescent="0.2">
      <c r="A25" s="37"/>
      <c r="B25" s="26" t="s">
        <v>101</v>
      </c>
      <c r="C25" s="686" t="s">
        <v>46</v>
      </c>
      <c r="D25" s="689"/>
      <c r="E25" s="687"/>
      <c r="F25" s="362" t="s">
        <v>43</v>
      </c>
      <c r="G25" s="43">
        <f>入力シート_ジクロロメタン!R12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入力シート_ジクロロメタン!R13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入力シート_ジクロロメタン!R13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入力シート_ジクロロメタン!R11</f>
        <v>4.5</v>
      </c>
      <c r="L29" s="70"/>
      <c r="M29" s="15"/>
      <c r="N29" s="15"/>
      <c r="O29" s="15"/>
      <c r="P29" s="15"/>
      <c r="Q29" s="15"/>
      <c r="R29" s="15"/>
      <c r="S29" s="15"/>
    </row>
    <row r="30" spans="1:19" ht="14" x14ac:dyDescent="0.3">
      <c r="A30" s="37"/>
      <c r="B30" s="49" t="s">
        <v>107</v>
      </c>
      <c r="C30" s="692" t="s">
        <v>53</v>
      </c>
      <c r="D30" s="692"/>
      <c r="E30" s="692"/>
      <c r="F30" s="364" t="s">
        <v>108</v>
      </c>
      <c r="G30" s="51">
        <f>入力シート_ジクロロメタン!R9</f>
        <v>1.2E-2</v>
      </c>
      <c r="L30" s="70"/>
      <c r="M30" s="15"/>
      <c r="N30" s="15"/>
      <c r="O30" s="15"/>
      <c r="P30" s="15"/>
      <c r="Q30" s="15"/>
      <c r="R30" s="15"/>
      <c r="S30" s="15"/>
    </row>
    <row r="31" spans="1:19" ht="18" x14ac:dyDescent="0.4">
      <c r="A31" s="37"/>
      <c r="B31" s="52" t="s">
        <v>109</v>
      </c>
      <c r="C31" s="692" t="s">
        <v>110</v>
      </c>
      <c r="D31" s="692"/>
      <c r="E31" s="692"/>
      <c r="F31" s="364" t="s">
        <v>111</v>
      </c>
      <c r="G31" s="51">
        <f>IF(A31="",入力シート_ジクロロメタン!R10,A31)</f>
        <v>12</v>
      </c>
      <c r="L31" s="70"/>
      <c r="M31" s="15"/>
      <c r="N31" s="15"/>
      <c r="O31" s="15"/>
      <c r="P31" s="15"/>
      <c r="Q31" s="15"/>
      <c r="R31" s="15"/>
      <c r="S31" s="15"/>
    </row>
    <row r="32" spans="1:19" ht="18.5" thickBot="1" x14ac:dyDescent="0.45">
      <c r="A32" s="37"/>
      <c r="B32" s="53" t="s">
        <v>112</v>
      </c>
      <c r="C32" s="695" t="s">
        <v>113</v>
      </c>
      <c r="D32" s="695"/>
      <c r="E32" s="695"/>
      <c r="F32" s="365" t="s">
        <v>114</v>
      </c>
      <c r="G32" s="55">
        <f>入力シート_ジクロロメタン!R25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入力シート_ジクロロメタン!R24</f>
        <v>1.62</v>
      </c>
      <c r="L34" s="15"/>
      <c r="M34" s="15"/>
      <c r="N34" s="15"/>
      <c r="O34" s="15"/>
      <c r="P34" s="15"/>
      <c r="Q34" s="15"/>
      <c r="R34" s="15"/>
      <c r="S34" s="15"/>
    </row>
    <row r="35" spans="1:19" ht="18" x14ac:dyDescent="0.2">
      <c r="B35" s="26" t="s">
        <v>118</v>
      </c>
      <c r="C35" s="686" t="s">
        <v>119</v>
      </c>
      <c r="D35" s="689"/>
      <c r="E35" s="687"/>
      <c r="F35" s="362" t="s">
        <v>120</v>
      </c>
      <c r="G35" s="43">
        <f>+入力シート_ジクロロメタン!J35*0.365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0.15403270679109896</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1.0648</v>
      </c>
    </row>
    <row r="42" spans="1:19" ht="18.5" thickBot="1" x14ac:dyDescent="0.25">
      <c r="B42" s="61" t="s">
        <v>131</v>
      </c>
      <c r="R42" s="60"/>
    </row>
    <row r="43" spans="1:19" x14ac:dyDescent="0.2">
      <c r="B43" s="12"/>
      <c r="C43" s="697" t="s">
        <v>132</v>
      </c>
      <c r="D43" s="698"/>
      <c r="E43" s="698"/>
      <c r="F43" s="367"/>
      <c r="G43" s="125">
        <f>SQRT(1+4*$G38*G25/$G39)</f>
        <v>1.0933315158915333</v>
      </c>
      <c r="H43" s="122"/>
      <c r="I43" s="122"/>
      <c r="N43" s="60"/>
      <c r="R43" s="47"/>
    </row>
    <row r="44" spans="1:19" x14ac:dyDescent="0.2">
      <c r="B44" s="62" t="s">
        <v>133</v>
      </c>
      <c r="C44" s="687"/>
      <c r="D44" s="692"/>
      <c r="E44" s="692"/>
      <c r="F44" s="63"/>
      <c r="G44" s="126">
        <f>EXP(G14/(2*G25)*(1-G43))</f>
        <v>0.62709478378852745</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0.60583949794591863</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0.60583949794591863</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ジクロロメタン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0.60583949794591863</v>
      </c>
      <c r="H63" s="139"/>
      <c r="I63" s="139"/>
      <c r="J63" s="79"/>
      <c r="K63" s="84"/>
      <c r="L63" s="691"/>
      <c r="M63" s="691"/>
      <c r="N63" s="691"/>
      <c r="O63" s="74"/>
      <c r="P63" s="85"/>
      <c r="Q63" s="47"/>
    </row>
    <row r="64" spans="1:17" ht="16.5" x14ac:dyDescent="0.2">
      <c r="B64" s="87"/>
      <c r="C64" s="693" t="s">
        <v>150</v>
      </c>
      <c r="D64" s="693"/>
      <c r="E64" s="693"/>
      <c r="F64" s="88">
        <f>+G64/G63*F63</f>
        <v>3.3012043730739619E-2</v>
      </c>
      <c r="G64" s="83">
        <f>+G7</f>
        <v>0.02</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3.3000000000000002E-2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7.6572231792962422E-2</v>
      </c>
      <c r="H68" s="139"/>
      <c r="I68" s="139"/>
      <c r="J68" s="79"/>
    </row>
    <row r="69" spans="2:10" x14ac:dyDescent="0.2">
      <c r="B69" s="81"/>
      <c r="C69" s="686" t="s">
        <v>150</v>
      </c>
      <c r="D69" s="687"/>
      <c r="E69" s="364" t="s">
        <v>153</v>
      </c>
      <c r="F69" s="86">
        <f>+G69/G68*F68</f>
        <v>3.3012043730739613E-2</v>
      </c>
      <c r="G69" s="83">
        <f>+G64</f>
        <v>0.02</v>
      </c>
      <c r="H69" s="139"/>
      <c r="I69" s="139"/>
      <c r="J69" s="79"/>
    </row>
    <row r="70" spans="2:10" x14ac:dyDescent="0.2">
      <c r="B70" s="81"/>
      <c r="C70" s="683" t="s">
        <v>154</v>
      </c>
      <c r="D70" s="683"/>
      <c r="E70" s="93">
        <f>+F69/F68*E68</f>
        <v>0.26119128999761182</v>
      </c>
      <c r="F70" s="47"/>
      <c r="G70" s="47"/>
      <c r="H70" s="47"/>
      <c r="I70" s="47"/>
      <c r="J70" s="79"/>
    </row>
    <row r="71" spans="2:10" x14ac:dyDescent="0.2">
      <c r="B71" s="81"/>
      <c r="C71" s="683" t="s">
        <v>155</v>
      </c>
      <c r="D71" s="683"/>
      <c r="E71" s="83">
        <f>入力シート_ジクロロメタン!R15</f>
        <v>0.2</v>
      </c>
      <c r="F71" s="47"/>
      <c r="G71" s="47"/>
      <c r="H71" s="47"/>
      <c r="I71" s="47"/>
      <c r="J71" s="79"/>
    </row>
    <row r="72" spans="2:10" ht="13.5" thickBot="1" x14ac:dyDescent="0.25">
      <c r="B72" s="81"/>
      <c r="C72" s="47"/>
      <c r="D72" s="47"/>
      <c r="E72" s="74">
        <f>IF(E70&gt;10,ROUNDDOWN(E70,0),IF(E70&gt;1,ROUNDDOWN(E70,1),IF(E70&gt;0.1,ROUNDDOWN(E70,2),IF(E70&gt;0.01,ROUNDDOWN(E70,3),ROUNDDOWN(E70,4)))))</f>
        <v>0.26</v>
      </c>
      <c r="F72" s="47"/>
      <c r="G72" s="47"/>
      <c r="H72" s="47"/>
      <c r="I72" s="47"/>
      <c r="J72" s="79"/>
    </row>
    <row r="73" spans="2:10" ht="13.5" thickBot="1" x14ac:dyDescent="0.25">
      <c r="B73" s="81"/>
      <c r="C73" s="684" t="s">
        <v>156</v>
      </c>
      <c r="D73" s="685"/>
      <c r="E73" s="109">
        <f>IF(E70&gt;E71,E71,E70)</f>
        <v>0.2</v>
      </c>
      <c r="F73" s="95" t="s">
        <v>157</v>
      </c>
      <c r="G73" s="47"/>
      <c r="H73" s="47"/>
      <c r="I73" s="47"/>
      <c r="J73" s="79"/>
    </row>
    <row r="74" spans="2:10" x14ac:dyDescent="0.2">
      <c r="B74" s="81"/>
      <c r="C74" s="47"/>
      <c r="D74" s="47"/>
      <c r="E74" s="74">
        <f>IF(E73&gt;10,ROUNDDOWN(E73,0),IF(E73&gt;1,ROUNDDOWN(E73,1),IF(E73&gt;0.1,ROUNDDOWN(E73,2),IF(E73&gt;0.01,ROUNDDOWN(E73,3),ROUNDDOWN(E73,4)))))</f>
        <v>0.2</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0.60583949794591863</v>
      </c>
      <c r="H77" s="139"/>
      <c r="I77" s="139"/>
      <c r="J77" s="79"/>
    </row>
    <row r="78" spans="2:10" x14ac:dyDescent="0.2">
      <c r="B78" s="81"/>
      <c r="C78" s="686" t="s">
        <v>150</v>
      </c>
      <c r="D78" s="687"/>
      <c r="E78" s="364" t="s">
        <v>153</v>
      </c>
      <c r="F78" s="86">
        <f>+F64</f>
        <v>3.3012043730739619E-2</v>
      </c>
      <c r="G78" s="83">
        <f>+G69</f>
        <v>0.02</v>
      </c>
      <c r="H78" s="139"/>
      <c r="I78" s="139"/>
      <c r="J78" s="79"/>
    </row>
    <row r="79" spans="2:10" x14ac:dyDescent="0.2">
      <c r="B79" s="81"/>
      <c r="C79" s="683" t="s">
        <v>154</v>
      </c>
      <c r="D79" s="683"/>
      <c r="E79" s="93">
        <f>+F78/F77*E77</f>
        <v>3.3012043730739619E-2</v>
      </c>
      <c r="F79" s="47"/>
      <c r="G79" s="47"/>
      <c r="H79" s="47"/>
      <c r="I79" s="47"/>
      <c r="J79" s="79"/>
    </row>
    <row r="80" spans="2:10" x14ac:dyDescent="0.2">
      <c r="B80" s="81"/>
      <c r="C80" s="683" t="s">
        <v>155</v>
      </c>
      <c r="D80" s="683"/>
      <c r="E80" s="83">
        <f>+E71</f>
        <v>0.2</v>
      </c>
      <c r="F80" s="47"/>
      <c r="G80" s="47"/>
      <c r="H80" s="47"/>
      <c r="I80" s="47"/>
      <c r="J80" s="79"/>
    </row>
    <row r="81" spans="2:10" ht="13.5" thickBot="1" x14ac:dyDescent="0.25">
      <c r="B81" s="81"/>
      <c r="C81" s="47"/>
      <c r="D81" s="47"/>
      <c r="E81" s="74">
        <f>IF(E79&gt;10,ROUNDDOWN(E79,0),IF(E79&gt;1,ROUNDDOWN(E79,1),IF(E79&gt;0.1,ROUNDDOWN(E79,2),IF(E79&gt;0.01,ROUNDDOWN(E79,3),ROUNDDOWN(E79,4)))))</f>
        <v>3.3000000000000002E-2</v>
      </c>
      <c r="F81" s="47"/>
      <c r="G81" s="47"/>
      <c r="H81" s="47"/>
      <c r="I81" s="47"/>
      <c r="J81" s="79"/>
    </row>
    <row r="82" spans="2:10" ht="13.5" thickBot="1" x14ac:dyDescent="0.25">
      <c r="B82" s="81"/>
      <c r="C82" s="684" t="s">
        <v>156</v>
      </c>
      <c r="D82" s="685"/>
      <c r="E82" s="109">
        <f>IF(E79&gt;E80,E80,E79)</f>
        <v>3.3012043730739619E-2</v>
      </c>
      <c r="F82" s="95" t="s">
        <v>157</v>
      </c>
      <c r="G82" s="47"/>
      <c r="H82" s="47"/>
      <c r="I82" s="47"/>
      <c r="J82" s="79"/>
    </row>
    <row r="83" spans="2:10" x14ac:dyDescent="0.2">
      <c r="B83" s="81"/>
      <c r="C83" s="47"/>
      <c r="D83" s="47"/>
      <c r="E83" s="74">
        <f>IF(E82&gt;10,ROUNDDOWN(E82,0),IF(E82&gt;1,ROUNDDOWN(E82,1),IF(E82&gt;0.1,ROUNDDOWN(E82,2),IF(E82&gt;0.01,ROUNDDOWN(E82,3),ROUNDDOWN(E82,4)))))</f>
        <v>3.3000000000000002E-2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371" priority="5">
      <formula>$A41&gt;0</formula>
    </cfRule>
  </conditionalFormatting>
  <conditionalFormatting sqref="G30">
    <cfRule type="expression" dxfId="370" priority="4">
      <formula>$A$29&gt;0</formula>
    </cfRule>
  </conditionalFormatting>
  <conditionalFormatting sqref="G31">
    <cfRule type="expression" dxfId="369" priority="3">
      <formula>$A$30&gt;0</formula>
    </cfRule>
  </conditionalFormatting>
  <conditionalFormatting sqref="G32">
    <cfRule type="expression" dxfId="368" priority="2">
      <formula>$A$31&gt;0</formula>
    </cfRule>
  </conditionalFormatting>
  <conditionalFormatting sqref="G9">
    <cfRule type="expression" dxfId="367" priority="6">
      <formula>#REF!&gt;0</formula>
    </cfRule>
  </conditionalFormatting>
  <conditionalFormatting sqref="G11 G25:I27">
    <cfRule type="expression" dxfId="366" priority="7">
      <formula>#REF!&gt;0</formula>
    </cfRule>
  </conditionalFormatting>
  <conditionalFormatting sqref="G18">
    <cfRule type="expression" dxfId="365" priority="8">
      <formula>#REF!&gt;0</formula>
    </cfRule>
  </conditionalFormatting>
  <conditionalFormatting sqref="G22:G24">
    <cfRule type="expression" dxfId="364" priority="9">
      <formula>$A$25&gt;0</formula>
    </cfRule>
  </conditionalFormatting>
  <conditionalFormatting sqref="G23:G24">
    <cfRule type="expression" dxfId="363" priority="10">
      <formula>#REF!&gt;0</formula>
    </cfRule>
  </conditionalFormatting>
  <conditionalFormatting sqref="G21">
    <cfRule type="expression" dxfId="362" priority="11">
      <formula>$A$23&gt;0</formula>
    </cfRule>
  </conditionalFormatting>
  <conditionalFormatting sqref="G12">
    <cfRule type="expression" dxfId="361" priority="1">
      <formula>#REF!&gt;0</formula>
    </cfRule>
  </conditionalFormatting>
  <conditionalFormatting sqref="G34">
    <cfRule type="expression" dxfId="360" priority="12">
      <formula>#REF!&gt;0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4.9000000000000002E-2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49</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4.5</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2E-3</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0.02</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325</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103</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+計算シート_四塩化炭素!G39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計算シート_四塩化炭素!G41</f>
        <v>1.2646000000000002</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四塩化炭素!$Y$14=1,"目標土壌溶出量濃度",IF(入力シート_四塩化炭素!$Y$14=2,"目標土壌溶出量濃度",IF(入力シート_四塩化炭素!$Y$14=3,"目標土壌溶出量濃度","PRB通過後の観測点における目標地下水濃度")))</f>
        <v>目標土壌溶出量濃度</v>
      </c>
      <c r="E41" s="527"/>
      <c r="F41" s="527"/>
      <c r="G41" s="528">
        <f>IF($X$14=1,IF(計算シート_四塩化炭素!E83&gt;10000,"&gt;10,000",+計算シート_四塩化炭素!E83),計算シート_四塩化炭素!E74)</f>
        <v>3.3E-3</v>
      </c>
      <c r="H41" s="528"/>
      <c r="I41" s="244" t="s">
        <v>28</v>
      </c>
      <c r="J41" s="155"/>
      <c r="K41" s="529">
        <f>+計算シート_四塩化炭素!E83</f>
        <v>3.3E-3</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359" priority="3">
      <formula>LEN(TRIM(Y13))=0</formula>
    </cfRule>
  </conditionalFormatting>
  <conditionalFormatting sqref="D35:H35 J35:L35">
    <cfRule type="expression" dxfId="358" priority="2">
      <formula>$X$14=1</formula>
    </cfRule>
  </conditionalFormatting>
  <conditionalFormatting sqref="I35">
    <cfRule type="expression" dxfId="357"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0242"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0243"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+入力シート_四塩化炭素!F20</f>
        <v>四塩化炭素</v>
      </c>
      <c r="D6" s="721"/>
      <c r="E6" s="722"/>
      <c r="F6" s="17"/>
      <c r="G6" s="18" t="str">
        <f>$C$6</f>
        <v>四塩化炭素</v>
      </c>
      <c r="L6" s="102"/>
      <c r="M6" s="15"/>
      <c r="N6" s="15"/>
      <c r="O6" s="15"/>
      <c r="P6" s="15"/>
      <c r="Q6" s="15"/>
      <c r="R6" s="15"/>
      <c r="S6" s="15"/>
    </row>
    <row r="7" spans="2:19" ht="13.5" thickBot="1" x14ac:dyDescent="0.25">
      <c r="B7" s="19" t="s">
        <v>87</v>
      </c>
      <c r="C7" s="723" t="s">
        <v>88</v>
      </c>
      <c r="D7" s="724"/>
      <c r="E7" s="725"/>
      <c r="F7" s="20" t="s">
        <v>89</v>
      </c>
      <c r="G7" s="21">
        <f>+入力シート_四塩化炭素!R14</f>
        <v>2E-3</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++入力シート_四塩化炭素!J32</f>
        <v>30</v>
      </c>
      <c r="L9" s="102"/>
      <c r="M9" s="15"/>
      <c r="N9" s="15"/>
      <c r="O9" s="15"/>
      <c r="P9" s="15"/>
      <c r="Q9" s="15"/>
      <c r="R9" s="15"/>
      <c r="S9" s="15"/>
    </row>
    <row r="10" spans="2:19" ht="18" x14ac:dyDescent="0.2">
      <c r="B10" s="26" t="s">
        <v>91</v>
      </c>
      <c r="C10" s="686" t="s">
        <v>72</v>
      </c>
      <c r="D10" s="689"/>
      <c r="E10" s="687"/>
      <c r="F10" s="362" t="s">
        <v>43</v>
      </c>
      <c r="G10" s="28">
        <f>+入力シート_四塩化炭素!J33</f>
        <v>15</v>
      </c>
      <c r="L10" s="102"/>
      <c r="M10" s="15"/>
      <c r="N10" s="15"/>
      <c r="O10" s="15"/>
      <c r="P10" s="15"/>
      <c r="Q10" s="15"/>
      <c r="R10" s="15"/>
      <c r="S10" s="15"/>
    </row>
    <row r="11" spans="2:19" ht="18" x14ac:dyDescent="0.2">
      <c r="B11" s="26" t="s">
        <v>73</v>
      </c>
      <c r="C11" s="686" t="s">
        <v>74</v>
      </c>
      <c r="D11" s="689"/>
      <c r="E11" s="687"/>
      <c r="F11" s="362" t="s">
        <v>43</v>
      </c>
      <c r="G11" s="28">
        <f>+入力シート_四塩化炭素!J24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入力シート_四塩化炭素!J30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入力シート_四塩化炭素!R20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入力シート_四塩化炭素!F27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入力シート_四塩化炭素!R21</f>
        <v>0.3</v>
      </c>
      <c r="L23" s="70"/>
      <c r="M23" s="15"/>
      <c r="N23" s="15"/>
      <c r="O23" s="15"/>
      <c r="P23" s="15"/>
      <c r="Q23" s="15"/>
      <c r="R23" s="15"/>
      <c r="S23" s="15"/>
    </row>
    <row r="24" spans="1:19" ht="18" x14ac:dyDescent="0.2">
      <c r="A24" s="37"/>
      <c r="B24" s="26" t="s">
        <v>163</v>
      </c>
      <c r="C24" s="688" t="s">
        <v>177</v>
      </c>
      <c r="D24" s="689"/>
      <c r="E24" s="687"/>
      <c r="F24" s="362" t="s">
        <v>51</v>
      </c>
      <c r="G24" s="28">
        <f>入力シート_四塩化炭素!R22</f>
        <v>0.4</v>
      </c>
      <c r="L24" s="70"/>
      <c r="M24" s="15"/>
      <c r="N24" s="15"/>
      <c r="O24" s="15"/>
      <c r="P24" s="15"/>
      <c r="Q24" s="15"/>
      <c r="R24" s="15"/>
      <c r="S24" s="15"/>
    </row>
    <row r="25" spans="1:19" ht="21" x14ac:dyDescent="0.2">
      <c r="A25" s="37"/>
      <c r="B25" s="26" t="s">
        <v>101</v>
      </c>
      <c r="C25" s="686" t="s">
        <v>46</v>
      </c>
      <c r="D25" s="689"/>
      <c r="E25" s="687"/>
      <c r="F25" s="362" t="s">
        <v>43</v>
      </c>
      <c r="G25" s="43">
        <f>入力シート_四塩化炭素!R12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入力シート_四塩化炭素!R13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入力シート_四塩化炭素!R13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入力シート_四塩化炭素!R11</f>
        <v>4.5</v>
      </c>
      <c r="L29" s="70"/>
      <c r="M29" s="15"/>
      <c r="N29" s="15"/>
      <c r="O29" s="15"/>
      <c r="P29" s="15"/>
      <c r="Q29" s="15"/>
      <c r="R29" s="15"/>
      <c r="S29" s="15"/>
    </row>
    <row r="30" spans="1:19" ht="14" x14ac:dyDescent="0.3">
      <c r="A30" s="37"/>
      <c r="B30" s="49" t="s">
        <v>107</v>
      </c>
      <c r="C30" s="692" t="s">
        <v>53</v>
      </c>
      <c r="D30" s="692"/>
      <c r="E30" s="692"/>
      <c r="F30" s="364" t="s">
        <v>108</v>
      </c>
      <c r="G30" s="51">
        <f>入力シート_四塩化炭素!R9</f>
        <v>4.9000000000000002E-2</v>
      </c>
      <c r="L30" s="70"/>
      <c r="M30" s="15"/>
      <c r="N30" s="15"/>
      <c r="O30" s="15"/>
      <c r="P30" s="15"/>
      <c r="Q30" s="15"/>
      <c r="R30" s="15"/>
      <c r="S30" s="15"/>
    </row>
    <row r="31" spans="1:19" ht="18" x14ac:dyDescent="0.4">
      <c r="A31" s="37"/>
      <c r="B31" s="52" t="s">
        <v>109</v>
      </c>
      <c r="C31" s="692" t="s">
        <v>110</v>
      </c>
      <c r="D31" s="692"/>
      <c r="E31" s="692"/>
      <c r="F31" s="364" t="s">
        <v>111</v>
      </c>
      <c r="G31" s="51">
        <f>IF(A31="",入力シート_四塩化炭素!R10,A31)</f>
        <v>49</v>
      </c>
      <c r="L31" s="70"/>
      <c r="M31" s="15"/>
      <c r="N31" s="15"/>
      <c r="O31" s="15"/>
      <c r="P31" s="15"/>
      <c r="Q31" s="15"/>
      <c r="R31" s="15"/>
      <c r="S31" s="15"/>
    </row>
    <row r="32" spans="1:19" ht="18.5" thickBot="1" x14ac:dyDescent="0.45">
      <c r="A32" s="37"/>
      <c r="B32" s="53" t="s">
        <v>112</v>
      </c>
      <c r="C32" s="695" t="s">
        <v>113</v>
      </c>
      <c r="D32" s="695"/>
      <c r="E32" s="695"/>
      <c r="F32" s="365" t="s">
        <v>114</v>
      </c>
      <c r="G32" s="55">
        <f>入力シート_四塩化炭素!R25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入力シート_四塩化炭素!R24</f>
        <v>1.62</v>
      </c>
      <c r="L34" s="15"/>
      <c r="M34" s="15"/>
      <c r="N34" s="15"/>
      <c r="O34" s="15"/>
      <c r="P34" s="15"/>
      <c r="Q34" s="15"/>
      <c r="R34" s="15"/>
      <c r="S34" s="15"/>
    </row>
    <row r="35" spans="1:19" ht="18" x14ac:dyDescent="0.2">
      <c r="B35" s="26" t="s">
        <v>118</v>
      </c>
      <c r="C35" s="686" t="s">
        <v>119</v>
      </c>
      <c r="D35" s="689"/>
      <c r="E35" s="687"/>
      <c r="F35" s="362" t="s">
        <v>120</v>
      </c>
      <c r="G35" s="43">
        <f>+入力シート_四塩化炭素!J35*0.365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0.15403270679109896</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1.2646000000000002</v>
      </c>
    </row>
    <row r="42" spans="1:19" ht="18.5" thickBot="1" x14ac:dyDescent="0.25">
      <c r="B42" s="61" t="s">
        <v>131</v>
      </c>
      <c r="R42" s="60"/>
    </row>
    <row r="43" spans="1:19" x14ac:dyDescent="0.2">
      <c r="B43" s="12"/>
      <c r="C43" s="697" t="s">
        <v>132</v>
      </c>
      <c r="D43" s="698"/>
      <c r="E43" s="698"/>
      <c r="F43" s="367"/>
      <c r="G43" s="125">
        <f>SQRT(1+4*$G38*G25/$G39)</f>
        <v>1.0933315158915333</v>
      </c>
      <c r="H43" s="122"/>
      <c r="I43" s="122"/>
      <c r="N43" s="60"/>
      <c r="R43" s="47"/>
    </row>
    <row r="44" spans="1:19" x14ac:dyDescent="0.2">
      <c r="B44" s="62" t="s">
        <v>133</v>
      </c>
      <c r="C44" s="687"/>
      <c r="D44" s="692"/>
      <c r="E44" s="692"/>
      <c r="F44" s="63"/>
      <c r="G44" s="126">
        <f>EXP(G14/(2*G25)*(1-G43))</f>
        <v>0.62709478378852745</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0.60583949794591863</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0.60583949794591863</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四塩化炭素</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0.60583949794591863</v>
      </c>
      <c r="H63" s="139"/>
      <c r="I63" s="139"/>
      <c r="J63" s="79"/>
      <c r="K63" s="84"/>
      <c r="L63" s="691"/>
      <c r="M63" s="691"/>
      <c r="N63" s="691"/>
      <c r="O63" s="74"/>
      <c r="P63" s="85"/>
      <c r="Q63" s="47"/>
    </row>
    <row r="64" spans="1:17" ht="16.5" x14ac:dyDescent="0.2">
      <c r="B64" s="87"/>
      <c r="C64" s="693" t="s">
        <v>150</v>
      </c>
      <c r="D64" s="693"/>
      <c r="E64" s="693"/>
      <c r="F64" s="88">
        <f>+G64/G63*F63</f>
        <v>3.3012043730739618E-3</v>
      </c>
      <c r="G64" s="83">
        <f>+G7</f>
        <v>2E-3</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3.3E-3</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7.6572231792962422E-2</v>
      </c>
      <c r="H68" s="139"/>
      <c r="I68" s="139"/>
      <c r="J68" s="79"/>
    </row>
    <row r="69" spans="2:10" x14ac:dyDescent="0.2">
      <c r="B69" s="81"/>
      <c r="C69" s="686" t="s">
        <v>150</v>
      </c>
      <c r="D69" s="687"/>
      <c r="E69" s="364" t="s">
        <v>153</v>
      </c>
      <c r="F69" s="86">
        <f>+G69/G68*F68</f>
        <v>3.3012043730739613E-3</v>
      </c>
      <c r="G69" s="83">
        <f>+G64</f>
        <v>2E-3</v>
      </c>
      <c r="H69" s="139"/>
      <c r="I69" s="139"/>
      <c r="J69" s="79"/>
    </row>
    <row r="70" spans="2:10" x14ac:dyDescent="0.2">
      <c r="B70" s="81"/>
      <c r="C70" s="683" t="s">
        <v>154</v>
      </c>
      <c r="D70" s="683"/>
      <c r="E70" s="93">
        <f>+F69/F68*E68</f>
        <v>2.6119128999761182E-2</v>
      </c>
      <c r="F70" s="47"/>
      <c r="G70" s="47"/>
      <c r="H70" s="47"/>
      <c r="I70" s="47"/>
      <c r="J70" s="79"/>
    </row>
    <row r="71" spans="2:10" x14ac:dyDescent="0.2">
      <c r="B71" s="81"/>
      <c r="C71" s="683" t="s">
        <v>155</v>
      </c>
      <c r="D71" s="683"/>
      <c r="E71" s="83">
        <f>入力シート_四塩化炭素!R15</f>
        <v>0.02</v>
      </c>
      <c r="F71" s="47"/>
      <c r="G71" s="47"/>
      <c r="H71" s="47"/>
      <c r="I71" s="47"/>
      <c r="J71" s="79"/>
    </row>
    <row r="72" spans="2:10" ht="13.5" thickBot="1" x14ac:dyDescent="0.25">
      <c r="B72" s="81"/>
      <c r="C72" s="47"/>
      <c r="D72" s="47"/>
      <c r="E72" s="74">
        <f>IF(E70&gt;10,ROUNDDOWN(E70,0),IF(E70&gt;1,ROUNDDOWN(E70,1),IF(E70&gt;0.1,ROUNDDOWN(E70,2),IF(E70&gt;0.01,ROUNDDOWN(E70,3),ROUNDDOWN(E70,4)))))</f>
        <v>2.5999999999999999E-2</v>
      </c>
      <c r="F72" s="47"/>
      <c r="G72" s="47"/>
      <c r="H72" s="47"/>
      <c r="I72" s="47"/>
      <c r="J72" s="79"/>
    </row>
    <row r="73" spans="2:10" ht="13.5" thickBot="1" x14ac:dyDescent="0.25">
      <c r="B73" s="81"/>
      <c r="C73" s="684" t="s">
        <v>156</v>
      </c>
      <c r="D73" s="685"/>
      <c r="E73" s="109">
        <f>IF(E70&gt;E71,E71,E70)</f>
        <v>0.02</v>
      </c>
      <c r="F73" s="95" t="s">
        <v>157</v>
      </c>
      <c r="G73" s="47"/>
      <c r="H73" s="47"/>
      <c r="I73" s="47"/>
      <c r="J73" s="79"/>
    </row>
    <row r="74" spans="2:10" x14ac:dyDescent="0.2">
      <c r="B74" s="81"/>
      <c r="C74" s="47"/>
      <c r="D74" s="47"/>
      <c r="E74" s="74">
        <f>IF(E73&gt;10,ROUNDDOWN(E73,0),IF(E73&gt;1,ROUNDDOWN(E73,1),IF(E73&gt;0.1,ROUNDDOWN(E73,2),IF(E73&gt;0.01,ROUNDDOWN(E73,3),ROUNDDOWN(E73,4)))))</f>
        <v>0.02</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0.60583949794591863</v>
      </c>
      <c r="H77" s="139"/>
      <c r="I77" s="139"/>
      <c r="J77" s="79"/>
    </row>
    <row r="78" spans="2:10" x14ac:dyDescent="0.2">
      <c r="B78" s="81"/>
      <c r="C78" s="686" t="s">
        <v>150</v>
      </c>
      <c r="D78" s="687"/>
      <c r="E78" s="364" t="s">
        <v>153</v>
      </c>
      <c r="F78" s="86">
        <f>+F64</f>
        <v>3.3012043730739618E-3</v>
      </c>
      <c r="G78" s="83">
        <f>+G69</f>
        <v>2E-3</v>
      </c>
      <c r="H78" s="139"/>
      <c r="I78" s="139"/>
      <c r="J78" s="79"/>
    </row>
    <row r="79" spans="2:10" x14ac:dyDescent="0.2">
      <c r="B79" s="81"/>
      <c r="C79" s="683" t="s">
        <v>154</v>
      </c>
      <c r="D79" s="683"/>
      <c r="E79" s="93">
        <f>+F78/F77*E77</f>
        <v>3.3012043730739618E-3</v>
      </c>
      <c r="F79" s="47"/>
      <c r="G79" s="47"/>
      <c r="H79" s="47"/>
      <c r="I79" s="47"/>
      <c r="J79" s="79"/>
    </row>
    <row r="80" spans="2:10" x14ac:dyDescent="0.2">
      <c r="B80" s="81"/>
      <c r="C80" s="683" t="s">
        <v>155</v>
      </c>
      <c r="D80" s="683"/>
      <c r="E80" s="83">
        <f>+E71</f>
        <v>0.02</v>
      </c>
      <c r="F80" s="47"/>
      <c r="G80" s="47"/>
      <c r="H80" s="47"/>
      <c r="I80" s="47"/>
      <c r="J80" s="79"/>
    </row>
    <row r="81" spans="2:10" ht="13.5" thickBot="1" x14ac:dyDescent="0.25">
      <c r="B81" s="81"/>
      <c r="C81" s="47"/>
      <c r="D81" s="47"/>
      <c r="E81" s="74">
        <f>IF(E79&gt;10,ROUNDDOWN(E79,0),IF(E79&gt;1,ROUNDDOWN(E79,1),IF(E79&gt;0.1,ROUNDDOWN(E79,2),IF(E79&gt;0.01,ROUNDDOWN(E79,3),ROUNDDOWN(E79,4)))))</f>
        <v>3.3E-3</v>
      </c>
      <c r="F81" s="47"/>
      <c r="G81" s="47"/>
      <c r="H81" s="47"/>
      <c r="I81" s="47"/>
      <c r="J81" s="79"/>
    </row>
    <row r="82" spans="2:10" ht="13.5" thickBot="1" x14ac:dyDescent="0.25">
      <c r="B82" s="81"/>
      <c r="C82" s="684" t="s">
        <v>156</v>
      </c>
      <c r="D82" s="685"/>
      <c r="E82" s="109">
        <f>IF(E79&gt;E80,E80,E79)</f>
        <v>3.3012043730739618E-3</v>
      </c>
      <c r="F82" s="95" t="s">
        <v>157</v>
      </c>
      <c r="G82" s="47"/>
      <c r="H82" s="47"/>
      <c r="I82" s="47"/>
      <c r="J82" s="79"/>
    </row>
    <row r="83" spans="2:10" x14ac:dyDescent="0.2">
      <c r="B83" s="81"/>
      <c r="C83" s="47"/>
      <c r="D83" s="47"/>
      <c r="E83" s="74">
        <f>IF(E82&gt;10,ROUNDDOWN(E82,0),IF(E82&gt;1,ROUNDDOWN(E82,1),IF(E82&gt;0.1,ROUNDDOWN(E82,2),IF(E82&gt;0.01,ROUNDDOWN(E82,3),ROUNDDOWN(E82,4)))))</f>
        <v>3.3E-3</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356" priority="5">
      <formula>$A41&gt;0</formula>
    </cfRule>
  </conditionalFormatting>
  <conditionalFormatting sqref="G30">
    <cfRule type="expression" dxfId="355" priority="4">
      <formula>$A$29&gt;0</formula>
    </cfRule>
  </conditionalFormatting>
  <conditionalFormatting sqref="G31">
    <cfRule type="expression" dxfId="354" priority="3">
      <formula>$A$30&gt;0</formula>
    </cfRule>
  </conditionalFormatting>
  <conditionalFormatting sqref="G32">
    <cfRule type="expression" dxfId="353" priority="2">
      <formula>$A$31&gt;0</formula>
    </cfRule>
  </conditionalFormatting>
  <conditionalFormatting sqref="G9">
    <cfRule type="expression" dxfId="352" priority="6">
      <formula>#REF!&gt;0</formula>
    </cfRule>
  </conditionalFormatting>
  <conditionalFormatting sqref="G11 G25:I27">
    <cfRule type="expression" dxfId="351" priority="7">
      <formula>#REF!&gt;0</formula>
    </cfRule>
  </conditionalFormatting>
  <conditionalFormatting sqref="G18">
    <cfRule type="expression" dxfId="350" priority="8">
      <formula>#REF!&gt;0</formula>
    </cfRule>
  </conditionalFormatting>
  <conditionalFormatting sqref="G22:G24">
    <cfRule type="expression" dxfId="349" priority="9">
      <formula>$A$25&gt;0</formula>
    </cfRule>
  </conditionalFormatting>
  <conditionalFormatting sqref="G23:G24">
    <cfRule type="expression" dxfId="348" priority="10">
      <formula>#REF!&gt;0</formula>
    </cfRule>
  </conditionalFormatting>
  <conditionalFormatting sqref="G21">
    <cfRule type="expression" dxfId="347" priority="11">
      <formula>$A$23&gt;0</formula>
    </cfRule>
  </conditionalFormatting>
  <conditionalFormatting sqref="G12">
    <cfRule type="expression" dxfId="346" priority="1">
      <formula>#REF!&gt;0</formula>
    </cfRule>
  </conditionalFormatting>
  <conditionalFormatting sqref="G34">
    <cfRule type="expression" dxfId="345" priority="12">
      <formula>#REF!&gt;0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1.7000000000000001E-2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17</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2</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4.0000000000000001E-3</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0.04</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328</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104</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+計算シート_1・2・ジクロロエタン!G39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計算シート_1・2・ジクロロエタン!G41</f>
        <v>1.0918000000000001</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1・2・ジクロロエタン!$Y$14=1,"目標土壌溶出量濃度",IF(入力シート_1・2・ジクロロエタン!$Y$14=2,"目標土壌溶出量濃度",IF(入力シート_1・2・ジクロロエタン!$Y$14=3,"目標土壌溶出量濃度","PRB通過後の観測点における目標地下水濃度")))</f>
        <v>目標土壌溶出量濃度</v>
      </c>
      <c r="E41" s="527"/>
      <c r="F41" s="527"/>
      <c r="G41" s="528">
        <f>IF($X$14=1,IF(計算シート_1・2・ジクロロエタン!E83&gt;10000,"&gt;10,000",+計算シート_1・2・ジクロロエタン!E83),計算シート_1・2・ジクロロエタン!E74)</f>
        <v>1.0999999999999999E-2</v>
      </c>
      <c r="H41" s="528"/>
      <c r="I41" s="244" t="s">
        <v>28</v>
      </c>
      <c r="J41" s="155"/>
      <c r="K41" s="529">
        <f>+計算シート_1・2・ジクロロエタン!E83</f>
        <v>1.0999999999999999E-2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344" priority="3">
      <formula>LEN(TRIM(Y13))=0</formula>
    </cfRule>
  </conditionalFormatting>
  <conditionalFormatting sqref="D35:H35 J35:L35">
    <cfRule type="expression" dxfId="343" priority="2">
      <formula>$X$14=1</formula>
    </cfRule>
  </conditionalFormatting>
  <conditionalFormatting sqref="I35">
    <cfRule type="expression" dxfId="342"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1266"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1267"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+入力シート_1・2・ジクロロエタン!F20</f>
        <v>1,2-ジクロロエタン</v>
      </c>
      <c r="D6" s="721"/>
      <c r="E6" s="722"/>
      <c r="F6" s="17"/>
      <c r="G6" s="18" t="str">
        <f>$C$6</f>
        <v>1,2-ジクロロエタン</v>
      </c>
      <c r="L6" s="102"/>
      <c r="M6" s="15"/>
      <c r="N6" s="15"/>
      <c r="O6" s="15"/>
      <c r="P6" s="15"/>
      <c r="Q6" s="15"/>
      <c r="R6" s="15"/>
      <c r="S6" s="15"/>
    </row>
    <row r="7" spans="2:19" ht="13.5" thickBot="1" x14ac:dyDescent="0.25">
      <c r="B7" s="19" t="s">
        <v>87</v>
      </c>
      <c r="C7" s="723" t="s">
        <v>88</v>
      </c>
      <c r="D7" s="724"/>
      <c r="E7" s="725"/>
      <c r="F7" s="20" t="s">
        <v>89</v>
      </c>
      <c r="G7" s="21">
        <f>+入力シート_1・2・ジクロロエタン!R14</f>
        <v>4.0000000000000001E-3</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++入力シート_1・2・ジクロロエタン!J32</f>
        <v>30</v>
      </c>
      <c r="L9" s="102"/>
      <c r="M9" s="15"/>
      <c r="N9" s="15"/>
      <c r="O9" s="15"/>
      <c r="P9" s="15"/>
      <c r="Q9" s="15"/>
      <c r="R9" s="15"/>
      <c r="S9" s="15"/>
    </row>
    <row r="10" spans="2:19" ht="18" x14ac:dyDescent="0.2">
      <c r="B10" s="26" t="s">
        <v>91</v>
      </c>
      <c r="C10" s="686" t="s">
        <v>72</v>
      </c>
      <c r="D10" s="689"/>
      <c r="E10" s="687"/>
      <c r="F10" s="362" t="s">
        <v>43</v>
      </c>
      <c r="G10" s="28">
        <f>+入力シート_1・2・ジクロロエタン!J33</f>
        <v>15</v>
      </c>
      <c r="L10" s="102"/>
      <c r="M10" s="15"/>
      <c r="N10" s="15"/>
      <c r="O10" s="15"/>
      <c r="P10" s="15"/>
      <c r="Q10" s="15"/>
      <c r="R10" s="15"/>
      <c r="S10" s="15"/>
    </row>
    <row r="11" spans="2:19" ht="18" x14ac:dyDescent="0.2">
      <c r="B11" s="26" t="s">
        <v>73</v>
      </c>
      <c r="C11" s="686" t="s">
        <v>74</v>
      </c>
      <c r="D11" s="689"/>
      <c r="E11" s="687"/>
      <c r="F11" s="362" t="s">
        <v>43</v>
      </c>
      <c r="G11" s="28">
        <f>+入力シート_1・2・ジクロロエタン!J24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入力シート_1・2・ジクロロエタン!J30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入力シート_1・2・ジクロロエタン!R20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入力シート_1・2・ジクロロエタン!F27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入力シート_1・2・ジクロロエタン!R21</f>
        <v>0.3</v>
      </c>
      <c r="L23" s="70"/>
      <c r="M23" s="15"/>
      <c r="N23" s="15"/>
      <c r="O23" s="15"/>
      <c r="P23" s="15"/>
      <c r="Q23" s="15"/>
      <c r="R23" s="15"/>
      <c r="S23" s="15"/>
    </row>
    <row r="24" spans="1:19" ht="18" x14ac:dyDescent="0.2">
      <c r="A24" s="37"/>
      <c r="B24" s="26" t="s">
        <v>163</v>
      </c>
      <c r="C24" s="688" t="s">
        <v>177</v>
      </c>
      <c r="D24" s="689"/>
      <c r="E24" s="687"/>
      <c r="F24" s="362" t="s">
        <v>51</v>
      </c>
      <c r="G24" s="28">
        <f>入力シート_1・2・ジクロロエタン!R22</f>
        <v>0.4</v>
      </c>
      <c r="L24" s="70"/>
      <c r="M24" s="15"/>
      <c r="N24" s="15"/>
      <c r="O24" s="15"/>
      <c r="P24" s="15"/>
      <c r="Q24" s="15"/>
      <c r="R24" s="15"/>
      <c r="S24" s="15"/>
    </row>
    <row r="25" spans="1:19" ht="21" x14ac:dyDescent="0.2">
      <c r="A25" s="37"/>
      <c r="B25" s="26" t="s">
        <v>101</v>
      </c>
      <c r="C25" s="686" t="s">
        <v>46</v>
      </c>
      <c r="D25" s="689"/>
      <c r="E25" s="687"/>
      <c r="F25" s="362" t="s">
        <v>43</v>
      </c>
      <c r="G25" s="43">
        <f>入力シート_1・2・ジクロロエタン!R12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入力シート_1・2・ジクロロエタン!R13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入力シート_1・2・ジクロロエタン!R13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入力シート_1・2・ジクロロエタン!R11</f>
        <v>2</v>
      </c>
      <c r="L29" s="70"/>
      <c r="M29" s="15"/>
      <c r="N29" s="15"/>
      <c r="O29" s="15"/>
      <c r="P29" s="15"/>
      <c r="Q29" s="15"/>
      <c r="R29" s="15"/>
      <c r="S29" s="15"/>
    </row>
    <row r="30" spans="1:19" ht="14" x14ac:dyDescent="0.3">
      <c r="A30" s="37"/>
      <c r="B30" s="49" t="s">
        <v>107</v>
      </c>
      <c r="C30" s="692" t="s">
        <v>53</v>
      </c>
      <c r="D30" s="692"/>
      <c r="E30" s="692"/>
      <c r="F30" s="364" t="s">
        <v>108</v>
      </c>
      <c r="G30" s="51">
        <f>入力シート_1・2・ジクロロエタン!R9</f>
        <v>1.7000000000000001E-2</v>
      </c>
      <c r="L30" s="70"/>
      <c r="M30" s="15"/>
      <c r="N30" s="15"/>
      <c r="O30" s="15"/>
      <c r="P30" s="15"/>
      <c r="Q30" s="15"/>
      <c r="R30" s="15"/>
      <c r="S30" s="15"/>
    </row>
    <row r="31" spans="1:19" ht="18" x14ac:dyDescent="0.4">
      <c r="A31" s="37"/>
      <c r="B31" s="52" t="s">
        <v>109</v>
      </c>
      <c r="C31" s="692" t="s">
        <v>110</v>
      </c>
      <c r="D31" s="692"/>
      <c r="E31" s="692"/>
      <c r="F31" s="364" t="s">
        <v>111</v>
      </c>
      <c r="G31" s="51">
        <f>IF(A31="",入力シート_1・2・ジクロロエタン!R10,A31)</f>
        <v>17</v>
      </c>
      <c r="L31" s="70"/>
      <c r="M31" s="15"/>
      <c r="N31" s="15"/>
      <c r="O31" s="15"/>
      <c r="P31" s="15"/>
      <c r="Q31" s="15"/>
      <c r="R31" s="15"/>
      <c r="S31" s="15"/>
    </row>
    <row r="32" spans="1:19" ht="18.5" thickBot="1" x14ac:dyDescent="0.45">
      <c r="A32" s="37"/>
      <c r="B32" s="53" t="s">
        <v>112</v>
      </c>
      <c r="C32" s="695" t="s">
        <v>113</v>
      </c>
      <c r="D32" s="695"/>
      <c r="E32" s="695"/>
      <c r="F32" s="365" t="s">
        <v>114</v>
      </c>
      <c r="G32" s="55">
        <f>入力シート_1・2・ジクロロエタン!R25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入力シート_1・2・ジクロロエタン!R24</f>
        <v>1.62</v>
      </c>
      <c r="L34" s="15"/>
      <c r="M34" s="15"/>
      <c r="N34" s="15"/>
      <c r="O34" s="15"/>
      <c r="P34" s="15"/>
      <c r="Q34" s="15"/>
      <c r="R34" s="15"/>
      <c r="S34" s="15"/>
    </row>
    <row r="35" spans="1:19" ht="18" x14ac:dyDescent="0.2">
      <c r="B35" s="26" t="s">
        <v>118</v>
      </c>
      <c r="C35" s="686" t="s">
        <v>119</v>
      </c>
      <c r="D35" s="689"/>
      <c r="E35" s="687"/>
      <c r="F35" s="362" t="s">
        <v>120</v>
      </c>
      <c r="G35" s="43">
        <f>+入力シート_1・2・ジクロロエタン!J35*0.365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0.34657359027997264</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1.0918000000000001</v>
      </c>
    </row>
    <row r="42" spans="1:19" ht="18.5" thickBot="1" x14ac:dyDescent="0.25">
      <c r="B42" s="61" t="s">
        <v>131</v>
      </c>
      <c r="R42" s="60"/>
    </row>
    <row r="43" spans="1:19" x14ac:dyDescent="0.2">
      <c r="B43" s="12"/>
      <c r="C43" s="697" t="s">
        <v>132</v>
      </c>
      <c r="D43" s="698"/>
      <c r="E43" s="698"/>
      <c r="F43" s="367"/>
      <c r="G43" s="125">
        <f>SQRT(1+4*$G38*G25/$G39)</f>
        <v>1.1998295954816982</v>
      </c>
      <c r="H43" s="122"/>
      <c r="I43" s="122"/>
      <c r="N43" s="60"/>
      <c r="R43" s="47"/>
    </row>
    <row r="44" spans="1:19" x14ac:dyDescent="0.2">
      <c r="B44" s="62" t="s">
        <v>133</v>
      </c>
      <c r="C44" s="687"/>
      <c r="D44" s="692"/>
      <c r="E44" s="692"/>
      <c r="F44" s="63"/>
      <c r="G44" s="126">
        <f>EXP(G14/(2*G25)*(1-G43))</f>
        <v>0.36819301633386353</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0.35571316797641372</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0.35571316797641372</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1,2-ジクロロエタン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0.35571316797641372</v>
      </c>
      <c r="H63" s="139"/>
      <c r="I63" s="139"/>
      <c r="J63" s="79"/>
      <c r="K63" s="84"/>
      <c r="L63" s="691"/>
      <c r="M63" s="691"/>
      <c r="N63" s="691"/>
      <c r="O63" s="74"/>
      <c r="P63" s="85"/>
      <c r="Q63" s="47"/>
    </row>
    <row r="64" spans="1:17" ht="16.5" x14ac:dyDescent="0.2">
      <c r="B64" s="87"/>
      <c r="C64" s="693" t="s">
        <v>150</v>
      </c>
      <c r="D64" s="693"/>
      <c r="E64" s="693"/>
      <c r="F64" s="88">
        <f>+G64/G63*F63</f>
        <v>1.1245015254159014E-2</v>
      </c>
      <c r="G64" s="83">
        <f>+G7</f>
        <v>4.0000000000000001E-3</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1.0999999999999999E-2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4.4958691604703456E-2</v>
      </c>
      <c r="H68" s="139"/>
      <c r="I68" s="139"/>
      <c r="J68" s="79"/>
    </row>
    <row r="69" spans="2:10" x14ac:dyDescent="0.2">
      <c r="B69" s="81"/>
      <c r="C69" s="686" t="s">
        <v>150</v>
      </c>
      <c r="D69" s="687"/>
      <c r="E69" s="364" t="s">
        <v>153</v>
      </c>
      <c r="F69" s="86">
        <f>+G69/G68*F68</f>
        <v>1.1245015254159014E-2</v>
      </c>
      <c r="G69" s="83">
        <f>+G64</f>
        <v>4.0000000000000001E-3</v>
      </c>
      <c r="H69" s="139"/>
      <c r="I69" s="139"/>
      <c r="J69" s="79"/>
    </row>
    <row r="70" spans="2:10" x14ac:dyDescent="0.2">
      <c r="B70" s="81"/>
      <c r="C70" s="683" t="s">
        <v>154</v>
      </c>
      <c r="D70" s="683"/>
      <c r="E70" s="93">
        <f>+F69/F68*E68</f>
        <v>8.8970560690906114E-2</v>
      </c>
      <c r="F70" s="47"/>
      <c r="G70" s="47"/>
      <c r="H70" s="47"/>
      <c r="I70" s="47"/>
      <c r="J70" s="79"/>
    </row>
    <row r="71" spans="2:10" x14ac:dyDescent="0.2">
      <c r="B71" s="81"/>
      <c r="C71" s="683" t="s">
        <v>155</v>
      </c>
      <c r="D71" s="683"/>
      <c r="E71" s="83">
        <f>入力シート_1・2・ジクロロエタン!R15</f>
        <v>0.04</v>
      </c>
      <c r="F71" s="47"/>
      <c r="G71" s="47"/>
      <c r="H71" s="47"/>
      <c r="I71" s="47"/>
      <c r="J71" s="79"/>
    </row>
    <row r="72" spans="2:10" ht="13.5" thickBot="1" x14ac:dyDescent="0.25">
      <c r="B72" s="81"/>
      <c r="C72" s="47"/>
      <c r="D72" s="47"/>
      <c r="E72" s="74">
        <f>IF(E70&gt;10,ROUNDDOWN(E70,0),IF(E70&gt;1,ROUNDDOWN(E70,1),IF(E70&gt;0.1,ROUNDDOWN(E70,2),IF(E70&gt;0.01,ROUNDDOWN(E70,3),ROUNDDOWN(E70,4)))))</f>
        <v>8.7999999999999995E-2</v>
      </c>
      <c r="F72" s="47"/>
      <c r="G72" s="47"/>
      <c r="H72" s="47"/>
      <c r="I72" s="47"/>
      <c r="J72" s="79"/>
    </row>
    <row r="73" spans="2:10" ht="13.5" thickBot="1" x14ac:dyDescent="0.25">
      <c r="B73" s="81"/>
      <c r="C73" s="684" t="s">
        <v>156</v>
      </c>
      <c r="D73" s="685"/>
      <c r="E73" s="109">
        <f>IF(E70&gt;E71,E71,E70)</f>
        <v>0.04</v>
      </c>
      <c r="F73" s="95" t="s">
        <v>157</v>
      </c>
      <c r="G73" s="47"/>
      <c r="H73" s="47"/>
      <c r="I73" s="47"/>
      <c r="J73" s="79"/>
    </row>
    <row r="74" spans="2:10" x14ac:dyDescent="0.2">
      <c r="B74" s="81"/>
      <c r="C74" s="47"/>
      <c r="D74" s="47"/>
      <c r="E74" s="74">
        <f>IF(E73&gt;10,ROUNDDOWN(E73,0),IF(E73&gt;1,ROUNDDOWN(E73,1),IF(E73&gt;0.1,ROUNDDOWN(E73,2),IF(E73&gt;0.01,ROUNDDOWN(E73,3),ROUNDDOWN(E73,4)))))</f>
        <v>0.04</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0.35571316797641372</v>
      </c>
      <c r="H77" s="139"/>
      <c r="I77" s="139"/>
      <c r="J77" s="79"/>
    </row>
    <row r="78" spans="2:10" x14ac:dyDescent="0.2">
      <c r="B78" s="81"/>
      <c r="C78" s="686" t="s">
        <v>150</v>
      </c>
      <c r="D78" s="687"/>
      <c r="E78" s="364" t="s">
        <v>153</v>
      </c>
      <c r="F78" s="86">
        <f>+F64</f>
        <v>1.1245015254159014E-2</v>
      </c>
      <c r="G78" s="83">
        <f>+G69</f>
        <v>4.0000000000000001E-3</v>
      </c>
      <c r="H78" s="139"/>
      <c r="I78" s="139"/>
      <c r="J78" s="79"/>
    </row>
    <row r="79" spans="2:10" x14ac:dyDescent="0.2">
      <c r="B79" s="81"/>
      <c r="C79" s="683" t="s">
        <v>154</v>
      </c>
      <c r="D79" s="683"/>
      <c r="E79" s="93">
        <f>+F78/F77*E77</f>
        <v>1.1245015254159014E-2</v>
      </c>
      <c r="F79" s="47"/>
      <c r="G79" s="47"/>
      <c r="H79" s="47"/>
      <c r="I79" s="47"/>
      <c r="J79" s="79"/>
    </row>
    <row r="80" spans="2:10" x14ac:dyDescent="0.2">
      <c r="B80" s="81"/>
      <c r="C80" s="683" t="s">
        <v>155</v>
      </c>
      <c r="D80" s="683"/>
      <c r="E80" s="83">
        <f>+E71</f>
        <v>0.04</v>
      </c>
      <c r="F80" s="47"/>
      <c r="G80" s="47"/>
      <c r="H80" s="47"/>
      <c r="I80" s="47"/>
      <c r="J80" s="79"/>
    </row>
    <row r="81" spans="2:10" ht="13.5" thickBot="1" x14ac:dyDescent="0.25">
      <c r="B81" s="81"/>
      <c r="C81" s="47"/>
      <c r="D81" s="47"/>
      <c r="E81" s="74">
        <f>IF(E79&gt;10,ROUNDDOWN(E79,0),IF(E79&gt;1,ROUNDDOWN(E79,1),IF(E79&gt;0.1,ROUNDDOWN(E79,2),IF(E79&gt;0.01,ROUNDDOWN(E79,3),ROUNDDOWN(E79,4)))))</f>
        <v>1.0999999999999999E-2</v>
      </c>
      <c r="F81" s="47"/>
      <c r="G81" s="47"/>
      <c r="H81" s="47"/>
      <c r="I81" s="47"/>
      <c r="J81" s="79"/>
    </row>
    <row r="82" spans="2:10" ht="13.5" thickBot="1" x14ac:dyDescent="0.25">
      <c r="B82" s="81"/>
      <c r="C82" s="684" t="s">
        <v>156</v>
      </c>
      <c r="D82" s="685"/>
      <c r="E82" s="109">
        <f>IF(E79&gt;E80,E80,E79)</f>
        <v>1.1245015254159014E-2</v>
      </c>
      <c r="F82" s="95" t="s">
        <v>157</v>
      </c>
      <c r="G82" s="47"/>
      <c r="H82" s="47"/>
      <c r="I82" s="47"/>
      <c r="J82" s="79"/>
    </row>
    <row r="83" spans="2:10" x14ac:dyDescent="0.2">
      <c r="B83" s="81"/>
      <c r="C83" s="47"/>
      <c r="D83" s="47"/>
      <c r="E83" s="74">
        <f>IF(E82&gt;10,ROUNDDOWN(E82,0),IF(E82&gt;1,ROUNDDOWN(E82,1),IF(E82&gt;0.1,ROUNDDOWN(E82,2),IF(E82&gt;0.01,ROUNDDOWN(E82,3),ROUNDDOWN(E82,4)))))</f>
        <v>1.0999999999999999E-2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341" priority="5">
      <formula>$A41&gt;0</formula>
    </cfRule>
  </conditionalFormatting>
  <conditionalFormatting sqref="G30">
    <cfRule type="expression" dxfId="340" priority="4">
      <formula>$A$29&gt;0</formula>
    </cfRule>
  </conditionalFormatting>
  <conditionalFormatting sqref="G31">
    <cfRule type="expression" dxfId="339" priority="3">
      <formula>$A$30&gt;0</formula>
    </cfRule>
  </conditionalFormatting>
  <conditionalFormatting sqref="G32">
    <cfRule type="expression" dxfId="338" priority="2">
      <formula>$A$31&gt;0</formula>
    </cfRule>
  </conditionalFormatting>
  <conditionalFormatting sqref="G9">
    <cfRule type="expression" dxfId="337" priority="6">
      <formula>#REF!&gt;0</formula>
    </cfRule>
  </conditionalFormatting>
  <conditionalFormatting sqref="G11 G25:I27">
    <cfRule type="expression" dxfId="336" priority="7">
      <formula>#REF!&gt;0</formula>
    </cfRule>
  </conditionalFormatting>
  <conditionalFormatting sqref="G18">
    <cfRule type="expression" dxfId="335" priority="8">
      <formula>#REF!&gt;0</formula>
    </cfRule>
  </conditionalFormatting>
  <conditionalFormatting sqref="G22:G24">
    <cfRule type="expression" dxfId="334" priority="9">
      <formula>$A$25&gt;0</formula>
    </cfRule>
  </conditionalFormatting>
  <conditionalFormatting sqref="G23:G24">
    <cfRule type="expression" dxfId="333" priority="10">
      <formula>#REF!&gt;0</formula>
    </cfRule>
  </conditionalFormatting>
  <conditionalFormatting sqref="G21">
    <cfRule type="expression" dxfId="332" priority="11">
      <formula>$A$23&gt;0</formula>
    </cfRule>
  </conditionalFormatting>
  <conditionalFormatting sqref="G12">
    <cfRule type="expression" dxfId="331" priority="1">
      <formula>#REF!&gt;0</formula>
    </cfRule>
  </conditionalFormatting>
  <conditionalFormatting sqref="G34">
    <cfRule type="expression" dxfId="330" priority="12">
      <formula>#REF!&gt;0</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3.5000000000000003E-2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35</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7.9</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1</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329</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105</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+計算シート_1・1・ジクロロエチレン!G39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計算シート_1・1・ジクロロエチレン!G41</f>
        <v>1.1890000000000001</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1・1・ジクロロエチレン!$Y$14=1,"目標土壌溶出量濃度",IF(入力シート_1・1・ジクロロエチレン!$Y$14=2,"目標土壌溶出量濃度",IF(入力シート_1・1・ジクロロエチレン!$Y$14=3,"目標土壌溶出量濃度","PRB通過後の観測点における目標地下水濃度")))</f>
        <v>目標土壌溶出量濃度</v>
      </c>
      <c r="E41" s="527"/>
      <c r="F41" s="527"/>
      <c r="G41" s="528">
        <f>IF($X$14=1,IF(計算シート_1・1・ジクロロエチレン!E83&gt;10000,"&gt;10,000",+計算シート_1・1・ジクロロエチレン!E83),計算シート_1・1・ジクロロエチレン!E74)</f>
        <v>0.13</v>
      </c>
      <c r="H41" s="528"/>
      <c r="I41" s="244" t="s">
        <v>28</v>
      </c>
      <c r="J41" s="155"/>
      <c r="K41" s="529">
        <f>+計算シート_1・1・ジクロロエチレン!E83</f>
        <v>0.13</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329" priority="3">
      <formula>LEN(TRIM(Y13))=0</formula>
    </cfRule>
  </conditionalFormatting>
  <conditionalFormatting sqref="D35:H35 J35:L35">
    <cfRule type="expression" dxfId="328" priority="2">
      <formula>$X$14=1</formula>
    </cfRule>
  </conditionalFormatting>
  <conditionalFormatting sqref="I35">
    <cfRule type="expression" dxfId="327"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2290"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2291"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+入力シート_1・1・ジクロロエチレン!F20</f>
        <v>1,1-ジクロロエチレン</v>
      </c>
      <c r="D6" s="721"/>
      <c r="E6" s="722"/>
      <c r="F6" s="17"/>
      <c r="G6" s="18" t="str">
        <f>$C$6</f>
        <v>1,1-ジクロロエチレン</v>
      </c>
      <c r="L6" s="102"/>
      <c r="M6" s="15"/>
      <c r="N6" s="15"/>
      <c r="O6" s="15"/>
      <c r="P6" s="15"/>
      <c r="Q6" s="15"/>
      <c r="R6" s="15"/>
      <c r="S6" s="15"/>
    </row>
    <row r="7" spans="2:19" ht="13.5" thickBot="1" x14ac:dyDescent="0.25">
      <c r="B7" s="19" t="s">
        <v>87</v>
      </c>
      <c r="C7" s="723" t="s">
        <v>88</v>
      </c>
      <c r="D7" s="724"/>
      <c r="E7" s="725"/>
      <c r="F7" s="20" t="s">
        <v>89</v>
      </c>
      <c r="G7" s="21">
        <f>+入力シート_1・1・ジクロロエチレン!R14</f>
        <v>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++入力シート_1・1・ジクロロエチレン!J32</f>
        <v>30</v>
      </c>
      <c r="L9" s="102"/>
      <c r="M9" s="15"/>
      <c r="N9" s="15"/>
      <c r="O9" s="15"/>
      <c r="P9" s="15"/>
      <c r="Q9" s="15"/>
      <c r="R9" s="15"/>
      <c r="S9" s="15"/>
    </row>
    <row r="10" spans="2:19" ht="18" x14ac:dyDescent="0.2">
      <c r="B10" s="26" t="s">
        <v>91</v>
      </c>
      <c r="C10" s="686" t="s">
        <v>72</v>
      </c>
      <c r="D10" s="689"/>
      <c r="E10" s="687"/>
      <c r="F10" s="362" t="s">
        <v>43</v>
      </c>
      <c r="G10" s="28">
        <f>+入力シート_1・1・ジクロロエチレン!J33</f>
        <v>15</v>
      </c>
      <c r="L10" s="102"/>
      <c r="M10" s="15"/>
      <c r="N10" s="15"/>
      <c r="O10" s="15"/>
      <c r="P10" s="15"/>
      <c r="Q10" s="15"/>
      <c r="R10" s="15"/>
      <c r="S10" s="15"/>
    </row>
    <row r="11" spans="2:19" ht="18" x14ac:dyDescent="0.2">
      <c r="B11" s="26" t="s">
        <v>73</v>
      </c>
      <c r="C11" s="686" t="s">
        <v>74</v>
      </c>
      <c r="D11" s="689"/>
      <c r="E11" s="687"/>
      <c r="F11" s="362" t="s">
        <v>43</v>
      </c>
      <c r="G11" s="28">
        <f>+入力シート_1・1・ジクロロエチレン!J24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入力シート_1・1・ジクロロエチレン!J30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入力シート_1・1・ジクロロエチレン!R20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入力シート_1・1・ジクロロエチレン!F27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入力シート_1・1・ジクロロエチレン!R21</f>
        <v>0.3</v>
      </c>
      <c r="L23" s="70"/>
      <c r="M23" s="15"/>
      <c r="N23" s="15"/>
      <c r="O23" s="15"/>
      <c r="P23" s="15"/>
      <c r="Q23" s="15"/>
      <c r="R23" s="15"/>
      <c r="S23" s="15"/>
    </row>
    <row r="24" spans="1:19" ht="18" x14ac:dyDescent="0.2">
      <c r="A24" s="37"/>
      <c r="B24" s="26" t="s">
        <v>163</v>
      </c>
      <c r="C24" s="688" t="s">
        <v>177</v>
      </c>
      <c r="D24" s="689"/>
      <c r="E24" s="687"/>
      <c r="F24" s="362" t="s">
        <v>51</v>
      </c>
      <c r="G24" s="28">
        <f>入力シート_1・1・ジクロロエチレン!R22</f>
        <v>0.4</v>
      </c>
      <c r="L24" s="70"/>
      <c r="M24" s="15"/>
      <c r="N24" s="15"/>
      <c r="O24" s="15"/>
      <c r="P24" s="15"/>
      <c r="Q24" s="15"/>
      <c r="R24" s="15"/>
      <c r="S24" s="15"/>
    </row>
    <row r="25" spans="1:19" ht="21" x14ac:dyDescent="0.2">
      <c r="A25" s="37"/>
      <c r="B25" s="26" t="s">
        <v>101</v>
      </c>
      <c r="C25" s="686" t="s">
        <v>46</v>
      </c>
      <c r="D25" s="689"/>
      <c r="E25" s="687"/>
      <c r="F25" s="362" t="s">
        <v>43</v>
      </c>
      <c r="G25" s="43">
        <f>入力シート_1・1・ジクロロエチレン!R12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入力シート_1・1・ジクロロエチレン!R13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入力シート_1・1・ジクロロエチレン!R13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入力シート_1・1・ジクロロエチレン!R11</f>
        <v>7.9</v>
      </c>
      <c r="L29" s="70"/>
      <c r="M29" s="15"/>
      <c r="N29" s="15"/>
      <c r="O29" s="15"/>
      <c r="P29" s="15"/>
      <c r="Q29" s="15"/>
      <c r="R29" s="15"/>
      <c r="S29" s="15"/>
    </row>
    <row r="30" spans="1:19" ht="14" x14ac:dyDescent="0.3">
      <c r="A30" s="37"/>
      <c r="B30" s="49" t="s">
        <v>107</v>
      </c>
      <c r="C30" s="692" t="s">
        <v>53</v>
      </c>
      <c r="D30" s="692"/>
      <c r="E30" s="692"/>
      <c r="F30" s="364" t="s">
        <v>108</v>
      </c>
      <c r="G30" s="51">
        <f>入力シート_1・1・ジクロロエチレン!R9</f>
        <v>3.5000000000000003E-2</v>
      </c>
      <c r="L30" s="70"/>
      <c r="M30" s="15"/>
      <c r="N30" s="15"/>
      <c r="O30" s="15"/>
      <c r="P30" s="15"/>
      <c r="Q30" s="15"/>
      <c r="R30" s="15"/>
      <c r="S30" s="15"/>
    </row>
    <row r="31" spans="1:19" ht="18" x14ac:dyDescent="0.4">
      <c r="A31" s="37"/>
      <c r="B31" s="52" t="s">
        <v>109</v>
      </c>
      <c r="C31" s="692" t="s">
        <v>110</v>
      </c>
      <c r="D31" s="692"/>
      <c r="E31" s="692"/>
      <c r="F31" s="364" t="s">
        <v>111</v>
      </c>
      <c r="G31" s="51">
        <f>IF(A31="",入力シート_1・1・ジクロロエチレン!R10,A31)</f>
        <v>35</v>
      </c>
      <c r="L31" s="70"/>
      <c r="M31" s="15"/>
      <c r="N31" s="15"/>
      <c r="O31" s="15"/>
      <c r="P31" s="15"/>
      <c r="Q31" s="15"/>
      <c r="R31" s="15"/>
      <c r="S31" s="15"/>
    </row>
    <row r="32" spans="1:19" ht="18.5" thickBot="1" x14ac:dyDescent="0.45">
      <c r="A32" s="37"/>
      <c r="B32" s="53" t="s">
        <v>112</v>
      </c>
      <c r="C32" s="695" t="s">
        <v>113</v>
      </c>
      <c r="D32" s="695"/>
      <c r="E32" s="695"/>
      <c r="F32" s="365" t="s">
        <v>114</v>
      </c>
      <c r="G32" s="55">
        <f>入力シート_1・1・ジクロロエチレン!R25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入力シート_1・1・ジクロロエチレン!R24</f>
        <v>1.62</v>
      </c>
      <c r="L34" s="15"/>
      <c r="M34" s="15"/>
      <c r="N34" s="15"/>
      <c r="O34" s="15"/>
      <c r="P34" s="15"/>
      <c r="Q34" s="15"/>
      <c r="R34" s="15"/>
      <c r="S34" s="15"/>
    </row>
    <row r="35" spans="1:19" ht="18" x14ac:dyDescent="0.2">
      <c r="B35" s="26" t="s">
        <v>118</v>
      </c>
      <c r="C35" s="686" t="s">
        <v>119</v>
      </c>
      <c r="D35" s="689"/>
      <c r="E35" s="687"/>
      <c r="F35" s="362" t="s">
        <v>120</v>
      </c>
      <c r="G35" s="43">
        <f>+入力シート_1・1・ジクロロエチレン!J35*0.365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8.7740149437967749E-2</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1.1890000000000001</v>
      </c>
    </row>
    <row r="42" spans="1:19" ht="18.5" thickBot="1" x14ac:dyDescent="0.25">
      <c r="B42" s="61" t="s">
        <v>131</v>
      </c>
      <c r="R42" s="60"/>
    </row>
    <row r="43" spans="1:19" x14ac:dyDescent="0.2">
      <c r="B43" s="12"/>
      <c r="C43" s="697" t="s">
        <v>132</v>
      </c>
      <c r="D43" s="698"/>
      <c r="E43" s="698"/>
      <c r="F43" s="367"/>
      <c r="G43" s="125">
        <f>SQRT(1+4*$G38*G25/$G39)</f>
        <v>1.0541768710667556</v>
      </c>
      <c r="H43" s="122"/>
      <c r="I43" s="122"/>
      <c r="N43" s="60"/>
      <c r="R43" s="47"/>
    </row>
    <row r="44" spans="1:19" x14ac:dyDescent="0.2">
      <c r="B44" s="62" t="s">
        <v>133</v>
      </c>
      <c r="C44" s="687"/>
      <c r="D44" s="692"/>
      <c r="E44" s="692"/>
      <c r="F44" s="63"/>
      <c r="G44" s="126">
        <f>EXP(G14/(2*G25)*(1-G43))</f>
        <v>0.7627046940349419</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0.73685293014803466</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0.73685293014803466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1,1-ジクロロエチレン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0.73685293014803466</v>
      </c>
      <c r="H63" s="139"/>
      <c r="I63" s="139"/>
      <c r="J63" s="79"/>
      <c r="K63" s="84"/>
      <c r="L63" s="691"/>
      <c r="M63" s="691"/>
      <c r="N63" s="691"/>
      <c r="O63" s="74"/>
      <c r="P63" s="85"/>
      <c r="Q63" s="47"/>
    </row>
    <row r="64" spans="1:17" ht="16.5" x14ac:dyDescent="0.2">
      <c r="B64" s="87"/>
      <c r="C64" s="693" t="s">
        <v>150</v>
      </c>
      <c r="D64" s="693"/>
      <c r="E64" s="693"/>
      <c r="F64" s="88">
        <f>+G64/G63*F63</f>
        <v>0.13571229197651408</v>
      </c>
      <c r="G64" s="83">
        <f>+G7</f>
        <v>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0.13</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9.3131057905464443E-2</v>
      </c>
      <c r="H68" s="139"/>
      <c r="I68" s="139"/>
      <c r="J68" s="79"/>
    </row>
    <row r="69" spans="2:10" x14ac:dyDescent="0.2">
      <c r="B69" s="81"/>
      <c r="C69" s="686" t="s">
        <v>150</v>
      </c>
      <c r="D69" s="687"/>
      <c r="E69" s="364" t="s">
        <v>153</v>
      </c>
      <c r="F69" s="86">
        <f>+G69/G68*F68</f>
        <v>0.13571229197651405</v>
      </c>
      <c r="G69" s="83">
        <f>+G64</f>
        <v>0.1</v>
      </c>
      <c r="H69" s="139"/>
      <c r="I69" s="139"/>
      <c r="J69" s="79"/>
    </row>
    <row r="70" spans="2:10" x14ac:dyDescent="0.2">
      <c r="B70" s="81"/>
      <c r="C70" s="683" t="s">
        <v>154</v>
      </c>
      <c r="D70" s="683"/>
      <c r="E70" s="93">
        <f>+F69/F68*E68</f>
        <v>1.0737556541181792</v>
      </c>
      <c r="F70" s="47"/>
      <c r="G70" s="47"/>
      <c r="H70" s="47"/>
      <c r="I70" s="47"/>
      <c r="J70" s="79"/>
    </row>
    <row r="71" spans="2:10" x14ac:dyDescent="0.2">
      <c r="B71" s="81"/>
      <c r="C71" s="683" t="s">
        <v>155</v>
      </c>
      <c r="D71" s="683"/>
      <c r="E71" s="83">
        <f>入力シート_1・1・ジクロロエチレン!R15</f>
        <v>1</v>
      </c>
      <c r="F71" s="47"/>
      <c r="G71" s="47"/>
      <c r="H71" s="47"/>
      <c r="I71" s="47"/>
      <c r="J71" s="79"/>
    </row>
    <row r="72" spans="2:10" ht="13.5" thickBot="1" x14ac:dyDescent="0.25">
      <c r="B72" s="81"/>
      <c r="C72" s="47"/>
      <c r="D72" s="47"/>
      <c r="E72" s="74">
        <f>IF(E70&gt;10,ROUNDDOWN(E70,0),IF(E70&gt;1,ROUNDDOWN(E70,1),IF(E70&gt;0.1,ROUNDDOWN(E70,2),IF(E70&gt;0.01,ROUNDDOWN(E70,3),ROUNDDOWN(E70,4)))))</f>
        <v>1</v>
      </c>
      <c r="F72" s="47"/>
      <c r="G72" s="47"/>
      <c r="H72" s="47"/>
      <c r="I72" s="47"/>
      <c r="J72" s="79"/>
    </row>
    <row r="73" spans="2:10" ht="13.5" thickBot="1" x14ac:dyDescent="0.25">
      <c r="B73" s="81"/>
      <c r="C73" s="684" t="s">
        <v>156</v>
      </c>
      <c r="D73" s="685"/>
      <c r="E73" s="109">
        <f>IF(E70&gt;E71,E71,E70)</f>
        <v>1</v>
      </c>
      <c r="F73" s="95" t="s">
        <v>157</v>
      </c>
      <c r="G73" s="47"/>
      <c r="H73" s="47"/>
      <c r="I73" s="47"/>
      <c r="J73" s="79"/>
    </row>
    <row r="74" spans="2:10" x14ac:dyDescent="0.2">
      <c r="B74" s="81"/>
      <c r="C74" s="47"/>
      <c r="D74" s="47"/>
      <c r="E74" s="74">
        <f>IF(E73&gt;10,ROUNDDOWN(E73,0),IF(E73&gt;1,ROUNDDOWN(E73,1),IF(E73&gt;0.1,ROUNDDOWN(E73,2),IF(E73&gt;0.01,ROUNDDOWN(E73,3),ROUNDDOWN(E73,4)))))</f>
        <v>1</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0.73685293014803466</v>
      </c>
      <c r="H77" s="139"/>
      <c r="I77" s="139"/>
      <c r="J77" s="79"/>
    </row>
    <row r="78" spans="2:10" x14ac:dyDescent="0.2">
      <c r="B78" s="81"/>
      <c r="C78" s="686" t="s">
        <v>150</v>
      </c>
      <c r="D78" s="687"/>
      <c r="E78" s="364" t="s">
        <v>153</v>
      </c>
      <c r="F78" s="86">
        <f>+F64</f>
        <v>0.13571229197651408</v>
      </c>
      <c r="G78" s="83">
        <f>+G69</f>
        <v>0.1</v>
      </c>
      <c r="H78" s="139"/>
      <c r="I78" s="139"/>
      <c r="J78" s="79"/>
    </row>
    <row r="79" spans="2:10" x14ac:dyDescent="0.2">
      <c r="B79" s="81"/>
      <c r="C79" s="683" t="s">
        <v>154</v>
      </c>
      <c r="D79" s="683"/>
      <c r="E79" s="93">
        <f>+F78/F77*E77</f>
        <v>0.13571229197651408</v>
      </c>
      <c r="F79" s="47"/>
      <c r="G79" s="47"/>
      <c r="H79" s="47"/>
      <c r="I79" s="47"/>
      <c r="J79" s="79"/>
    </row>
    <row r="80" spans="2:10" x14ac:dyDescent="0.2">
      <c r="B80" s="81"/>
      <c r="C80" s="683" t="s">
        <v>155</v>
      </c>
      <c r="D80" s="683"/>
      <c r="E80" s="83">
        <f>+E71</f>
        <v>1</v>
      </c>
      <c r="F80" s="47"/>
      <c r="G80" s="47"/>
      <c r="H80" s="47"/>
      <c r="I80" s="47"/>
      <c r="J80" s="79"/>
    </row>
    <row r="81" spans="2:10" ht="13.5" thickBot="1" x14ac:dyDescent="0.25">
      <c r="B81" s="81"/>
      <c r="C81" s="47"/>
      <c r="D81" s="47"/>
      <c r="E81" s="74">
        <f>IF(E79&gt;10,ROUNDDOWN(E79,0),IF(E79&gt;1,ROUNDDOWN(E79,1),IF(E79&gt;0.1,ROUNDDOWN(E79,2),IF(E79&gt;0.01,ROUNDDOWN(E79,3),ROUNDDOWN(E79,4)))))</f>
        <v>0.13</v>
      </c>
      <c r="F81" s="47"/>
      <c r="G81" s="47"/>
      <c r="H81" s="47"/>
      <c r="I81" s="47"/>
      <c r="J81" s="79"/>
    </row>
    <row r="82" spans="2:10" ht="13.5" thickBot="1" x14ac:dyDescent="0.25">
      <c r="B82" s="81"/>
      <c r="C82" s="684" t="s">
        <v>156</v>
      </c>
      <c r="D82" s="685"/>
      <c r="E82" s="109">
        <f>IF(E79&gt;E80,E80,E79)</f>
        <v>0.13571229197651408</v>
      </c>
      <c r="F82" s="95" t="s">
        <v>157</v>
      </c>
      <c r="G82" s="47"/>
      <c r="H82" s="47"/>
      <c r="I82" s="47"/>
      <c r="J82" s="79"/>
    </row>
    <row r="83" spans="2:10" x14ac:dyDescent="0.2">
      <c r="B83" s="81"/>
      <c r="C83" s="47"/>
      <c r="D83" s="47"/>
      <c r="E83" s="74">
        <f>IF(E82&gt;10,ROUNDDOWN(E82,0),IF(E82&gt;1,ROUNDDOWN(E82,1),IF(E82&gt;0.1,ROUNDDOWN(E82,2),IF(E82&gt;0.01,ROUNDDOWN(E82,3),ROUNDDOWN(E82,4)))))</f>
        <v>0.13</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326" priority="5">
      <formula>$A41&gt;0</formula>
    </cfRule>
  </conditionalFormatting>
  <conditionalFormatting sqref="G30">
    <cfRule type="expression" dxfId="325" priority="4">
      <formula>$A$29&gt;0</formula>
    </cfRule>
  </conditionalFormatting>
  <conditionalFormatting sqref="G31">
    <cfRule type="expression" dxfId="324" priority="3">
      <formula>$A$30&gt;0</formula>
    </cfRule>
  </conditionalFormatting>
  <conditionalFormatting sqref="G32">
    <cfRule type="expression" dxfId="323" priority="2">
      <formula>$A$31&gt;0</formula>
    </cfRule>
  </conditionalFormatting>
  <conditionalFormatting sqref="G9">
    <cfRule type="expression" dxfId="322" priority="6">
      <formula>#REF!&gt;0</formula>
    </cfRule>
  </conditionalFormatting>
  <conditionalFormatting sqref="G11 G25:I27">
    <cfRule type="expression" dxfId="321" priority="7">
      <formula>#REF!&gt;0</formula>
    </cfRule>
  </conditionalFormatting>
  <conditionalFormatting sqref="G18">
    <cfRule type="expression" dxfId="320" priority="8">
      <formula>#REF!&gt;0</formula>
    </cfRule>
  </conditionalFormatting>
  <conditionalFormatting sqref="G22:G24">
    <cfRule type="expression" dxfId="319" priority="9">
      <formula>$A$25&gt;0</formula>
    </cfRule>
  </conditionalFormatting>
  <conditionalFormatting sqref="G23:G24">
    <cfRule type="expression" dxfId="318" priority="10">
      <formula>#REF!&gt;0</formula>
    </cfRule>
  </conditionalFormatting>
  <conditionalFormatting sqref="G21">
    <cfRule type="expression" dxfId="317" priority="11">
      <formula>$A$23&gt;0</formula>
    </cfRule>
  </conditionalFormatting>
  <conditionalFormatting sqref="G12">
    <cfRule type="expression" dxfId="316" priority="1">
      <formula>#REF!&gt;0</formula>
    </cfRule>
  </conditionalFormatting>
  <conditionalFormatting sqref="G34">
    <cfRule type="expression" dxfId="315" priority="12">
      <formula>#REF!&gt;0</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customWidth="1"/>
    <col min="23" max="23" width="9" customWidth="1"/>
    <col min="24" max="24" width="6.6328125" style="149" customWidth="1"/>
    <col min="25" max="25" width="23.453125" style="149" customWidth="1"/>
    <col min="26" max="30" width="9" style="149"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3.6000000000000004E-2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36</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7.9</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0.04</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0.4</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330</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106</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+計算シート_1・2・ジクロロエチレン!G39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計算シート_1・2・ジクロロエチレン!G41</f>
        <v>1.1944000000000001</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360</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361</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1・2・ジクロロエチレン!$Y$14=1,"目標土壌溶出量濃度",IF(入力シート_1・2・ジクロロエチレン!$Y$14=2,"目標土壌溶出量濃度",IF(入力シート_1・2・ジクロロエチレン!$Y$14=3,"目標土壌溶出量濃度","PRB通過後の観測点における目標地下水濃度")))</f>
        <v>目標土壌溶出量濃度</v>
      </c>
      <c r="E41" s="527"/>
      <c r="F41" s="527"/>
      <c r="G41" s="528">
        <f>IF($X$14=1,IF(計算シート_1・2・ジクロロエチレン!E83&gt;10000,"&gt;10,000",+計算シート_1・2・ジクロロエチレン!E83),計算シート_1・2・ジクロロエチレン!E74)</f>
        <v>5.3999999999999999E-2</v>
      </c>
      <c r="H41" s="528"/>
      <c r="I41" s="244" t="s">
        <v>28</v>
      </c>
      <c r="J41" s="155"/>
      <c r="K41" s="529">
        <f>+計算シート_1・2・ジクロロエチレン!E83</f>
        <v>5.3999999999999999E-2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360</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314" priority="3">
      <formula>LEN(TRIM(Y13))=0</formula>
    </cfRule>
  </conditionalFormatting>
  <conditionalFormatting sqref="D35:H35 J35:L35">
    <cfRule type="expression" dxfId="313" priority="2">
      <formula>$X$14=1</formula>
    </cfRule>
  </conditionalFormatting>
  <conditionalFormatting sqref="I35">
    <cfRule type="expression" dxfId="312"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3314"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3315"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T54"/>
  <sheetViews>
    <sheetView showGridLines="0" showRowColHeaders="0" zoomScale="80" zoomScaleNormal="80" workbookViewId="0">
      <selection activeCell="B3" sqref="B3:I3"/>
    </sheetView>
  </sheetViews>
  <sheetFormatPr defaultRowHeight="13" x14ac:dyDescent="0.2"/>
  <cols>
    <col min="1" max="1" width="3.6328125" customWidth="1"/>
    <col min="2" max="2" width="12.6328125" customWidth="1"/>
    <col min="3" max="3" width="17.453125" customWidth="1"/>
    <col min="4" max="7" width="7.36328125" customWidth="1"/>
    <col min="8" max="9" width="16.90625" customWidth="1"/>
    <col min="10" max="10" width="3.6328125" customWidth="1"/>
  </cols>
  <sheetData>
    <row r="1" spans="1:20" x14ac:dyDescent="0.2">
      <c r="A1" s="162"/>
      <c r="B1" s="157"/>
      <c r="C1" s="157"/>
      <c r="D1" s="157"/>
      <c r="E1" s="157"/>
      <c r="F1" s="157"/>
      <c r="G1" s="157"/>
      <c r="H1" s="157"/>
      <c r="I1" s="157"/>
      <c r="J1" s="163" t="str">
        <f>'入力シート (一物質)'!U3</f>
        <v xml:space="preserve">措置完了条件（目標土壌溶出量・目標地下水濃度の計算）の計算ツール　Ver 1.0 </v>
      </c>
    </row>
    <row r="2" spans="1:20" x14ac:dyDescent="0.2">
      <c r="A2" s="164"/>
      <c r="B2" s="155"/>
      <c r="C2" s="155"/>
      <c r="D2" s="155"/>
      <c r="E2" s="155"/>
      <c r="F2" s="155"/>
      <c r="G2" s="155"/>
      <c r="H2" s="155"/>
      <c r="I2" s="155"/>
      <c r="J2" s="165"/>
    </row>
    <row r="3" spans="1:20" ht="28" x14ac:dyDescent="0.2">
      <c r="A3" s="164"/>
      <c r="B3" s="542" t="s">
        <v>315</v>
      </c>
      <c r="C3" s="543"/>
      <c r="D3" s="543"/>
      <c r="E3" s="543"/>
      <c r="F3" s="543"/>
      <c r="G3" s="543"/>
      <c r="H3" s="543"/>
      <c r="I3" s="543"/>
      <c r="J3" s="170"/>
    </row>
    <row r="4" spans="1:20" ht="32.25" customHeight="1" x14ac:dyDescent="0.2">
      <c r="A4" s="164"/>
      <c r="B4" s="166"/>
      <c r="C4" s="166"/>
      <c r="D4" s="166"/>
      <c r="E4" s="166"/>
      <c r="F4" s="166"/>
      <c r="G4" s="166"/>
      <c r="H4" s="166"/>
      <c r="I4" s="166"/>
      <c r="J4" s="158"/>
    </row>
    <row r="5" spans="1:20" ht="25" customHeight="1" x14ac:dyDescent="0.2">
      <c r="A5" s="164"/>
      <c r="B5" s="539" t="str">
        <f>'入力シート (一物質)'!C8</f>
        <v>文書番号</v>
      </c>
      <c r="C5" s="539"/>
      <c r="D5" s="540" t="str">
        <f>'入力シート (一物質)'!E8</f>
        <v>文書－１２３－４５－６７８</v>
      </c>
      <c r="E5" s="540"/>
      <c r="F5" s="540"/>
      <c r="G5" s="540"/>
      <c r="H5" s="540"/>
      <c r="I5" s="540"/>
      <c r="J5" s="307"/>
    </row>
    <row r="6" spans="1:20" ht="25" customHeight="1" x14ac:dyDescent="0.2">
      <c r="A6" s="164"/>
      <c r="B6" s="539" t="str">
        <f>'入力シート (一物質)'!C9</f>
        <v>状況調査報告書提出日</v>
      </c>
      <c r="C6" s="539"/>
      <c r="D6" s="544">
        <f>'入力シート (一物質)'!E9</f>
        <v>43595</v>
      </c>
      <c r="E6" s="544"/>
      <c r="F6" s="544"/>
      <c r="G6" s="544"/>
      <c r="H6" s="544"/>
      <c r="I6" s="544"/>
      <c r="J6" s="307"/>
    </row>
    <row r="7" spans="1:20" ht="25" customHeight="1" x14ac:dyDescent="0.2">
      <c r="A7" s="164"/>
      <c r="B7" s="539" t="str">
        <f>'入力シート (一物質)'!C10</f>
        <v>計算実施日</v>
      </c>
      <c r="C7" s="539"/>
      <c r="D7" s="544">
        <f>'入力シート (一物質)'!E10</f>
        <v>43600</v>
      </c>
      <c r="E7" s="544"/>
      <c r="F7" s="544"/>
      <c r="G7" s="544"/>
      <c r="H7" s="544"/>
      <c r="I7" s="544"/>
      <c r="J7" s="307"/>
    </row>
    <row r="8" spans="1:20" ht="25" customHeight="1" x14ac:dyDescent="0.2">
      <c r="A8" s="164"/>
      <c r="B8" s="539" t="str">
        <f>'入力シート (一物質)'!C11</f>
        <v>所在地</v>
      </c>
      <c r="C8" s="539"/>
      <c r="D8" s="540" t="str">
        <f>'入力シート (一物質)'!E11</f>
        <v>東京都 千代田区 霞が関 １－２－２　</v>
      </c>
      <c r="E8" s="540"/>
      <c r="F8" s="540"/>
      <c r="G8" s="540"/>
      <c r="H8" s="540"/>
      <c r="I8" s="540"/>
      <c r="J8" s="307"/>
    </row>
    <row r="9" spans="1:20" ht="25" customHeight="1" x14ac:dyDescent="0.2">
      <c r="A9" s="164"/>
      <c r="B9" s="539" t="str">
        <f>'入力シート (一物質)'!C12</f>
        <v>自由設定項目</v>
      </c>
      <c r="C9" s="539"/>
      <c r="D9" s="541" t="str">
        <f>'入力シート (一物質)'!E12</f>
        <v>※ この項目は項目タイトルを自由に設定することができます。</v>
      </c>
      <c r="E9" s="541"/>
      <c r="F9" s="541"/>
      <c r="G9" s="541"/>
      <c r="H9" s="541"/>
      <c r="I9" s="541"/>
      <c r="J9" s="307"/>
    </row>
    <row r="10" spans="1:20" ht="25" customHeight="1" x14ac:dyDescent="0.2">
      <c r="A10" s="164"/>
      <c r="B10" s="167"/>
      <c r="C10" s="167"/>
      <c r="D10" s="167"/>
      <c r="E10" s="167"/>
      <c r="F10" s="167"/>
      <c r="G10" s="167"/>
      <c r="H10" s="167"/>
      <c r="I10" s="167"/>
      <c r="J10" s="307"/>
    </row>
    <row r="11" spans="1:20" ht="25" customHeight="1" x14ac:dyDescent="0.2">
      <c r="A11" s="164"/>
      <c r="B11" s="475" t="s">
        <v>303</v>
      </c>
      <c r="C11" s="167"/>
      <c r="D11" s="538" t="str">
        <f>'入力シート (一物質)'!F20</f>
        <v>カドミウム及びその化合物</v>
      </c>
      <c r="E11" s="538"/>
      <c r="F11" s="538"/>
      <c r="G11" s="538"/>
      <c r="H11" s="464"/>
      <c r="J11" s="307"/>
    </row>
    <row r="12" spans="1:20" ht="25" customHeight="1" x14ac:dyDescent="0.2">
      <c r="A12" s="164"/>
      <c r="B12" s="306" t="s">
        <v>302</v>
      </c>
      <c r="C12" s="465" t="s">
        <v>305</v>
      </c>
      <c r="D12" s="538" t="str">
        <f>'入力シート (一物質)'!I22</f>
        <v>砂</v>
      </c>
      <c r="E12" s="538"/>
      <c r="F12" s="538"/>
      <c r="G12" s="538"/>
      <c r="H12" s="464"/>
      <c r="J12" s="307"/>
    </row>
    <row r="13" spans="1:20" ht="25" customHeight="1" x14ac:dyDescent="0.2">
      <c r="A13" s="164"/>
      <c r="B13" s="476"/>
      <c r="C13" s="477" t="s">
        <v>308</v>
      </c>
      <c r="E13" s="474">
        <f>'入力シート (一物質)'!J24</f>
        <v>8</v>
      </c>
      <c r="F13" s="167" t="s">
        <v>282</v>
      </c>
      <c r="J13" s="307"/>
    </row>
    <row r="14" spans="1:20" ht="8.15" customHeight="1" x14ac:dyDescent="0.2">
      <c r="A14" s="164"/>
      <c r="B14" s="476"/>
      <c r="C14" s="476"/>
      <c r="F14" s="344"/>
      <c r="G14" s="344"/>
      <c r="H14" s="156"/>
      <c r="I14" s="167"/>
      <c r="J14" s="307"/>
    </row>
    <row r="15" spans="1:20" ht="25" customHeight="1" x14ac:dyDescent="0.2">
      <c r="A15" s="164"/>
      <c r="B15" s="306" t="s">
        <v>304</v>
      </c>
      <c r="C15" s="167"/>
      <c r="E15" s="332">
        <f>'入力シート (一物質)'!F27</f>
        <v>5.0000000000000001E-3</v>
      </c>
      <c r="F15" s="205" t="s">
        <v>16</v>
      </c>
      <c r="J15" s="307"/>
      <c r="N15" s="337"/>
      <c r="O15" s="167"/>
      <c r="P15" s="167"/>
      <c r="Q15" s="167"/>
      <c r="R15" s="167"/>
      <c r="S15" s="167"/>
      <c r="T15" s="167"/>
    </row>
    <row r="16" spans="1:20" ht="25" customHeight="1" x14ac:dyDescent="0.2">
      <c r="A16" s="164"/>
      <c r="B16" s="306" t="s">
        <v>281</v>
      </c>
      <c r="C16" s="167"/>
      <c r="E16" s="332">
        <f>'入力シート (一物質)'!J30</f>
        <v>50</v>
      </c>
      <c r="F16" s="167" t="s">
        <v>282</v>
      </c>
      <c r="J16" s="307"/>
    </row>
    <row r="17" spans="1:17" ht="25" customHeight="1" x14ac:dyDescent="0.2">
      <c r="A17" s="164"/>
      <c r="B17" s="305" t="s">
        <v>299</v>
      </c>
      <c r="C17" s="205"/>
      <c r="J17" s="307"/>
    </row>
    <row r="18" spans="1:17" ht="25" customHeight="1" x14ac:dyDescent="0.2">
      <c r="A18" s="164"/>
      <c r="B18" s="545" t="s">
        <v>430</v>
      </c>
      <c r="C18" s="545"/>
      <c r="E18" s="330">
        <f>'入力シート (一物質)'!J32</f>
        <v>30</v>
      </c>
      <c r="F18" s="167" t="s">
        <v>282</v>
      </c>
      <c r="J18" s="307"/>
    </row>
    <row r="19" spans="1:17" ht="25" customHeight="1" x14ac:dyDescent="0.2">
      <c r="A19" s="164"/>
      <c r="B19" s="545" t="s">
        <v>431</v>
      </c>
      <c r="C19" s="545"/>
      <c r="E19" s="330">
        <f>'入力シート (一物質)'!J33</f>
        <v>15</v>
      </c>
      <c r="F19" s="167" t="s">
        <v>282</v>
      </c>
      <c r="J19" s="307"/>
    </row>
    <row r="20" spans="1:17" ht="25" hidden="1" customHeight="1" x14ac:dyDescent="0.2">
      <c r="A20" s="164"/>
      <c r="B20" s="305" t="s">
        <v>354</v>
      </c>
      <c r="C20" s="167"/>
      <c r="D20" s="567" t="str">
        <f>VLOOKUP('入力シート (一物質)'!Y14,'入力シート (一物質)'!X15:Y17,2)</f>
        <v>地下水位より深い位置</v>
      </c>
      <c r="E20" s="567"/>
      <c r="F20" s="567"/>
      <c r="G20" s="567"/>
      <c r="H20" s="479"/>
      <c r="I20" s="479"/>
      <c r="J20" s="307"/>
      <c r="N20" s="305"/>
      <c r="O20" s="205"/>
      <c r="P20" s="555"/>
      <c r="Q20" s="555"/>
    </row>
    <row r="21" spans="1:17" ht="25" customHeight="1" x14ac:dyDescent="0.2">
      <c r="A21" s="164"/>
      <c r="B21" s="306" t="str">
        <f>IF('入力シート (一物質)'!X14=1,"","かん養量")</f>
        <v/>
      </c>
      <c r="C21" s="478"/>
      <c r="E21" s="332" t="str">
        <f>IF('入力シート (一物質)'!X14=1,"",'入力シート (一物質)'!J35)</f>
        <v/>
      </c>
      <c r="F21" s="167" t="str">
        <f>IF('入力シート (一物質)'!X14=1,"","mm/day")</f>
        <v/>
      </c>
      <c r="J21" s="307"/>
    </row>
    <row r="22" spans="1:17" ht="25" customHeight="1" thickBot="1" x14ac:dyDescent="0.25">
      <c r="A22" s="164"/>
      <c r="B22" s="306"/>
      <c r="C22" s="167"/>
      <c r="D22" s="167"/>
      <c r="E22" s="167"/>
      <c r="F22" s="333"/>
      <c r="G22" s="333"/>
      <c r="H22" s="167"/>
      <c r="I22" s="167"/>
      <c r="J22" s="158"/>
    </row>
    <row r="23" spans="1:17" ht="25" customHeight="1" x14ac:dyDescent="0.2">
      <c r="A23" s="164"/>
      <c r="B23" s="556" t="str">
        <f>'入力シート (一物質)'!D41</f>
        <v>目標土壌溶出量</v>
      </c>
      <c r="C23" s="557"/>
      <c r="D23" s="557"/>
      <c r="E23" s="424"/>
      <c r="F23" s="560">
        <f>'入力シート (一物質)'!G41</f>
        <v>0.14000000000000001</v>
      </c>
      <c r="G23" s="560"/>
      <c r="H23" s="561"/>
      <c r="I23" s="564" t="s">
        <v>280</v>
      </c>
      <c r="J23" s="158"/>
    </row>
    <row r="24" spans="1:17" ht="25" customHeight="1" thickBot="1" x14ac:dyDescent="0.25">
      <c r="A24" s="164"/>
      <c r="B24" s="558"/>
      <c r="C24" s="559"/>
      <c r="D24" s="559"/>
      <c r="E24" s="426"/>
      <c r="F24" s="562"/>
      <c r="G24" s="562"/>
      <c r="H24" s="563"/>
      <c r="I24" s="565"/>
      <c r="J24" s="158"/>
    </row>
    <row r="25" spans="1:17" ht="25" customHeight="1" x14ac:dyDescent="0.2">
      <c r="A25" s="164"/>
      <c r="B25" s="155"/>
      <c r="C25" s="155"/>
      <c r="D25" s="155"/>
      <c r="E25" s="155"/>
      <c r="F25" s="159" t="s">
        <v>383</v>
      </c>
      <c r="I25" s="155"/>
      <c r="J25" s="158"/>
    </row>
    <row r="26" spans="1:17" ht="25" customHeight="1" x14ac:dyDescent="0.2">
      <c r="A26" s="164"/>
      <c r="B26" s="155"/>
      <c r="C26" s="155"/>
      <c r="D26" s="155"/>
      <c r="E26" s="155"/>
      <c r="F26" s="566">
        <f>'入力シート (一物質)'!K41</f>
        <v>0.14000000000000001</v>
      </c>
      <c r="G26" s="566"/>
      <c r="H26" s="169" t="s">
        <v>280</v>
      </c>
      <c r="I26" s="292"/>
      <c r="J26" s="158"/>
    </row>
    <row r="27" spans="1:17" ht="25" customHeight="1" thickBot="1" x14ac:dyDescent="0.25">
      <c r="A27" s="164"/>
      <c r="B27" s="166" t="s">
        <v>199</v>
      </c>
      <c r="C27" s="155"/>
      <c r="D27" s="155"/>
      <c r="E27" s="155"/>
      <c r="F27" s="155"/>
      <c r="G27" s="155"/>
      <c r="H27" s="155"/>
      <c r="I27" s="155"/>
      <c r="J27" s="158"/>
    </row>
    <row r="28" spans="1:17" ht="25" customHeight="1" x14ac:dyDescent="0.2">
      <c r="A28" s="164"/>
      <c r="B28" s="546" t="s">
        <v>380</v>
      </c>
      <c r="C28" s="547"/>
      <c r="D28" s="547"/>
      <c r="E28" s="547"/>
      <c r="F28" s="547"/>
      <c r="G28" s="547"/>
      <c r="H28" s="547"/>
      <c r="I28" s="548"/>
      <c r="J28" s="158"/>
    </row>
    <row r="29" spans="1:17" ht="25" customHeight="1" x14ac:dyDescent="0.2">
      <c r="A29" s="164"/>
      <c r="B29" s="549"/>
      <c r="C29" s="550"/>
      <c r="D29" s="550"/>
      <c r="E29" s="550"/>
      <c r="F29" s="550"/>
      <c r="G29" s="550"/>
      <c r="H29" s="550"/>
      <c r="I29" s="551"/>
      <c r="J29" s="158"/>
    </row>
    <row r="30" spans="1:17" ht="25" customHeight="1" x14ac:dyDescent="0.2">
      <c r="A30" s="164"/>
      <c r="B30" s="549"/>
      <c r="C30" s="550"/>
      <c r="D30" s="550"/>
      <c r="E30" s="550"/>
      <c r="F30" s="550"/>
      <c r="G30" s="550"/>
      <c r="H30" s="550"/>
      <c r="I30" s="551"/>
      <c r="J30" s="158"/>
    </row>
    <row r="31" spans="1:17" ht="25" customHeight="1" x14ac:dyDescent="0.2">
      <c r="A31" s="164"/>
      <c r="B31" s="549"/>
      <c r="C31" s="550"/>
      <c r="D31" s="550"/>
      <c r="E31" s="550"/>
      <c r="F31" s="550"/>
      <c r="G31" s="550"/>
      <c r="H31" s="550"/>
      <c r="I31" s="551"/>
      <c r="J31" s="158"/>
    </row>
    <row r="32" spans="1:17" ht="25" customHeight="1" x14ac:dyDescent="0.2">
      <c r="A32" s="164"/>
      <c r="B32" s="549"/>
      <c r="C32" s="550"/>
      <c r="D32" s="550"/>
      <c r="E32" s="550"/>
      <c r="F32" s="550"/>
      <c r="G32" s="550"/>
      <c r="H32" s="550"/>
      <c r="I32" s="551"/>
      <c r="J32" s="158"/>
    </row>
    <row r="33" spans="1:10" ht="25" customHeight="1" thickBot="1" x14ac:dyDescent="0.25">
      <c r="A33" s="164"/>
      <c r="B33" s="552"/>
      <c r="C33" s="553"/>
      <c r="D33" s="553"/>
      <c r="E33" s="553"/>
      <c r="F33" s="553"/>
      <c r="G33" s="553"/>
      <c r="H33" s="553"/>
      <c r="I33" s="554"/>
      <c r="J33" s="158"/>
    </row>
    <row r="34" spans="1:10" ht="25" customHeight="1" thickBot="1" x14ac:dyDescent="0.25">
      <c r="A34" s="168"/>
      <c r="B34" s="160"/>
      <c r="C34" s="160"/>
      <c r="D34" s="160"/>
      <c r="E34" s="160"/>
      <c r="F34" s="160"/>
      <c r="G34" s="160"/>
      <c r="H34" s="160"/>
      <c r="I34" s="160"/>
      <c r="J34" s="161"/>
    </row>
    <row r="35" spans="1:10" ht="25" customHeight="1" x14ac:dyDescent="0.2">
      <c r="A35" s="157"/>
      <c r="B35" s="156"/>
      <c r="C35" s="156"/>
      <c r="D35" s="156"/>
      <c r="E35" s="156"/>
      <c r="F35" s="156"/>
      <c r="G35" s="156"/>
      <c r="H35" s="156"/>
      <c r="I35" s="156"/>
      <c r="J35" s="156"/>
    </row>
    <row r="36" spans="1:10" ht="25" customHeight="1" x14ac:dyDescent="0.2">
      <c r="A36" s="155"/>
    </row>
    <row r="37" spans="1:10" ht="25" customHeight="1" x14ac:dyDescent="0.2">
      <c r="A37" s="181"/>
    </row>
    <row r="38" spans="1:10" ht="25" customHeight="1" x14ac:dyDescent="0.2">
      <c r="A38" s="181"/>
    </row>
    <row r="39" spans="1:10" ht="25" customHeight="1" x14ac:dyDescent="0.2">
      <c r="A39" s="181"/>
    </row>
    <row r="40" spans="1:10" ht="25" customHeight="1" x14ac:dyDescent="0.2"/>
    <row r="41" spans="1:10" ht="25" customHeight="1" x14ac:dyDescent="0.2"/>
    <row r="42" spans="1:10" ht="25" customHeight="1" x14ac:dyDescent="0.2"/>
    <row r="43" spans="1:10" ht="25" customHeight="1" x14ac:dyDescent="0.2"/>
    <row r="44" spans="1:10" ht="25" customHeight="1" x14ac:dyDescent="0.2"/>
    <row r="45" spans="1:10" ht="25" customHeight="1" x14ac:dyDescent="0.2"/>
    <row r="46" spans="1:10" ht="25" customHeight="1" x14ac:dyDescent="0.2"/>
    <row r="47" spans="1:10" ht="25" customHeight="1" x14ac:dyDescent="0.2"/>
    <row r="48" spans="1:10" ht="25" customHeight="1" x14ac:dyDescent="0.2"/>
    <row r="49" ht="25" customHeight="1" x14ac:dyDescent="0.2"/>
    <row r="50" ht="25" customHeight="1" x14ac:dyDescent="0.2"/>
    <row r="51" ht="25" customHeight="1" x14ac:dyDescent="0.2"/>
    <row r="52" ht="25" customHeight="1" x14ac:dyDescent="0.2"/>
    <row r="53" ht="25" customHeight="1" x14ac:dyDescent="0.2"/>
    <row r="54" ht="25" customHeight="1" x14ac:dyDescent="0.2"/>
  </sheetData>
  <sheetProtection password="CC6D" sheet="1" objects="1" scenarios="1"/>
  <mergeCells count="22">
    <mergeCell ref="B19:C19"/>
    <mergeCell ref="B18:C18"/>
    <mergeCell ref="B28:I33"/>
    <mergeCell ref="P20:Q20"/>
    <mergeCell ref="B23:D24"/>
    <mergeCell ref="F23:H24"/>
    <mergeCell ref="I23:I24"/>
    <mergeCell ref="F26:G26"/>
    <mergeCell ref="D20:G20"/>
    <mergeCell ref="B3:I3"/>
    <mergeCell ref="B5:C5"/>
    <mergeCell ref="B6:C6"/>
    <mergeCell ref="B7:C7"/>
    <mergeCell ref="D5:I5"/>
    <mergeCell ref="D6:I6"/>
    <mergeCell ref="D7:I7"/>
    <mergeCell ref="D11:G11"/>
    <mergeCell ref="D12:G12"/>
    <mergeCell ref="B8:C8"/>
    <mergeCell ref="D8:I8"/>
    <mergeCell ref="B9:C9"/>
    <mergeCell ref="D9:I9"/>
  </mergeCells>
  <phoneticPr fontId="4"/>
  <printOptions horizontalCentered="1" vertic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+入力シート_1・2・ジクロロエチレン!F20</f>
        <v>1,2-ジクロロエチレン</v>
      </c>
      <c r="D6" s="721"/>
      <c r="E6" s="722"/>
      <c r="F6" s="17"/>
      <c r="G6" s="18" t="str">
        <f>$C$6</f>
        <v>1,2-ジクロロエチレン</v>
      </c>
      <c r="L6" s="102"/>
      <c r="M6" s="15"/>
      <c r="N6" s="15"/>
      <c r="O6" s="15"/>
      <c r="P6" s="15"/>
      <c r="Q6" s="15"/>
      <c r="R6" s="15"/>
      <c r="S6" s="15"/>
    </row>
    <row r="7" spans="2:19" ht="13.5" thickBot="1" x14ac:dyDescent="0.25">
      <c r="B7" s="19" t="s">
        <v>87</v>
      </c>
      <c r="C7" s="723" t="s">
        <v>88</v>
      </c>
      <c r="D7" s="724"/>
      <c r="E7" s="725"/>
      <c r="F7" s="20" t="s">
        <v>89</v>
      </c>
      <c r="G7" s="21">
        <f>+入力シート_1・2・ジクロロエチレン!R14</f>
        <v>0.04</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++入力シート_1・2・ジクロロエチレン!J32</f>
        <v>30</v>
      </c>
      <c r="L9" s="102"/>
      <c r="M9" s="15"/>
      <c r="N9" s="15"/>
      <c r="O9" s="15"/>
      <c r="P9" s="15"/>
      <c r="Q9" s="15"/>
      <c r="R9" s="15"/>
      <c r="S9" s="15"/>
    </row>
    <row r="10" spans="2:19" ht="18" x14ac:dyDescent="0.2">
      <c r="B10" s="26" t="s">
        <v>91</v>
      </c>
      <c r="C10" s="686" t="s">
        <v>72</v>
      </c>
      <c r="D10" s="689"/>
      <c r="E10" s="687"/>
      <c r="F10" s="362" t="s">
        <v>43</v>
      </c>
      <c r="G10" s="28">
        <f>+入力シート_1・2・ジクロロエチレン!J33</f>
        <v>15</v>
      </c>
      <c r="L10" s="102"/>
      <c r="M10" s="15"/>
      <c r="N10" s="15"/>
      <c r="O10" s="15"/>
      <c r="P10" s="15"/>
      <c r="Q10" s="15"/>
      <c r="R10" s="15"/>
      <c r="S10" s="15"/>
    </row>
    <row r="11" spans="2:19" ht="18" x14ac:dyDescent="0.2">
      <c r="B11" s="26" t="s">
        <v>73</v>
      </c>
      <c r="C11" s="686" t="s">
        <v>74</v>
      </c>
      <c r="D11" s="689"/>
      <c r="E11" s="687"/>
      <c r="F11" s="362" t="s">
        <v>43</v>
      </c>
      <c r="G11" s="28">
        <f>+入力シート_1・2・ジクロロエチレン!J24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入力シート_1・2・ジクロロエチレン!J30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入力シート_1・2・ジクロロエチレン!R20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入力シート_1・2・ジクロロエチレン!F27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入力シート_1・2・ジクロロエチレン!R21</f>
        <v>0.3</v>
      </c>
      <c r="L23" s="70"/>
      <c r="M23" s="15"/>
      <c r="N23" s="15"/>
      <c r="O23" s="15"/>
      <c r="P23" s="15"/>
      <c r="Q23" s="15"/>
      <c r="R23" s="15"/>
      <c r="S23" s="15"/>
    </row>
    <row r="24" spans="1:19" ht="18" x14ac:dyDescent="0.2">
      <c r="A24" s="37"/>
      <c r="B24" s="26" t="s">
        <v>163</v>
      </c>
      <c r="C24" s="688" t="s">
        <v>177</v>
      </c>
      <c r="D24" s="689"/>
      <c r="E24" s="687"/>
      <c r="F24" s="362" t="s">
        <v>51</v>
      </c>
      <c r="G24" s="28">
        <f>入力シート_1・2・ジクロロエチレン!R22</f>
        <v>0.4</v>
      </c>
      <c r="L24" s="70"/>
      <c r="M24" s="15"/>
      <c r="N24" s="15"/>
      <c r="O24" s="15"/>
      <c r="P24" s="15"/>
      <c r="Q24" s="15"/>
      <c r="R24" s="15"/>
      <c r="S24" s="15"/>
    </row>
    <row r="25" spans="1:19" ht="21" x14ac:dyDescent="0.2">
      <c r="A25" s="37"/>
      <c r="B25" s="26" t="s">
        <v>101</v>
      </c>
      <c r="C25" s="686" t="s">
        <v>46</v>
      </c>
      <c r="D25" s="689"/>
      <c r="E25" s="687"/>
      <c r="F25" s="362" t="s">
        <v>43</v>
      </c>
      <c r="G25" s="43">
        <f>入力シート_1・2・ジクロロエチレン!R12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入力シート_1・2・ジクロロエチレン!R13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入力シート_1・2・ジクロロエチレン!R13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入力シート_1・2・ジクロロエチレン!R11</f>
        <v>7.9</v>
      </c>
      <c r="L29" s="70"/>
      <c r="M29" s="15"/>
      <c r="N29" s="15"/>
      <c r="O29" s="15"/>
      <c r="P29" s="15"/>
      <c r="Q29" s="15"/>
      <c r="R29" s="15"/>
      <c r="S29" s="15"/>
    </row>
    <row r="30" spans="1:19" ht="14" x14ac:dyDescent="0.3">
      <c r="A30" s="37"/>
      <c r="B30" s="49" t="s">
        <v>107</v>
      </c>
      <c r="C30" s="692" t="s">
        <v>53</v>
      </c>
      <c r="D30" s="692"/>
      <c r="E30" s="692"/>
      <c r="F30" s="364" t="s">
        <v>108</v>
      </c>
      <c r="G30" s="51">
        <f>入力シート_1・2・ジクロロエチレン!R9</f>
        <v>3.6000000000000004E-2</v>
      </c>
      <c r="L30" s="70"/>
      <c r="M30" s="15"/>
      <c r="N30" s="15"/>
      <c r="O30" s="15"/>
      <c r="P30" s="15"/>
      <c r="Q30" s="15"/>
      <c r="R30" s="15"/>
      <c r="S30" s="15"/>
    </row>
    <row r="31" spans="1:19" ht="18" x14ac:dyDescent="0.4">
      <c r="A31" s="37"/>
      <c r="B31" s="52" t="s">
        <v>109</v>
      </c>
      <c r="C31" s="692" t="s">
        <v>110</v>
      </c>
      <c r="D31" s="692"/>
      <c r="E31" s="692"/>
      <c r="F31" s="364" t="s">
        <v>111</v>
      </c>
      <c r="G31" s="51">
        <f>IF(A31="",入力シート_1・2・ジクロロエチレン!R10,A31)</f>
        <v>36</v>
      </c>
      <c r="L31" s="70"/>
      <c r="M31" s="15"/>
      <c r="N31" s="15"/>
      <c r="O31" s="15"/>
      <c r="P31" s="15"/>
      <c r="Q31" s="15"/>
      <c r="R31" s="15"/>
      <c r="S31" s="15"/>
    </row>
    <row r="32" spans="1:19" ht="18.5" thickBot="1" x14ac:dyDescent="0.45">
      <c r="A32" s="37"/>
      <c r="B32" s="53" t="s">
        <v>112</v>
      </c>
      <c r="C32" s="695" t="s">
        <v>113</v>
      </c>
      <c r="D32" s="695"/>
      <c r="E32" s="695"/>
      <c r="F32" s="365" t="s">
        <v>114</v>
      </c>
      <c r="G32" s="55">
        <f>入力シート_1・2・ジクロロエチレン!R25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入力シート_1・2・ジクロロエチレン!R24</f>
        <v>1.62</v>
      </c>
      <c r="L34" s="15"/>
      <c r="M34" s="15"/>
      <c r="N34" s="15"/>
      <c r="O34" s="15"/>
      <c r="P34" s="15"/>
      <c r="Q34" s="15"/>
      <c r="R34" s="15"/>
      <c r="S34" s="15"/>
    </row>
    <row r="35" spans="1:19" ht="18" x14ac:dyDescent="0.2">
      <c r="B35" s="26" t="s">
        <v>118</v>
      </c>
      <c r="C35" s="686" t="s">
        <v>119</v>
      </c>
      <c r="D35" s="689"/>
      <c r="E35" s="687"/>
      <c r="F35" s="362" t="s">
        <v>120</v>
      </c>
      <c r="G35" s="43">
        <f>+入力シート_1・2・ジクロロエチレン!J35*0.365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8.7740149437967749E-2</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1.1944000000000001</v>
      </c>
    </row>
    <row r="42" spans="1:19" ht="18.5" thickBot="1" x14ac:dyDescent="0.25">
      <c r="B42" s="61" t="s">
        <v>131</v>
      </c>
      <c r="R42" s="60"/>
    </row>
    <row r="43" spans="1:19" x14ac:dyDescent="0.2">
      <c r="B43" s="12"/>
      <c r="C43" s="697" t="s">
        <v>132</v>
      </c>
      <c r="D43" s="698"/>
      <c r="E43" s="698"/>
      <c r="F43" s="367"/>
      <c r="G43" s="125">
        <f>SQRT(1+4*$G38*G25/$G39)</f>
        <v>1.0541768710667556</v>
      </c>
      <c r="H43" s="122"/>
      <c r="I43" s="122"/>
      <c r="N43" s="60"/>
      <c r="R43" s="47"/>
    </row>
    <row r="44" spans="1:19" x14ac:dyDescent="0.2">
      <c r="B44" s="62" t="s">
        <v>133</v>
      </c>
      <c r="C44" s="687"/>
      <c r="D44" s="692"/>
      <c r="E44" s="692"/>
      <c r="F44" s="63"/>
      <c r="G44" s="126">
        <f>EXP(G14/(2*G25)*(1-G43))</f>
        <v>0.7627046940349419</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0.73685293014803466</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0.73685293014803466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1,2-ジクロロエチレン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0.73685293014803466</v>
      </c>
      <c r="H63" s="139"/>
      <c r="I63" s="139"/>
      <c r="J63" s="79"/>
      <c r="K63" s="84"/>
      <c r="L63" s="691"/>
      <c r="M63" s="691"/>
      <c r="N63" s="691"/>
      <c r="O63" s="74"/>
      <c r="P63" s="85"/>
      <c r="Q63" s="47"/>
    </row>
    <row r="64" spans="1:17" ht="16.5" x14ac:dyDescent="0.2">
      <c r="B64" s="87"/>
      <c r="C64" s="693" t="s">
        <v>150</v>
      </c>
      <c r="D64" s="693"/>
      <c r="E64" s="693"/>
      <c r="F64" s="88">
        <f>+G64/G63*F63</f>
        <v>5.4284916790605625E-2</v>
      </c>
      <c r="G64" s="83">
        <f>+G7</f>
        <v>0.04</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5.3999999999999999E-2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9.3131057905464443E-2</v>
      </c>
      <c r="H68" s="139"/>
      <c r="I68" s="139"/>
      <c r="J68" s="79"/>
    </row>
    <row r="69" spans="2:10" x14ac:dyDescent="0.2">
      <c r="B69" s="81"/>
      <c r="C69" s="686" t="s">
        <v>150</v>
      </c>
      <c r="D69" s="687"/>
      <c r="E69" s="364" t="s">
        <v>153</v>
      </c>
      <c r="F69" s="86">
        <f>+G69/G68*F68</f>
        <v>5.4284916790605625E-2</v>
      </c>
      <c r="G69" s="83">
        <f>+G64</f>
        <v>0.04</v>
      </c>
      <c r="H69" s="139"/>
      <c r="I69" s="139"/>
      <c r="J69" s="79"/>
    </row>
    <row r="70" spans="2:10" x14ac:dyDescent="0.2">
      <c r="B70" s="81"/>
      <c r="C70" s="683" t="s">
        <v>154</v>
      </c>
      <c r="D70" s="683"/>
      <c r="E70" s="93">
        <f>+F69/F68*E68</f>
        <v>0.42950226164727168</v>
      </c>
      <c r="F70" s="47"/>
      <c r="G70" s="47"/>
      <c r="H70" s="47"/>
      <c r="I70" s="47"/>
      <c r="J70" s="79"/>
    </row>
    <row r="71" spans="2:10" x14ac:dyDescent="0.2">
      <c r="B71" s="81"/>
      <c r="C71" s="683" t="s">
        <v>155</v>
      </c>
      <c r="D71" s="683"/>
      <c r="E71" s="83">
        <f>入力シート_1・2・ジクロロエチレン!R15</f>
        <v>0.4</v>
      </c>
      <c r="F71" s="47"/>
      <c r="G71" s="47"/>
      <c r="H71" s="47"/>
      <c r="I71" s="47"/>
      <c r="J71" s="79"/>
    </row>
    <row r="72" spans="2:10" ht="13.5" thickBot="1" x14ac:dyDescent="0.25">
      <c r="B72" s="81"/>
      <c r="C72" s="47"/>
      <c r="D72" s="47"/>
      <c r="E72" s="74">
        <f>IF(E70&gt;10,ROUNDDOWN(E70,0),IF(E70&gt;1,ROUNDDOWN(E70,1),IF(E70&gt;0.1,ROUNDDOWN(E70,2),IF(E70&gt;0.01,ROUNDDOWN(E70,3),ROUNDDOWN(E70,4)))))</f>
        <v>0.42</v>
      </c>
      <c r="F72" s="47"/>
      <c r="G72" s="47"/>
      <c r="H72" s="47"/>
      <c r="I72" s="47"/>
      <c r="J72" s="79"/>
    </row>
    <row r="73" spans="2:10" ht="13.5" thickBot="1" x14ac:dyDescent="0.25">
      <c r="B73" s="81"/>
      <c r="C73" s="684" t="s">
        <v>156</v>
      </c>
      <c r="D73" s="685"/>
      <c r="E73" s="109">
        <f>IF(E70&gt;E71,E71,E70)</f>
        <v>0.4</v>
      </c>
      <c r="F73" s="95" t="s">
        <v>157</v>
      </c>
      <c r="G73" s="47"/>
      <c r="H73" s="47"/>
      <c r="I73" s="47"/>
      <c r="J73" s="79"/>
    </row>
    <row r="74" spans="2:10" x14ac:dyDescent="0.2">
      <c r="B74" s="81"/>
      <c r="C74" s="47"/>
      <c r="D74" s="47"/>
      <c r="E74" s="74">
        <f>IF(E73&gt;10,ROUNDDOWN(E73,0),IF(E73&gt;1,ROUNDDOWN(E73,1),IF(E73&gt;0.1,ROUNDDOWN(E73,2),IF(E73&gt;0.01,ROUNDDOWN(E73,3),ROUNDDOWN(E73,4)))))</f>
        <v>0.4</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0.73685293014803466</v>
      </c>
      <c r="H77" s="139"/>
      <c r="I77" s="139"/>
      <c r="J77" s="79"/>
    </row>
    <row r="78" spans="2:10" x14ac:dyDescent="0.2">
      <c r="B78" s="81"/>
      <c r="C78" s="686" t="s">
        <v>150</v>
      </c>
      <c r="D78" s="687"/>
      <c r="E78" s="364" t="s">
        <v>153</v>
      </c>
      <c r="F78" s="86">
        <f>+F64</f>
        <v>5.4284916790605625E-2</v>
      </c>
      <c r="G78" s="83">
        <f>+G69</f>
        <v>0.04</v>
      </c>
      <c r="H78" s="139"/>
      <c r="I78" s="139"/>
      <c r="J78" s="79"/>
    </row>
    <row r="79" spans="2:10" x14ac:dyDescent="0.2">
      <c r="B79" s="81"/>
      <c r="C79" s="683" t="s">
        <v>154</v>
      </c>
      <c r="D79" s="683"/>
      <c r="E79" s="93">
        <f>+F78/F77*E77</f>
        <v>5.4284916790605625E-2</v>
      </c>
      <c r="F79" s="47"/>
      <c r="G79" s="47"/>
      <c r="H79" s="47"/>
      <c r="I79" s="47"/>
      <c r="J79" s="79"/>
    </row>
    <row r="80" spans="2:10" x14ac:dyDescent="0.2">
      <c r="B80" s="81"/>
      <c r="C80" s="683" t="s">
        <v>155</v>
      </c>
      <c r="D80" s="683"/>
      <c r="E80" s="83">
        <f>+E71</f>
        <v>0.4</v>
      </c>
      <c r="F80" s="47"/>
      <c r="G80" s="47"/>
      <c r="H80" s="47"/>
      <c r="I80" s="47"/>
      <c r="J80" s="79"/>
    </row>
    <row r="81" spans="2:10" ht="13.5" thickBot="1" x14ac:dyDescent="0.25">
      <c r="B81" s="81"/>
      <c r="C81" s="47"/>
      <c r="D81" s="47"/>
      <c r="E81" s="74">
        <f>IF(E79&gt;10,ROUNDDOWN(E79,0),IF(E79&gt;1,ROUNDDOWN(E79,1),IF(E79&gt;0.1,ROUNDDOWN(E79,2),IF(E79&gt;0.01,ROUNDDOWN(E79,3),ROUNDDOWN(E79,4)))))</f>
        <v>5.3999999999999999E-2</v>
      </c>
      <c r="F81" s="47"/>
      <c r="G81" s="47"/>
      <c r="H81" s="47"/>
      <c r="I81" s="47"/>
      <c r="J81" s="79"/>
    </row>
    <row r="82" spans="2:10" ht="13.5" thickBot="1" x14ac:dyDescent="0.25">
      <c r="B82" s="81"/>
      <c r="C82" s="684" t="s">
        <v>156</v>
      </c>
      <c r="D82" s="685"/>
      <c r="E82" s="109">
        <f>IF(E79&gt;E80,E80,E79)</f>
        <v>5.4284916790605625E-2</v>
      </c>
      <c r="F82" s="95" t="s">
        <v>157</v>
      </c>
      <c r="G82" s="47"/>
      <c r="H82" s="47"/>
      <c r="I82" s="47"/>
      <c r="J82" s="79"/>
    </row>
    <row r="83" spans="2:10" x14ac:dyDescent="0.2">
      <c r="B83" s="81"/>
      <c r="C83" s="47"/>
      <c r="D83" s="47"/>
      <c r="E83" s="74">
        <f>IF(E82&gt;10,ROUNDDOWN(E82,0),IF(E82&gt;1,ROUNDDOWN(E82,1),IF(E82&gt;0.1,ROUNDDOWN(E82,2),IF(E82&gt;0.01,ROUNDDOWN(E82,3),ROUNDDOWN(E82,4)))))</f>
        <v>5.3999999999999999E-2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311" priority="5">
      <formula>$A41&gt;0</formula>
    </cfRule>
  </conditionalFormatting>
  <conditionalFormatting sqref="G30">
    <cfRule type="expression" dxfId="310" priority="4">
      <formula>$A$29&gt;0</formula>
    </cfRule>
  </conditionalFormatting>
  <conditionalFormatting sqref="G31">
    <cfRule type="expression" dxfId="309" priority="3">
      <formula>$A$30&gt;0</formula>
    </cfRule>
  </conditionalFormatting>
  <conditionalFormatting sqref="G32">
    <cfRule type="expression" dxfId="308" priority="2">
      <formula>$A$31&gt;0</formula>
    </cfRule>
  </conditionalFormatting>
  <conditionalFormatting sqref="G9">
    <cfRule type="expression" dxfId="307" priority="6">
      <formula>#REF!&gt;0</formula>
    </cfRule>
  </conditionalFormatting>
  <conditionalFormatting sqref="G11 G25:I27">
    <cfRule type="expression" dxfId="306" priority="7">
      <formula>#REF!&gt;0</formula>
    </cfRule>
  </conditionalFormatting>
  <conditionalFormatting sqref="G18">
    <cfRule type="expression" dxfId="305" priority="8">
      <formula>#REF!&gt;0</formula>
    </cfRule>
  </conditionalFormatting>
  <conditionalFormatting sqref="G22:G24">
    <cfRule type="expression" dxfId="304" priority="9">
      <formula>$A$25&gt;0</formula>
    </cfRule>
  </conditionalFormatting>
  <conditionalFormatting sqref="G23:G24">
    <cfRule type="expression" dxfId="303" priority="10">
      <formula>#REF!&gt;0</formula>
    </cfRule>
  </conditionalFormatting>
  <conditionalFormatting sqref="G21">
    <cfRule type="expression" dxfId="302" priority="11">
      <formula>$A$23&gt;0</formula>
    </cfRule>
  </conditionalFormatting>
  <conditionalFormatting sqref="G12">
    <cfRule type="expression" dxfId="301" priority="1">
      <formula>#REF!&gt;0</formula>
    </cfRule>
  </conditionalFormatting>
  <conditionalFormatting sqref="G34">
    <cfRule type="expression" dxfId="300" priority="12">
      <formula>#REF!&gt;0</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8.1000000000000003E-2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81</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2</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3</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331</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108</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+計算シート_1・1・1・トリクロロエタン!G39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計算シート_1・1・1・トリクロロエタン!G41</f>
        <v>1.4374</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1・1・1・トリクロロエタン!$Y$14=1,"目標土壌溶出量濃度",IF(入力シート_1・1・1・トリクロロエタン!$Y$14=2,"目標土壌溶出量濃度",IF(入力シート_1・1・1・トリクロロエタン!$Y$14=3,"目標土壌溶出量濃度","PRB通過後の観測点における目標地下水濃度")))</f>
        <v>目標土壌溶出量濃度</v>
      </c>
      <c r="E41" s="527"/>
      <c r="F41" s="527"/>
      <c r="G41" s="528">
        <f>IF($X$14=1,IF(計算シート_1・1・1・トリクロロエタン!E83&gt;10000,"&gt;10,000",+計算シート_1・1・1・トリクロロエタン!E83),計算シート_1・1・1・トリクロロエタン!E74)</f>
        <v>2.8</v>
      </c>
      <c r="H41" s="528"/>
      <c r="I41" s="244" t="s">
        <v>28</v>
      </c>
      <c r="J41" s="155"/>
      <c r="K41" s="529">
        <f>+計算シート_1・1・1・トリクロロエタン!E83</f>
        <v>2.8</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299" priority="3">
      <formula>LEN(TRIM(Y13))=0</formula>
    </cfRule>
  </conditionalFormatting>
  <conditionalFormatting sqref="D35:H35 J35:L35">
    <cfRule type="expression" dxfId="298" priority="2">
      <formula>$X$14=1</formula>
    </cfRule>
  </conditionalFormatting>
  <conditionalFormatting sqref="I35">
    <cfRule type="expression" dxfId="297"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4338"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4339"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+入力シート_1・1・1・トリクロロエタン!F20</f>
        <v>1,1,1-トリクロロエタン</v>
      </c>
      <c r="D6" s="721"/>
      <c r="E6" s="722"/>
      <c r="F6" s="17"/>
      <c r="G6" s="18" t="str">
        <f>$C$6</f>
        <v>1,1,1-トリクロロエタン</v>
      </c>
      <c r="L6" s="102"/>
      <c r="M6" s="15"/>
      <c r="N6" s="15"/>
      <c r="O6" s="15"/>
      <c r="P6" s="15"/>
      <c r="Q6" s="15"/>
      <c r="R6" s="15"/>
      <c r="S6" s="15"/>
    </row>
    <row r="7" spans="2:19" ht="13.5" thickBot="1" x14ac:dyDescent="0.25">
      <c r="B7" s="19" t="s">
        <v>87</v>
      </c>
      <c r="C7" s="723" t="s">
        <v>88</v>
      </c>
      <c r="D7" s="724"/>
      <c r="E7" s="725"/>
      <c r="F7" s="20" t="s">
        <v>89</v>
      </c>
      <c r="G7" s="21">
        <f>+入力シート_1・1・1・トリクロロエタン!R14</f>
        <v>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++入力シート_1・1・1・トリクロロエタン!J32</f>
        <v>30</v>
      </c>
      <c r="L9" s="102"/>
      <c r="M9" s="15"/>
      <c r="N9" s="15"/>
      <c r="O9" s="15"/>
      <c r="P9" s="15"/>
      <c r="Q9" s="15"/>
      <c r="R9" s="15"/>
      <c r="S9" s="15"/>
    </row>
    <row r="10" spans="2:19" ht="18" x14ac:dyDescent="0.2">
      <c r="B10" s="26" t="s">
        <v>91</v>
      </c>
      <c r="C10" s="686" t="s">
        <v>72</v>
      </c>
      <c r="D10" s="689"/>
      <c r="E10" s="687"/>
      <c r="F10" s="362" t="s">
        <v>43</v>
      </c>
      <c r="G10" s="28">
        <f>+入力シート_1・1・1・トリクロロエタン!J33</f>
        <v>15</v>
      </c>
      <c r="L10" s="102"/>
      <c r="M10" s="15"/>
      <c r="N10" s="15"/>
      <c r="O10" s="15"/>
      <c r="P10" s="15"/>
      <c r="Q10" s="15"/>
      <c r="R10" s="15"/>
      <c r="S10" s="15"/>
    </row>
    <row r="11" spans="2:19" ht="18" x14ac:dyDescent="0.2">
      <c r="B11" s="26" t="s">
        <v>73</v>
      </c>
      <c r="C11" s="686" t="s">
        <v>74</v>
      </c>
      <c r="D11" s="689"/>
      <c r="E11" s="687"/>
      <c r="F11" s="362" t="s">
        <v>43</v>
      </c>
      <c r="G11" s="28">
        <f>+入力シート_1・1・1・トリクロロエタン!J24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入力シート_1・1・1・トリクロロエタン!J30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入力シート_1・1・1・トリクロロエタン!R20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入力シート_1・1・1・トリクロロエタン!F27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入力シート_1・1・1・トリクロロエタン!R21</f>
        <v>0.3</v>
      </c>
      <c r="L23" s="70"/>
      <c r="M23" s="15"/>
      <c r="N23" s="15"/>
      <c r="O23" s="15"/>
      <c r="P23" s="15"/>
      <c r="Q23" s="15"/>
      <c r="R23" s="15"/>
      <c r="S23" s="15"/>
    </row>
    <row r="24" spans="1:19" ht="18" x14ac:dyDescent="0.2">
      <c r="A24" s="37"/>
      <c r="B24" s="26" t="s">
        <v>163</v>
      </c>
      <c r="C24" s="688" t="s">
        <v>177</v>
      </c>
      <c r="D24" s="689"/>
      <c r="E24" s="687"/>
      <c r="F24" s="362" t="s">
        <v>51</v>
      </c>
      <c r="G24" s="28">
        <f>入力シート_1・1・1・トリクロロエタン!R22</f>
        <v>0.4</v>
      </c>
      <c r="L24" s="70"/>
      <c r="M24" s="15"/>
      <c r="N24" s="15"/>
      <c r="O24" s="15"/>
      <c r="P24" s="15"/>
      <c r="Q24" s="15"/>
      <c r="R24" s="15"/>
      <c r="S24" s="15"/>
    </row>
    <row r="25" spans="1:19" ht="21" x14ac:dyDescent="0.2">
      <c r="A25" s="37"/>
      <c r="B25" s="26" t="s">
        <v>101</v>
      </c>
      <c r="C25" s="686" t="s">
        <v>46</v>
      </c>
      <c r="D25" s="689"/>
      <c r="E25" s="687"/>
      <c r="F25" s="362" t="s">
        <v>43</v>
      </c>
      <c r="G25" s="43">
        <f>入力シート_1・1・1・トリクロロエタン!R12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入力シート_1・1・1・トリクロロエタン!R13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入力シート_1・1・1・トリクロロエタン!R13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入力シート_1・1・1・トリクロロエタン!R11</f>
        <v>2</v>
      </c>
      <c r="L29" s="70"/>
      <c r="M29" s="15"/>
      <c r="N29" s="15"/>
      <c r="O29" s="15"/>
      <c r="P29" s="15"/>
      <c r="Q29" s="15"/>
      <c r="R29" s="15"/>
      <c r="S29" s="15"/>
    </row>
    <row r="30" spans="1:19" ht="14" x14ac:dyDescent="0.3">
      <c r="A30" s="37"/>
      <c r="B30" s="49" t="s">
        <v>107</v>
      </c>
      <c r="C30" s="692" t="s">
        <v>53</v>
      </c>
      <c r="D30" s="692"/>
      <c r="E30" s="692"/>
      <c r="F30" s="364" t="s">
        <v>108</v>
      </c>
      <c r="G30" s="51">
        <f>入力シート_1・1・1・トリクロロエタン!R9</f>
        <v>8.1000000000000003E-2</v>
      </c>
      <c r="L30" s="70"/>
      <c r="M30" s="15"/>
      <c r="N30" s="15"/>
      <c r="O30" s="15"/>
      <c r="P30" s="15"/>
      <c r="Q30" s="15"/>
      <c r="R30" s="15"/>
      <c r="S30" s="15"/>
    </row>
    <row r="31" spans="1:19" ht="18" x14ac:dyDescent="0.4">
      <c r="A31" s="37"/>
      <c r="B31" s="52" t="s">
        <v>109</v>
      </c>
      <c r="C31" s="692" t="s">
        <v>110</v>
      </c>
      <c r="D31" s="692"/>
      <c r="E31" s="692"/>
      <c r="F31" s="364" t="s">
        <v>111</v>
      </c>
      <c r="G31" s="51">
        <f>IF(A31="",入力シート_1・1・1・トリクロロエタン!R10,A31)</f>
        <v>81</v>
      </c>
      <c r="L31" s="70"/>
      <c r="M31" s="15"/>
      <c r="N31" s="15"/>
      <c r="O31" s="15"/>
      <c r="P31" s="15"/>
      <c r="Q31" s="15"/>
      <c r="R31" s="15"/>
      <c r="S31" s="15"/>
    </row>
    <row r="32" spans="1:19" ht="18.5" thickBot="1" x14ac:dyDescent="0.45">
      <c r="A32" s="37"/>
      <c r="B32" s="53" t="s">
        <v>112</v>
      </c>
      <c r="C32" s="695" t="s">
        <v>113</v>
      </c>
      <c r="D32" s="695"/>
      <c r="E32" s="695"/>
      <c r="F32" s="365" t="s">
        <v>114</v>
      </c>
      <c r="G32" s="55">
        <f>入力シート_1・1・1・トリクロロエタン!R25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入力シート_1・1・1・トリクロロエタン!R24</f>
        <v>1.62</v>
      </c>
      <c r="L34" s="15"/>
      <c r="M34" s="15"/>
      <c r="N34" s="15"/>
      <c r="O34" s="15"/>
      <c r="P34" s="15"/>
      <c r="Q34" s="15"/>
      <c r="R34" s="15"/>
      <c r="S34" s="15"/>
    </row>
    <row r="35" spans="1:19" ht="18" x14ac:dyDescent="0.2">
      <c r="B35" s="26" t="s">
        <v>118</v>
      </c>
      <c r="C35" s="686" t="s">
        <v>119</v>
      </c>
      <c r="D35" s="689"/>
      <c r="E35" s="687"/>
      <c r="F35" s="362" t="s">
        <v>120</v>
      </c>
      <c r="G35" s="43">
        <f>+入力シート_1・1・1・トリクロロエタン!J35*0.365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0.34657359027997264</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1.4374</v>
      </c>
    </row>
    <row r="42" spans="1:19" ht="18.5" thickBot="1" x14ac:dyDescent="0.25">
      <c r="B42" s="61" t="s">
        <v>131</v>
      </c>
      <c r="R42" s="60"/>
    </row>
    <row r="43" spans="1:19" x14ac:dyDescent="0.2">
      <c r="B43" s="12"/>
      <c r="C43" s="697" t="s">
        <v>132</v>
      </c>
      <c r="D43" s="698"/>
      <c r="E43" s="698"/>
      <c r="F43" s="367"/>
      <c r="G43" s="125">
        <f>SQRT(1+4*$G38*G25/$G39)</f>
        <v>1.1998295954816982</v>
      </c>
      <c r="H43" s="122"/>
      <c r="I43" s="122"/>
      <c r="N43" s="60"/>
      <c r="R43" s="47"/>
    </row>
    <row r="44" spans="1:19" x14ac:dyDescent="0.2">
      <c r="B44" s="62" t="s">
        <v>133</v>
      </c>
      <c r="C44" s="687"/>
      <c r="D44" s="692"/>
      <c r="E44" s="692"/>
      <c r="F44" s="63"/>
      <c r="G44" s="126">
        <f>EXP(G14/(2*G25)*(1-G43))</f>
        <v>0.36819301633386353</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0.35571316797641372</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0.35571316797641372</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1,1,1-トリクロロエタン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0.35571316797641372</v>
      </c>
      <c r="H63" s="139"/>
      <c r="I63" s="139"/>
      <c r="J63" s="79"/>
      <c r="K63" s="84"/>
      <c r="L63" s="691"/>
      <c r="M63" s="691"/>
      <c r="N63" s="691"/>
      <c r="O63" s="74"/>
      <c r="P63" s="85"/>
      <c r="Q63" s="47"/>
    </row>
    <row r="64" spans="1:17" ht="16.5" x14ac:dyDescent="0.2">
      <c r="B64" s="87"/>
      <c r="C64" s="693" t="s">
        <v>150</v>
      </c>
      <c r="D64" s="693"/>
      <c r="E64" s="693"/>
      <c r="F64" s="88">
        <f>+G64/G63*F63</f>
        <v>2.8112538135397536</v>
      </c>
      <c r="G64" s="83">
        <f>+G7</f>
        <v>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2.8</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4.4958691604703456E-2</v>
      </c>
      <c r="H68" s="139"/>
      <c r="I68" s="139"/>
      <c r="J68" s="79"/>
    </row>
    <row r="69" spans="2:10" x14ac:dyDescent="0.2">
      <c r="B69" s="81"/>
      <c r="C69" s="686" t="s">
        <v>150</v>
      </c>
      <c r="D69" s="687"/>
      <c r="E69" s="364" t="s">
        <v>153</v>
      </c>
      <c r="F69" s="86">
        <f>+G69/G68*F68</f>
        <v>2.8112538135397536</v>
      </c>
      <c r="G69" s="83">
        <f>+G64</f>
        <v>1</v>
      </c>
      <c r="H69" s="139"/>
      <c r="I69" s="139"/>
      <c r="J69" s="79"/>
    </row>
    <row r="70" spans="2:10" x14ac:dyDescent="0.2">
      <c r="B70" s="81"/>
      <c r="C70" s="683" t="s">
        <v>154</v>
      </c>
      <c r="D70" s="683"/>
      <c r="E70" s="93">
        <f>+F69/F68*E68</f>
        <v>22.242640172726528</v>
      </c>
      <c r="F70" s="47"/>
      <c r="G70" s="47"/>
      <c r="H70" s="47"/>
      <c r="I70" s="47"/>
      <c r="J70" s="79"/>
    </row>
    <row r="71" spans="2:10" x14ac:dyDescent="0.2">
      <c r="B71" s="81"/>
      <c r="C71" s="683" t="s">
        <v>155</v>
      </c>
      <c r="D71" s="683"/>
      <c r="E71" s="83">
        <f>入力シート_1・1・1・トリクロロエタン!R15</f>
        <v>3</v>
      </c>
      <c r="F71" s="47"/>
      <c r="G71" s="47"/>
      <c r="H71" s="47"/>
      <c r="I71" s="47"/>
      <c r="J71" s="79"/>
    </row>
    <row r="72" spans="2:10" ht="13.5" thickBot="1" x14ac:dyDescent="0.25">
      <c r="B72" s="81"/>
      <c r="C72" s="47"/>
      <c r="D72" s="47"/>
      <c r="E72" s="74">
        <f>IF(E70&gt;10,ROUNDDOWN(E70,0),IF(E70&gt;1,ROUNDDOWN(E70,1),IF(E70&gt;0.1,ROUNDDOWN(E70,2),IF(E70&gt;0.01,ROUNDDOWN(E70,3),ROUNDDOWN(E70,4)))))</f>
        <v>22</v>
      </c>
      <c r="F72" s="47"/>
      <c r="G72" s="47"/>
      <c r="H72" s="47"/>
      <c r="I72" s="47"/>
      <c r="J72" s="79"/>
    </row>
    <row r="73" spans="2:10" ht="13.5" thickBot="1" x14ac:dyDescent="0.25">
      <c r="B73" s="81"/>
      <c r="C73" s="684" t="s">
        <v>156</v>
      </c>
      <c r="D73" s="685"/>
      <c r="E73" s="109">
        <f>IF(E70&gt;E71,E71,E70)</f>
        <v>3</v>
      </c>
      <c r="F73" s="95" t="s">
        <v>157</v>
      </c>
      <c r="G73" s="47"/>
      <c r="H73" s="47"/>
      <c r="I73" s="47"/>
      <c r="J73" s="79"/>
    </row>
    <row r="74" spans="2:10" x14ac:dyDescent="0.2">
      <c r="B74" s="81"/>
      <c r="C74" s="47"/>
      <c r="D74" s="47"/>
      <c r="E74" s="74">
        <f>IF(E73&gt;10,ROUNDDOWN(E73,0),IF(E73&gt;1,ROUNDDOWN(E73,1),IF(E73&gt;0.1,ROUNDDOWN(E73,2),IF(E73&gt;0.01,ROUNDDOWN(E73,3),ROUNDDOWN(E73,4)))))</f>
        <v>3</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0.35571316797641372</v>
      </c>
      <c r="H77" s="139"/>
      <c r="I77" s="139"/>
      <c r="J77" s="79"/>
    </row>
    <row r="78" spans="2:10" x14ac:dyDescent="0.2">
      <c r="B78" s="81"/>
      <c r="C78" s="686" t="s">
        <v>150</v>
      </c>
      <c r="D78" s="687"/>
      <c r="E78" s="364" t="s">
        <v>153</v>
      </c>
      <c r="F78" s="86">
        <f>+F64</f>
        <v>2.8112538135397536</v>
      </c>
      <c r="G78" s="83">
        <f>+G69</f>
        <v>1</v>
      </c>
      <c r="H78" s="139"/>
      <c r="I78" s="139"/>
      <c r="J78" s="79"/>
    </row>
    <row r="79" spans="2:10" x14ac:dyDescent="0.2">
      <c r="B79" s="81"/>
      <c r="C79" s="683" t="s">
        <v>154</v>
      </c>
      <c r="D79" s="683"/>
      <c r="E79" s="93">
        <f>+F78/F77*E77</f>
        <v>2.8112538135397536</v>
      </c>
      <c r="F79" s="47"/>
      <c r="G79" s="47"/>
      <c r="H79" s="47"/>
      <c r="I79" s="47"/>
      <c r="J79" s="79"/>
    </row>
    <row r="80" spans="2:10" x14ac:dyDescent="0.2">
      <c r="B80" s="81"/>
      <c r="C80" s="683" t="s">
        <v>155</v>
      </c>
      <c r="D80" s="683"/>
      <c r="E80" s="83">
        <f>+E71</f>
        <v>3</v>
      </c>
      <c r="F80" s="47"/>
      <c r="G80" s="47"/>
      <c r="H80" s="47"/>
      <c r="I80" s="47"/>
      <c r="J80" s="79"/>
    </row>
    <row r="81" spans="2:10" ht="13.5" thickBot="1" x14ac:dyDescent="0.25">
      <c r="B81" s="81"/>
      <c r="C81" s="47"/>
      <c r="D81" s="47"/>
      <c r="E81" s="74">
        <f>IF(E79&gt;10,ROUNDDOWN(E79,0),IF(E79&gt;1,ROUNDDOWN(E79,1),IF(E79&gt;0.1,ROUNDDOWN(E79,2),IF(E79&gt;0.01,ROUNDDOWN(E79,3),ROUNDDOWN(E79,4)))))</f>
        <v>2.8</v>
      </c>
      <c r="F81" s="47"/>
      <c r="G81" s="47"/>
      <c r="H81" s="47"/>
      <c r="I81" s="47"/>
      <c r="J81" s="79"/>
    </row>
    <row r="82" spans="2:10" ht="13.5" thickBot="1" x14ac:dyDescent="0.25">
      <c r="B82" s="81"/>
      <c r="C82" s="684" t="s">
        <v>156</v>
      </c>
      <c r="D82" s="685"/>
      <c r="E82" s="109">
        <f>IF(E79&gt;E80,E80,E79)</f>
        <v>2.8112538135397536</v>
      </c>
      <c r="F82" s="95" t="s">
        <v>157</v>
      </c>
      <c r="G82" s="47"/>
      <c r="H82" s="47"/>
      <c r="I82" s="47"/>
      <c r="J82" s="79"/>
    </row>
    <row r="83" spans="2:10" x14ac:dyDescent="0.2">
      <c r="B83" s="81"/>
      <c r="C83" s="47"/>
      <c r="D83" s="47"/>
      <c r="E83" s="74">
        <f>IF(E82&gt;10,ROUNDDOWN(E82,0),IF(E82&gt;1,ROUNDDOWN(E82,1),IF(E82&gt;0.1,ROUNDDOWN(E82,2),IF(E82&gt;0.01,ROUNDDOWN(E82,3),ROUNDDOWN(E82,4)))))</f>
        <v>2.8</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296" priority="5">
      <formula>$A41&gt;0</formula>
    </cfRule>
  </conditionalFormatting>
  <conditionalFormatting sqref="G30">
    <cfRule type="expression" dxfId="295" priority="4">
      <formula>$A$29&gt;0</formula>
    </cfRule>
  </conditionalFormatting>
  <conditionalFormatting sqref="G31">
    <cfRule type="expression" dxfId="294" priority="3">
      <formula>$A$30&gt;0</formula>
    </cfRule>
  </conditionalFormatting>
  <conditionalFormatting sqref="G32">
    <cfRule type="expression" dxfId="293" priority="2">
      <formula>$A$31&gt;0</formula>
    </cfRule>
  </conditionalFormatting>
  <conditionalFormatting sqref="G9">
    <cfRule type="expression" dxfId="292" priority="6">
      <formula>#REF!&gt;0</formula>
    </cfRule>
  </conditionalFormatting>
  <conditionalFormatting sqref="G11 G25:I27">
    <cfRule type="expression" dxfId="291" priority="7">
      <formula>#REF!&gt;0</formula>
    </cfRule>
  </conditionalFormatting>
  <conditionalFormatting sqref="G18">
    <cfRule type="expression" dxfId="290" priority="8">
      <formula>#REF!&gt;0</formula>
    </cfRule>
  </conditionalFormatting>
  <conditionalFormatting sqref="G22:G24">
    <cfRule type="expression" dxfId="289" priority="9">
      <formula>$A$25&gt;0</formula>
    </cfRule>
  </conditionalFormatting>
  <conditionalFormatting sqref="G23:G24">
    <cfRule type="expression" dxfId="288" priority="10">
      <formula>#REF!&gt;0</formula>
    </cfRule>
  </conditionalFormatting>
  <conditionalFormatting sqref="G21">
    <cfRule type="expression" dxfId="287" priority="11">
      <formula>$A$23&gt;0</formula>
    </cfRule>
  </conditionalFormatting>
  <conditionalFormatting sqref="G12">
    <cfRule type="expression" dxfId="286" priority="1">
      <formula>#REF!&gt;0</formula>
    </cfRule>
  </conditionalFormatting>
  <conditionalFormatting sqref="G34">
    <cfRule type="expression" dxfId="285" priority="12">
      <formula>#REF!&gt;0</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0.05</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50</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2</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6.0000000000000001E-3</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0.06</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332</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109</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+計算シート_1・1・2・トリクロロエタン!G39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計算シート_1・1・2・トリクロロエタン!G41</f>
        <v>1.27</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1・1・2・トリクロロエタン!$Y$14=1,"目標土壌溶出量濃度",IF(入力シート_1・1・2・トリクロロエタン!$Y$14=2,"目標土壌溶出量濃度",IF(入力シート_1・1・2・トリクロロエタン!$Y$14=3,"目標土壌溶出量濃度","PRB通過後の観測点における目標地下水濃度")))</f>
        <v>目標土壌溶出量濃度</v>
      </c>
      <c r="E41" s="527"/>
      <c r="F41" s="527"/>
      <c r="G41" s="528">
        <f>IF($X$14=1,IF(計算シート_1・1・2・トリクロロエタン!E83&gt;10000,"&gt;10,000",+計算シート_1・1・2・トリクロロエタン!E83),計算シート_1・1・2・トリクロロエタン!E74)</f>
        <v>1.6E-2</v>
      </c>
      <c r="H41" s="528"/>
      <c r="I41" s="244" t="s">
        <v>28</v>
      </c>
      <c r="J41" s="155"/>
      <c r="K41" s="529">
        <f>+計算シート_1・1・2・トリクロロエタン!E83</f>
        <v>1.6E-2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284" priority="3">
      <formula>LEN(TRIM(Y13))=0</formula>
    </cfRule>
  </conditionalFormatting>
  <conditionalFormatting sqref="D35:H35 J35:L35">
    <cfRule type="expression" dxfId="283" priority="2">
      <formula>$X$14=1</formula>
    </cfRule>
  </conditionalFormatting>
  <conditionalFormatting sqref="I35">
    <cfRule type="expression" dxfId="282"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5362"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5363"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+入力シート_1・1・2・トリクロロエタン!F20</f>
        <v>1,1,2-トリクロロエタン</v>
      </c>
      <c r="D6" s="721"/>
      <c r="E6" s="722"/>
      <c r="F6" s="17"/>
      <c r="G6" s="18" t="str">
        <f>$C$6</f>
        <v>1,1,2-トリクロロエタン</v>
      </c>
      <c r="L6" s="102"/>
      <c r="M6" s="15"/>
      <c r="N6" s="15"/>
      <c r="O6" s="15"/>
      <c r="P6" s="15"/>
      <c r="Q6" s="15"/>
      <c r="R6" s="15"/>
      <c r="S6" s="15"/>
    </row>
    <row r="7" spans="2:19" ht="13.5" thickBot="1" x14ac:dyDescent="0.25">
      <c r="B7" s="19" t="s">
        <v>87</v>
      </c>
      <c r="C7" s="723" t="s">
        <v>88</v>
      </c>
      <c r="D7" s="724"/>
      <c r="E7" s="725"/>
      <c r="F7" s="20" t="s">
        <v>89</v>
      </c>
      <c r="G7" s="21">
        <f>+入力シート_1・1・2・トリクロロエタン!R14</f>
        <v>6.0000000000000001E-3</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++入力シート_1・1・2・トリクロロエタン!J32</f>
        <v>30</v>
      </c>
      <c r="L9" s="102"/>
      <c r="M9" s="15"/>
      <c r="N9" s="15"/>
      <c r="O9" s="15"/>
      <c r="P9" s="15"/>
      <c r="Q9" s="15"/>
      <c r="R9" s="15"/>
      <c r="S9" s="15"/>
    </row>
    <row r="10" spans="2:19" ht="18" x14ac:dyDescent="0.2">
      <c r="B10" s="26" t="s">
        <v>91</v>
      </c>
      <c r="C10" s="686" t="s">
        <v>72</v>
      </c>
      <c r="D10" s="689"/>
      <c r="E10" s="687"/>
      <c r="F10" s="362" t="s">
        <v>43</v>
      </c>
      <c r="G10" s="28">
        <f>+入力シート_1・1・2・トリクロロエタン!J33</f>
        <v>15</v>
      </c>
      <c r="L10" s="102"/>
      <c r="M10" s="15"/>
      <c r="N10" s="15"/>
      <c r="O10" s="15"/>
      <c r="P10" s="15"/>
      <c r="Q10" s="15"/>
      <c r="R10" s="15"/>
      <c r="S10" s="15"/>
    </row>
    <row r="11" spans="2:19" ht="18" x14ac:dyDescent="0.2">
      <c r="B11" s="26" t="s">
        <v>73</v>
      </c>
      <c r="C11" s="686" t="s">
        <v>74</v>
      </c>
      <c r="D11" s="689"/>
      <c r="E11" s="687"/>
      <c r="F11" s="362" t="s">
        <v>43</v>
      </c>
      <c r="G11" s="28">
        <f>+入力シート_1・1・2・トリクロロエタン!J24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入力シート_1・1・2・トリクロロエタン!J30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入力シート_1・1・2・トリクロロエタン!R20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入力シート_1・1・2・トリクロロエタン!F27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入力シート_1・1・2・トリクロロエタン!R21</f>
        <v>0.3</v>
      </c>
      <c r="L23" s="70"/>
      <c r="M23" s="15"/>
      <c r="N23" s="15"/>
      <c r="O23" s="15"/>
      <c r="P23" s="15"/>
      <c r="Q23" s="15"/>
      <c r="R23" s="15"/>
      <c r="S23" s="15"/>
    </row>
    <row r="24" spans="1:19" ht="18" x14ac:dyDescent="0.2">
      <c r="A24" s="37"/>
      <c r="B24" s="26" t="s">
        <v>163</v>
      </c>
      <c r="C24" s="688" t="s">
        <v>177</v>
      </c>
      <c r="D24" s="689"/>
      <c r="E24" s="687"/>
      <c r="F24" s="362" t="s">
        <v>51</v>
      </c>
      <c r="G24" s="28">
        <f>入力シート_1・1・2・トリクロロエタン!R22</f>
        <v>0.4</v>
      </c>
      <c r="L24" s="70"/>
      <c r="M24" s="15"/>
      <c r="N24" s="15"/>
      <c r="O24" s="15"/>
      <c r="P24" s="15"/>
      <c r="Q24" s="15"/>
      <c r="R24" s="15"/>
      <c r="S24" s="15"/>
    </row>
    <row r="25" spans="1:19" ht="21" x14ac:dyDescent="0.2">
      <c r="A25" s="37"/>
      <c r="B25" s="26" t="s">
        <v>101</v>
      </c>
      <c r="C25" s="686" t="s">
        <v>46</v>
      </c>
      <c r="D25" s="689"/>
      <c r="E25" s="687"/>
      <c r="F25" s="362" t="s">
        <v>43</v>
      </c>
      <c r="G25" s="43">
        <f>入力シート_1・1・2・トリクロロエタン!R12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入力シート_1・1・2・トリクロロエタン!R13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入力シート_1・1・2・トリクロロエタン!R13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入力シート_1・1・2・トリクロロエタン!R11</f>
        <v>2</v>
      </c>
      <c r="L29" s="70"/>
      <c r="M29" s="15"/>
      <c r="N29" s="15"/>
      <c r="O29" s="15"/>
      <c r="P29" s="15"/>
      <c r="Q29" s="15"/>
      <c r="R29" s="15"/>
      <c r="S29" s="15"/>
    </row>
    <row r="30" spans="1:19" ht="14" x14ac:dyDescent="0.3">
      <c r="A30" s="37"/>
      <c r="B30" s="49" t="s">
        <v>107</v>
      </c>
      <c r="C30" s="692" t="s">
        <v>53</v>
      </c>
      <c r="D30" s="692"/>
      <c r="E30" s="692"/>
      <c r="F30" s="364" t="s">
        <v>108</v>
      </c>
      <c r="G30" s="51">
        <f>入力シート_1・1・2・トリクロロエタン!R9</f>
        <v>0.05</v>
      </c>
      <c r="L30" s="70"/>
      <c r="M30" s="15"/>
      <c r="N30" s="15"/>
      <c r="O30" s="15"/>
      <c r="P30" s="15"/>
      <c r="Q30" s="15"/>
      <c r="R30" s="15"/>
      <c r="S30" s="15"/>
    </row>
    <row r="31" spans="1:19" ht="18" x14ac:dyDescent="0.4">
      <c r="A31" s="37"/>
      <c r="B31" s="52" t="s">
        <v>109</v>
      </c>
      <c r="C31" s="692" t="s">
        <v>110</v>
      </c>
      <c r="D31" s="692"/>
      <c r="E31" s="692"/>
      <c r="F31" s="364" t="s">
        <v>111</v>
      </c>
      <c r="G31" s="51">
        <f>IF(A31="",入力シート_1・1・2・トリクロロエタン!R10,A31)</f>
        <v>50</v>
      </c>
      <c r="L31" s="70"/>
      <c r="M31" s="15"/>
      <c r="N31" s="15"/>
      <c r="O31" s="15"/>
      <c r="P31" s="15"/>
      <c r="Q31" s="15"/>
      <c r="R31" s="15"/>
      <c r="S31" s="15"/>
    </row>
    <row r="32" spans="1:19" ht="18.5" thickBot="1" x14ac:dyDescent="0.45">
      <c r="A32" s="37"/>
      <c r="B32" s="53" t="s">
        <v>112</v>
      </c>
      <c r="C32" s="695" t="s">
        <v>113</v>
      </c>
      <c r="D32" s="695"/>
      <c r="E32" s="695"/>
      <c r="F32" s="365" t="s">
        <v>114</v>
      </c>
      <c r="G32" s="55">
        <f>入力シート_1・1・2・トリクロロエタン!R25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入力シート_1・1・2・トリクロロエタン!R24</f>
        <v>1.62</v>
      </c>
      <c r="L34" s="15"/>
      <c r="M34" s="15"/>
      <c r="N34" s="15"/>
      <c r="O34" s="15"/>
      <c r="P34" s="15"/>
      <c r="Q34" s="15"/>
      <c r="R34" s="15"/>
      <c r="S34" s="15"/>
    </row>
    <row r="35" spans="1:19" ht="18" x14ac:dyDescent="0.2">
      <c r="B35" s="26" t="s">
        <v>118</v>
      </c>
      <c r="C35" s="686" t="s">
        <v>119</v>
      </c>
      <c r="D35" s="689"/>
      <c r="E35" s="687"/>
      <c r="F35" s="362" t="s">
        <v>120</v>
      </c>
      <c r="G35" s="43">
        <f>+入力シート_1・1・2・トリクロロエタン!J35*0.365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0.34657359027997264</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1.27</v>
      </c>
    </row>
    <row r="42" spans="1:19" ht="18.5" thickBot="1" x14ac:dyDescent="0.25">
      <c r="B42" s="61" t="s">
        <v>131</v>
      </c>
      <c r="R42" s="60"/>
    </row>
    <row r="43" spans="1:19" x14ac:dyDescent="0.2">
      <c r="B43" s="12"/>
      <c r="C43" s="697" t="s">
        <v>132</v>
      </c>
      <c r="D43" s="698"/>
      <c r="E43" s="698"/>
      <c r="F43" s="367"/>
      <c r="G43" s="125">
        <f>SQRT(1+4*$G38*G25/$G39)</f>
        <v>1.1998295954816982</v>
      </c>
      <c r="H43" s="122"/>
      <c r="I43" s="122"/>
      <c r="N43" s="60"/>
      <c r="R43" s="47"/>
    </row>
    <row r="44" spans="1:19" x14ac:dyDescent="0.2">
      <c r="B44" s="62" t="s">
        <v>133</v>
      </c>
      <c r="C44" s="687"/>
      <c r="D44" s="692"/>
      <c r="E44" s="692"/>
      <c r="F44" s="63"/>
      <c r="G44" s="126">
        <f>EXP(G14/(2*G25)*(1-G43))</f>
        <v>0.36819301633386353</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0.35571316797641372</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0.35571316797641372</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1,1,2-トリクロロエタン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0.35571316797641372</v>
      </c>
      <c r="H63" s="139"/>
      <c r="I63" s="139"/>
      <c r="J63" s="79"/>
      <c r="K63" s="84"/>
      <c r="L63" s="691"/>
      <c r="M63" s="691"/>
      <c r="N63" s="691"/>
      <c r="O63" s="74"/>
      <c r="P63" s="85"/>
      <c r="Q63" s="47"/>
    </row>
    <row r="64" spans="1:17" ht="16.5" x14ac:dyDescent="0.2">
      <c r="B64" s="87"/>
      <c r="C64" s="693" t="s">
        <v>150</v>
      </c>
      <c r="D64" s="693"/>
      <c r="E64" s="693"/>
      <c r="F64" s="88">
        <f>+G64/G63*F63</f>
        <v>1.6867522881238523E-2</v>
      </c>
      <c r="G64" s="83">
        <f>+G7</f>
        <v>6.0000000000000001E-3</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1.6E-2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4.4958691604703456E-2</v>
      </c>
      <c r="H68" s="139"/>
      <c r="I68" s="139"/>
      <c r="J68" s="79"/>
    </row>
    <row r="69" spans="2:10" x14ac:dyDescent="0.2">
      <c r="B69" s="81"/>
      <c r="C69" s="686" t="s">
        <v>150</v>
      </c>
      <c r="D69" s="687"/>
      <c r="E69" s="364" t="s">
        <v>153</v>
      </c>
      <c r="F69" s="86">
        <f>+G69/G68*F68</f>
        <v>1.6867522881238523E-2</v>
      </c>
      <c r="G69" s="83">
        <f>+G64</f>
        <v>6.0000000000000001E-3</v>
      </c>
      <c r="H69" s="139"/>
      <c r="I69" s="139"/>
      <c r="J69" s="79"/>
    </row>
    <row r="70" spans="2:10" x14ac:dyDescent="0.2">
      <c r="B70" s="81"/>
      <c r="C70" s="683" t="s">
        <v>154</v>
      </c>
      <c r="D70" s="683"/>
      <c r="E70" s="93">
        <f>+F69/F68*E68</f>
        <v>0.13345584103635919</v>
      </c>
      <c r="F70" s="47"/>
      <c r="G70" s="47"/>
      <c r="H70" s="47"/>
      <c r="I70" s="47"/>
      <c r="J70" s="79"/>
    </row>
    <row r="71" spans="2:10" x14ac:dyDescent="0.2">
      <c r="B71" s="81"/>
      <c r="C71" s="683" t="s">
        <v>155</v>
      </c>
      <c r="D71" s="683"/>
      <c r="E71" s="83">
        <f>入力シート_1・1・2・トリクロロエタン!R15</f>
        <v>0.06</v>
      </c>
      <c r="F71" s="47"/>
      <c r="G71" s="47"/>
      <c r="H71" s="47"/>
      <c r="I71" s="47"/>
      <c r="J71" s="79"/>
    </row>
    <row r="72" spans="2:10" ht="13.5" thickBot="1" x14ac:dyDescent="0.25">
      <c r="B72" s="81"/>
      <c r="C72" s="47"/>
      <c r="D72" s="47"/>
      <c r="E72" s="74">
        <f>IF(E70&gt;10,ROUNDDOWN(E70,0),IF(E70&gt;1,ROUNDDOWN(E70,1),IF(E70&gt;0.1,ROUNDDOWN(E70,2),IF(E70&gt;0.01,ROUNDDOWN(E70,3),ROUNDDOWN(E70,4)))))</f>
        <v>0.13</v>
      </c>
      <c r="F72" s="47"/>
      <c r="G72" s="47"/>
      <c r="H72" s="47"/>
      <c r="I72" s="47"/>
      <c r="J72" s="79"/>
    </row>
    <row r="73" spans="2:10" ht="13.5" thickBot="1" x14ac:dyDescent="0.25">
      <c r="B73" s="81"/>
      <c r="C73" s="684" t="s">
        <v>156</v>
      </c>
      <c r="D73" s="685"/>
      <c r="E73" s="109">
        <f>IF(E70&gt;E71,E71,E70)</f>
        <v>0.06</v>
      </c>
      <c r="F73" s="95" t="s">
        <v>157</v>
      </c>
      <c r="G73" s="47"/>
      <c r="H73" s="47"/>
      <c r="I73" s="47"/>
      <c r="J73" s="79"/>
    </row>
    <row r="74" spans="2:10" x14ac:dyDescent="0.2">
      <c r="B74" s="81"/>
      <c r="C74" s="47"/>
      <c r="D74" s="47"/>
      <c r="E74" s="74">
        <f>IF(E73&gt;10,ROUNDDOWN(E73,0),IF(E73&gt;1,ROUNDDOWN(E73,1),IF(E73&gt;0.1,ROUNDDOWN(E73,2),IF(E73&gt;0.01,ROUNDDOWN(E73,3),ROUNDDOWN(E73,4)))))</f>
        <v>0.06</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0.35571316797641372</v>
      </c>
      <c r="H77" s="139"/>
      <c r="I77" s="139"/>
      <c r="J77" s="79"/>
    </row>
    <row r="78" spans="2:10" x14ac:dyDescent="0.2">
      <c r="B78" s="81"/>
      <c r="C78" s="686" t="s">
        <v>150</v>
      </c>
      <c r="D78" s="687"/>
      <c r="E78" s="364" t="s">
        <v>153</v>
      </c>
      <c r="F78" s="86">
        <f>+F64</f>
        <v>1.6867522881238523E-2</v>
      </c>
      <c r="G78" s="83">
        <f>+G69</f>
        <v>6.0000000000000001E-3</v>
      </c>
      <c r="H78" s="139"/>
      <c r="I78" s="139"/>
      <c r="J78" s="79"/>
    </row>
    <row r="79" spans="2:10" x14ac:dyDescent="0.2">
      <c r="B79" s="81"/>
      <c r="C79" s="683" t="s">
        <v>154</v>
      </c>
      <c r="D79" s="683"/>
      <c r="E79" s="93">
        <f>+F78/F77*E77</f>
        <v>1.6867522881238523E-2</v>
      </c>
      <c r="F79" s="47"/>
      <c r="G79" s="47"/>
      <c r="H79" s="47"/>
      <c r="I79" s="47"/>
      <c r="J79" s="79"/>
    </row>
    <row r="80" spans="2:10" x14ac:dyDescent="0.2">
      <c r="B80" s="81"/>
      <c r="C80" s="683" t="s">
        <v>155</v>
      </c>
      <c r="D80" s="683"/>
      <c r="E80" s="83">
        <f>+E71</f>
        <v>0.06</v>
      </c>
      <c r="F80" s="47"/>
      <c r="G80" s="47"/>
      <c r="H80" s="47"/>
      <c r="I80" s="47"/>
      <c r="J80" s="79"/>
    </row>
    <row r="81" spans="2:10" ht="13.5" thickBot="1" x14ac:dyDescent="0.25">
      <c r="B81" s="81"/>
      <c r="C81" s="47"/>
      <c r="D81" s="47"/>
      <c r="E81" s="74">
        <f>IF(E79&gt;10,ROUNDDOWN(E79,0),IF(E79&gt;1,ROUNDDOWN(E79,1),IF(E79&gt;0.1,ROUNDDOWN(E79,2),IF(E79&gt;0.01,ROUNDDOWN(E79,3),ROUNDDOWN(E79,4)))))</f>
        <v>1.6E-2</v>
      </c>
      <c r="F81" s="47"/>
      <c r="G81" s="47"/>
      <c r="H81" s="47"/>
      <c r="I81" s="47"/>
      <c r="J81" s="79"/>
    </row>
    <row r="82" spans="2:10" ht="13.5" thickBot="1" x14ac:dyDescent="0.25">
      <c r="B82" s="81"/>
      <c r="C82" s="684" t="s">
        <v>156</v>
      </c>
      <c r="D82" s="685"/>
      <c r="E82" s="109">
        <f>IF(E79&gt;E80,E80,E79)</f>
        <v>1.6867522881238523E-2</v>
      </c>
      <c r="F82" s="95" t="s">
        <v>157</v>
      </c>
      <c r="G82" s="47"/>
      <c r="H82" s="47"/>
      <c r="I82" s="47"/>
      <c r="J82" s="79"/>
    </row>
    <row r="83" spans="2:10" x14ac:dyDescent="0.2">
      <c r="B83" s="81"/>
      <c r="C83" s="47"/>
      <c r="D83" s="47"/>
      <c r="E83" s="74">
        <f>IF(E82&gt;10,ROUNDDOWN(E82,0),IF(E82&gt;1,ROUNDDOWN(E82,1),IF(E82&gt;0.1,ROUNDDOWN(E82,2),IF(E82&gt;0.01,ROUNDDOWN(E82,3),ROUNDDOWN(E82,4)))))</f>
        <v>1.6E-2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281" priority="5">
      <formula>$A41&gt;0</formula>
    </cfRule>
  </conditionalFormatting>
  <conditionalFormatting sqref="G30">
    <cfRule type="expression" dxfId="280" priority="4">
      <formula>$A$29&gt;0</formula>
    </cfRule>
  </conditionalFormatting>
  <conditionalFormatting sqref="G31">
    <cfRule type="expression" dxfId="279" priority="3">
      <formula>$A$30&gt;0</formula>
    </cfRule>
  </conditionalFormatting>
  <conditionalFormatting sqref="G32">
    <cfRule type="expression" dxfId="278" priority="2">
      <formula>$A$31&gt;0</formula>
    </cfRule>
  </conditionalFormatting>
  <conditionalFormatting sqref="G9">
    <cfRule type="expression" dxfId="277" priority="6">
      <formula>#REF!&gt;0</formula>
    </cfRule>
  </conditionalFormatting>
  <conditionalFormatting sqref="G11 G25:I27">
    <cfRule type="expression" dxfId="276" priority="7">
      <formula>#REF!&gt;0</formula>
    </cfRule>
  </conditionalFormatting>
  <conditionalFormatting sqref="G18">
    <cfRule type="expression" dxfId="275" priority="8">
      <formula>#REF!&gt;0</formula>
    </cfRule>
  </conditionalFormatting>
  <conditionalFormatting sqref="G22:G24">
    <cfRule type="expression" dxfId="274" priority="9">
      <formula>$A$25&gt;0</formula>
    </cfRule>
  </conditionalFormatting>
  <conditionalFormatting sqref="G23:G24">
    <cfRule type="expression" dxfId="273" priority="10">
      <formula>#REF!&gt;0</formula>
    </cfRule>
  </conditionalFormatting>
  <conditionalFormatting sqref="G21">
    <cfRule type="expression" dxfId="272" priority="11">
      <formula>$A$23&gt;0</formula>
    </cfRule>
  </conditionalFormatting>
  <conditionalFormatting sqref="G12">
    <cfRule type="expression" dxfId="271" priority="1">
      <formula>#REF!&gt;0</formula>
    </cfRule>
  </conditionalFormatting>
  <conditionalFormatting sqref="G34">
    <cfRule type="expression" dxfId="270" priority="12">
      <formula>#REF!&gt;0</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6.8000000000000005E-2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68</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7.9</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0.03</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0.3</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333</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110</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+計算シート_トリクロロエチレン!G39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計算シート_トリクロロエチレン!G41</f>
        <v>1.3672</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トリクロロエチレン!$Y$14=1,"目標土壌溶出量濃度",IF(入力シート_トリクロロエチレン!$Y$14=2,"目標土壌溶出量濃度",IF(入力シート_トリクロロエチレン!$Y$14=3,"目標土壌溶出量濃度","PRB通過後の観測点における目標地下水濃度")))</f>
        <v>目標土壌溶出量濃度</v>
      </c>
      <c r="E41" s="527"/>
      <c r="F41" s="527"/>
      <c r="G41" s="528">
        <f>IF($X$14=1,IF(計算シート_トリクロロエチレン!E83&gt;10000,"&gt;10,000",+計算シート_トリクロロエチレン!E83),計算シート_トリクロロエチレン!E74)</f>
        <v>0.04</v>
      </c>
      <c r="H41" s="528"/>
      <c r="I41" s="244" t="s">
        <v>28</v>
      </c>
      <c r="J41" s="155"/>
      <c r="K41" s="529">
        <f>+計算シート_トリクロロエチレン!E83</f>
        <v>0.04</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269" priority="3">
      <formula>LEN(TRIM(Y13))=0</formula>
    </cfRule>
  </conditionalFormatting>
  <conditionalFormatting sqref="D35:H35 J35:L35">
    <cfRule type="expression" dxfId="268" priority="2">
      <formula>$X$14=1</formula>
    </cfRule>
  </conditionalFormatting>
  <conditionalFormatting sqref="I35">
    <cfRule type="expression" dxfId="267"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6386"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6387"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+入力シート_トリクロロエチレン!F20</f>
        <v>トリクロロエチレン</v>
      </c>
      <c r="D6" s="721"/>
      <c r="E6" s="722"/>
      <c r="F6" s="17"/>
      <c r="G6" s="18" t="str">
        <f>$C$6</f>
        <v>トリクロロエチレン</v>
      </c>
      <c r="L6" s="102"/>
      <c r="M6" s="15"/>
      <c r="N6" s="15"/>
      <c r="O6" s="15"/>
      <c r="P6" s="15"/>
      <c r="Q6" s="15"/>
      <c r="R6" s="15"/>
      <c r="S6" s="15"/>
    </row>
    <row r="7" spans="2:19" ht="13.5" thickBot="1" x14ac:dyDescent="0.25">
      <c r="B7" s="19" t="s">
        <v>87</v>
      </c>
      <c r="C7" s="723" t="s">
        <v>88</v>
      </c>
      <c r="D7" s="724"/>
      <c r="E7" s="725"/>
      <c r="F7" s="20" t="s">
        <v>89</v>
      </c>
      <c r="G7" s="21">
        <f>+入力シート_トリクロロエチレン!R14</f>
        <v>0.03</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++入力シート_トリクロロエチレン!J32</f>
        <v>30</v>
      </c>
      <c r="L9" s="102"/>
      <c r="M9" s="15"/>
      <c r="N9" s="15"/>
      <c r="O9" s="15"/>
      <c r="P9" s="15"/>
      <c r="Q9" s="15"/>
      <c r="R9" s="15"/>
      <c r="S9" s="15"/>
    </row>
    <row r="10" spans="2:19" ht="18" x14ac:dyDescent="0.2">
      <c r="B10" s="26" t="s">
        <v>91</v>
      </c>
      <c r="C10" s="686" t="s">
        <v>72</v>
      </c>
      <c r="D10" s="689"/>
      <c r="E10" s="687"/>
      <c r="F10" s="362" t="s">
        <v>43</v>
      </c>
      <c r="G10" s="28">
        <f>+入力シート_トリクロロエチレン!J33</f>
        <v>15</v>
      </c>
      <c r="L10" s="102"/>
      <c r="M10" s="15"/>
      <c r="N10" s="15"/>
      <c r="O10" s="15"/>
      <c r="P10" s="15"/>
      <c r="Q10" s="15"/>
      <c r="R10" s="15"/>
      <c r="S10" s="15"/>
    </row>
    <row r="11" spans="2:19" ht="18" x14ac:dyDescent="0.2">
      <c r="B11" s="26" t="s">
        <v>73</v>
      </c>
      <c r="C11" s="686" t="s">
        <v>74</v>
      </c>
      <c r="D11" s="689"/>
      <c r="E11" s="687"/>
      <c r="F11" s="362" t="s">
        <v>43</v>
      </c>
      <c r="G11" s="28">
        <f>+入力シート_トリクロロエチレン!J24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入力シート_トリクロロエチレン!J30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入力シート_トリクロロエチレン!R20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入力シート_トリクロロエチレン!F27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入力シート_トリクロロエチレン!R21</f>
        <v>0.3</v>
      </c>
      <c r="L23" s="70"/>
      <c r="M23" s="15"/>
      <c r="N23" s="15"/>
      <c r="O23" s="15"/>
      <c r="P23" s="15"/>
      <c r="Q23" s="15"/>
      <c r="R23" s="15"/>
      <c r="S23" s="15"/>
    </row>
    <row r="24" spans="1:19" ht="18" x14ac:dyDescent="0.2">
      <c r="A24" s="37"/>
      <c r="B24" s="26" t="s">
        <v>163</v>
      </c>
      <c r="C24" s="688" t="s">
        <v>177</v>
      </c>
      <c r="D24" s="689"/>
      <c r="E24" s="687"/>
      <c r="F24" s="362" t="s">
        <v>51</v>
      </c>
      <c r="G24" s="28">
        <f>入力シート_トリクロロエチレン!R22</f>
        <v>0.4</v>
      </c>
      <c r="L24" s="70"/>
      <c r="M24" s="15"/>
      <c r="N24" s="15"/>
      <c r="O24" s="15"/>
      <c r="P24" s="15"/>
      <c r="Q24" s="15"/>
      <c r="R24" s="15"/>
      <c r="S24" s="15"/>
    </row>
    <row r="25" spans="1:19" ht="21" x14ac:dyDescent="0.2">
      <c r="A25" s="37"/>
      <c r="B25" s="26" t="s">
        <v>101</v>
      </c>
      <c r="C25" s="686" t="s">
        <v>46</v>
      </c>
      <c r="D25" s="689"/>
      <c r="E25" s="687"/>
      <c r="F25" s="362" t="s">
        <v>43</v>
      </c>
      <c r="G25" s="43">
        <f>入力シート_トリクロロエチレン!R12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入力シート_トリクロロエチレン!R13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入力シート_トリクロロエチレン!R13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入力シート_トリクロロエチレン!R11</f>
        <v>7.9</v>
      </c>
      <c r="L29" s="70"/>
      <c r="M29" s="15"/>
      <c r="N29" s="15"/>
      <c r="O29" s="15"/>
      <c r="P29" s="15"/>
      <c r="Q29" s="15"/>
      <c r="R29" s="15"/>
      <c r="S29" s="15"/>
    </row>
    <row r="30" spans="1:19" ht="14" x14ac:dyDescent="0.3">
      <c r="A30" s="37"/>
      <c r="B30" s="49" t="s">
        <v>107</v>
      </c>
      <c r="C30" s="692" t="s">
        <v>53</v>
      </c>
      <c r="D30" s="692"/>
      <c r="E30" s="692"/>
      <c r="F30" s="364" t="s">
        <v>108</v>
      </c>
      <c r="G30" s="51">
        <f>入力シート_トリクロロエチレン!R9</f>
        <v>6.8000000000000005E-2</v>
      </c>
      <c r="L30" s="70"/>
      <c r="M30" s="15"/>
      <c r="N30" s="15"/>
      <c r="O30" s="15"/>
      <c r="P30" s="15"/>
      <c r="Q30" s="15"/>
      <c r="R30" s="15"/>
      <c r="S30" s="15"/>
    </row>
    <row r="31" spans="1:19" ht="18" x14ac:dyDescent="0.4">
      <c r="A31" s="37"/>
      <c r="B31" s="52" t="s">
        <v>109</v>
      </c>
      <c r="C31" s="692" t="s">
        <v>110</v>
      </c>
      <c r="D31" s="692"/>
      <c r="E31" s="692"/>
      <c r="F31" s="364" t="s">
        <v>111</v>
      </c>
      <c r="G31" s="51">
        <f>IF(A31="",入力シート_トリクロロエチレン!R10,A31)</f>
        <v>68</v>
      </c>
      <c r="L31" s="70"/>
      <c r="M31" s="15"/>
      <c r="N31" s="15"/>
      <c r="O31" s="15"/>
      <c r="P31" s="15"/>
      <c r="Q31" s="15"/>
      <c r="R31" s="15"/>
      <c r="S31" s="15"/>
    </row>
    <row r="32" spans="1:19" ht="18.5" thickBot="1" x14ac:dyDescent="0.45">
      <c r="A32" s="37"/>
      <c r="B32" s="53" t="s">
        <v>112</v>
      </c>
      <c r="C32" s="695" t="s">
        <v>113</v>
      </c>
      <c r="D32" s="695"/>
      <c r="E32" s="695"/>
      <c r="F32" s="365" t="s">
        <v>114</v>
      </c>
      <c r="G32" s="55">
        <f>入力シート_トリクロロエチレン!R25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入力シート_トリクロロエチレン!R24</f>
        <v>1.62</v>
      </c>
      <c r="L34" s="15"/>
      <c r="M34" s="15"/>
      <c r="N34" s="15"/>
      <c r="O34" s="15"/>
      <c r="P34" s="15"/>
      <c r="Q34" s="15"/>
      <c r="R34" s="15"/>
      <c r="S34" s="15"/>
    </row>
    <row r="35" spans="1:19" ht="18" x14ac:dyDescent="0.2">
      <c r="B35" s="26" t="s">
        <v>118</v>
      </c>
      <c r="C35" s="686" t="s">
        <v>119</v>
      </c>
      <c r="D35" s="689"/>
      <c r="E35" s="687"/>
      <c r="F35" s="362" t="s">
        <v>120</v>
      </c>
      <c r="G35" s="43">
        <f>+入力シート_トリクロロエチレン!J35*0.365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8.7740149437967749E-2</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1.3672</v>
      </c>
    </row>
    <row r="42" spans="1:19" ht="18.5" thickBot="1" x14ac:dyDescent="0.25">
      <c r="B42" s="61" t="s">
        <v>131</v>
      </c>
      <c r="R42" s="60"/>
    </row>
    <row r="43" spans="1:19" x14ac:dyDescent="0.2">
      <c r="B43" s="12"/>
      <c r="C43" s="697" t="s">
        <v>132</v>
      </c>
      <c r="D43" s="698"/>
      <c r="E43" s="698"/>
      <c r="F43" s="367"/>
      <c r="G43" s="125">
        <f>SQRT(1+4*$G38*G25/$G39)</f>
        <v>1.0541768710667556</v>
      </c>
      <c r="H43" s="122"/>
      <c r="I43" s="122"/>
      <c r="N43" s="60"/>
      <c r="R43" s="47"/>
    </row>
    <row r="44" spans="1:19" x14ac:dyDescent="0.2">
      <c r="B44" s="62" t="s">
        <v>133</v>
      </c>
      <c r="C44" s="687"/>
      <c r="D44" s="692"/>
      <c r="E44" s="692"/>
      <c r="F44" s="63"/>
      <c r="G44" s="126">
        <f>EXP(G14/(2*G25)*(1-G43))</f>
        <v>0.7627046940349419</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0.73685293014803466</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0.73685293014803466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トリクロロエチレン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0.73685293014803466</v>
      </c>
      <c r="H63" s="139"/>
      <c r="I63" s="139"/>
      <c r="J63" s="79"/>
      <c r="K63" s="84"/>
      <c r="L63" s="691"/>
      <c r="M63" s="691"/>
      <c r="N63" s="691"/>
      <c r="O63" s="74"/>
      <c r="P63" s="85"/>
      <c r="Q63" s="47"/>
    </row>
    <row r="64" spans="1:17" ht="16.5" x14ac:dyDescent="0.2">
      <c r="B64" s="87"/>
      <c r="C64" s="693" t="s">
        <v>150</v>
      </c>
      <c r="D64" s="693"/>
      <c r="E64" s="693"/>
      <c r="F64" s="88">
        <f>+G64/G63*F63</f>
        <v>4.0713687592954219E-2</v>
      </c>
      <c r="G64" s="83">
        <f>+G7</f>
        <v>0.03</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0.04</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9.3131057905464443E-2</v>
      </c>
      <c r="H68" s="139"/>
      <c r="I68" s="139"/>
      <c r="J68" s="79"/>
    </row>
    <row r="69" spans="2:10" x14ac:dyDescent="0.2">
      <c r="B69" s="81"/>
      <c r="C69" s="686" t="s">
        <v>150</v>
      </c>
      <c r="D69" s="687"/>
      <c r="E69" s="364" t="s">
        <v>153</v>
      </c>
      <c r="F69" s="86">
        <f>+G69/G68*F68</f>
        <v>4.0713687592954219E-2</v>
      </c>
      <c r="G69" s="83">
        <f>+G64</f>
        <v>0.03</v>
      </c>
      <c r="H69" s="139"/>
      <c r="I69" s="139"/>
      <c r="J69" s="79"/>
    </row>
    <row r="70" spans="2:10" x14ac:dyDescent="0.2">
      <c r="B70" s="81"/>
      <c r="C70" s="683" t="s">
        <v>154</v>
      </c>
      <c r="D70" s="683"/>
      <c r="E70" s="93">
        <f>+F69/F68*E68</f>
        <v>0.32212669623545376</v>
      </c>
      <c r="F70" s="47"/>
      <c r="G70" s="47"/>
      <c r="H70" s="47"/>
      <c r="I70" s="47"/>
      <c r="J70" s="79"/>
    </row>
    <row r="71" spans="2:10" x14ac:dyDescent="0.2">
      <c r="B71" s="81"/>
      <c r="C71" s="683" t="s">
        <v>155</v>
      </c>
      <c r="D71" s="683"/>
      <c r="E71" s="83">
        <f>入力シート_トリクロロエチレン!R15</f>
        <v>0.3</v>
      </c>
      <c r="F71" s="47"/>
      <c r="G71" s="47"/>
      <c r="H71" s="47"/>
      <c r="I71" s="47"/>
      <c r="J71" s="79"/>
    </row>
    <row r="72" spans="2:10" ht="13.5" thickBot="1" x14ac:dyDescent="0.25">
      <c r="B72" s="81"/>
      <c r="C72" s="47"/>
      <c r="D72" s="47"/>
      <c r="E72" s="74">
        <f>IF(E70&gt;10,ROUNDDOWN(E70,0),IF(E70&gt;1,ROUNDDOWN(E70,1),IF(E70&gt;0.1,ROUNDDOWN(E70,2),IF(E70&gt;0.01,ROUNDDOWN(E70,3),ROUNDDOWN(E70,4)))))</f>
        <v>0.32</v>
      </c>
      <c r="F72" s="47"/>
      <c r="G72" s="47"/>
      <c r="H72" s="47"/>
      <c r="I72" s="47"/>
      <c r="J72" s="79"/>
    </row>
    <row r="73" spans="2:10" ht="13.5" thickBot="1" x14ac:dyDescent="0.25">
      <c r="B73" s="81"/>
      <c r="C73" s="684" t="s">
        <v>156</v>
      </c>
      <c r="D73" s="685"/>
      <c r="E73" s="109">
        <f>IF(E70&gt;E71,E71,E70)</f>
        <v>0.3</v>
      </c>
      <c r="F73" s="95" t="s">
        <v>157</v>
      </c>
      <c r="G73" s="47"/>
      <c r="H73" s="47"/>
      <c r="I73" s="47"/>
      <c r="J73" s="79"/>
    </row>
    <row r="74" spans="2:10" x14ac:dyDescent="0.2">
      <c r="B74" s="81"/>
      <c r="C74" s="47"/>
      <c r="D74" s="47"/>
      <c r="E74" s="74">
        <f>IF(E73&gt;10,ROUNDDOWN(E73,0),IF(E73&gt;1,ROUNDDOWN(E73,1),IF(E73&gt;0.1,ROUNDDOWN(E73,2),IF(E73&gt;0.01,ROUNDDOWN(E73,3),ROUNDDOWN(E73,4)))))</f>
        <v>0.3</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0.73685293014803466</v>
      </c>
      <c r="H77" s="139"/>
      <c r="I77" s="139"/>
      <c r="J77" s="79"/>
    </row>
    <row r="78" spans="2:10" x14ac:dyDescent="0.2">
      <c r="B78" s="81"/>
      <c r="C78" s="686" t="s">
        <v>150</v>
      </c>
      <c r="D78" s="687"/>
      <c r="E78" s="364" t="s">
        <v>153</v>
      </c>
      <c r="F78" s="86">
        <f>+F64</f>
        <v>4.0713687592954219E-2</v>
      </c>
      <c r="G78" s="83">
        <f>+G69</f>
        <v>0.03</v>
      </c>
      <c r="H78" s="139"/>
      <c r="I78" s="139"/>
      <c r="J78" s="79"/>
    </row>
    <row r="79" spans="2:10" x14ac:dyDescent="0.2">
      <c r="B79" s="81"/>
      <c r="C79" s="683" t="s">
        <v>154</v>
      </c>
      <c r="D79" s="683"/>
      <c r="E79" s="93">
        <f>+F78/F77*E77</f>
        <v>4.0713687592954219E-2</v>
      </c>
      <c r="F79" s="47"/>
      <c r="G79" s="47"/>
      <c r="H79" s="47"/>
      <c r="I79" s="47"/>
      <c r="J79" s="79"/>
    </row>
    <row r="80" spans="2:10" x14ac:dyDescent="0.2">
      <c r="B80" s="81"/>
      <c r="C80" s="683" t="s">
        <v>155</v>
      </c>
      <c r="D80" s="683"/>
      <c r="E80" s="83">
        <f>+E71</f>
        <v>0.3</v>
      </c>
      <c r="F80" s="47"/>
      <c r="G80" s="47"/>
      <c r="H80" s="47"/>
      <c r="I80" s="47"/>
      <c r="J80" s="79"/>
    </row>
    <row r="81" spans="2:10" ht="13.5" thickBot="1" x14ac:dyDescent="0.25">
      <c r="B81" s="81"/>
      <c r="C81" s="47"/>
      <c r="D81" s="47"/>
      <c r="E81" s="74">
        <f>IF(E79&gt;10,ROUNDDOWN(E79,0),IF(E79&gt;1,ROUNDDOWN(E79,1),IF(E79&gt;0.1,ROUNDDOWN(E79,2),IF(E79&gt;0.01,ROUNDDOWN(E79,3),ROUNDDOWN(E79,4)))))</f>
        <v>0.04</v>
      </c>
      <c r="F81" s="47"/>
      <c r="G81" s="47"/>
      <c r="H81" s="47"/>
      <c r="I81" s="47"/>
      <c r="J81" s="79"/>
    </row>
    <row r="82" spans="2:10" ht="13.5" thickBot="1" x14ac:dyDescent="0.25">
      <c r="B82" s="81"/>
      <c r="C82" s="684" t="s">
        <v>156</v>
      </c>
      <c r="D82" s="685"/>
      <c r="E82" s="109">
        <f>IF(E79&gt;E80,E80,E79)</f>
        <v>4.0713687592954219E-2</v>
      </c>
      <c r="F82" s="95" t="s">
        <v>157</v>
      </c>
      <c r="G82" s="47"/>
      <c r="H82" s="47"/>
      <c r="I82" s="47"/>
      <c r="J82" s="79"/>
    </row>
    <row r="83" spans="2:10" x14ac:dyDescent="0.2">
      <c r="B83" s="81"/>
      <c r="C83" s="47"/>
      <c r="D83" s="47"/>
      <c r="E83" s="74">
        <f>IF(E82&gt;10,ROUNDDOWN(E82,0),IF(E82&gt;1,ROUNDDOWN(E82,1),IF(E82&gt;0.1,ROUNDDOWN(E82,2),IF(E82&gt;0.01,ROUNDDOWN(E82,3),ROUNDDOWN(E82,4)))))</f>
        <v>0.04</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266" priority="5">
      <formula>$A41&gt;0</formula>
    </cfRule>
  </conditionalFormatting>
  <conditionalFormatting sqref="G30">
    <cfRule type="expression" dxfId="265" priority="4">
      <formula>$A$29&gt;0</formula>
    </cfRule>
  </conditionalFormatting>
  <conditionalFormatting sqref="G31">
    <cfRule type="expression" dxfId="264" priority="3">
      <formula>$A$30&gt;0</formula>
    </cfRule>
  </conditionalFormatting>
  <conditionalFormatting sqref="G32">
    <cfRule type="expression" dxfId="263" priority="2">
      <formula>$A$31&gt;0</formula>
    </cfRule>
  </conditionalFormatting>
  <conditionalFormatting sqref="G9">
    <cfRule type="expression" dxfId="262" priority="6">
      <formula>#REF!&gt;0</formula>
    </cfRule>
  </conditionalFormatting>
  <conditionalFormatting sqref="G11 G25:I27">
    <cfRule type="expression" dxfId="261" priority="7">
      <formula>#REF!&gt;0</formula>
    </cfRule>
  </conditionalFormatting>
  <conditionalFormatting sqref="G18">
    <cfRule type="expression" dxfId="260" priority="8">
      <formula>#REF!&gt;0</formula>
    </cfRule>
  </conditionalFormatting>
  <conditionalFormatting sqref="G22:G24">
    <cfRule type="expression" dxfId="259" priority="9">
      <formula>$A$25&gt;0</formula>
    </cfRule>
  </conditionalFormatting>
  <conditionalFormatting sqref="G23:G24">
    <cfRule type="expression" dxfId="258" priority="10">
      <formula>#REF!&gt;0</formula>
    </cfRule>
  </conditionalFormatting>
  <conditionalFormatting sqref="G21">
    <cfRule type="expression" dxfId="257" priority="11">
      <formula>$A$23&gt;0</formula>
    </cfRule>
  </conditionalFormatting>
  <conditionalFormatting sqref="G12">
    <cfRule type="expression" dxfId="256" priority="1">
      <formula>#REF!&gt;0</formula>
    </cfRule>
  </conditionalFormatting>
  <conditionalFormatting sqref="G34">
    <cfRule type="expression" dxfId="255" priority="12">
      <formula>#REF!&gt;0</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0.16</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160</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7.9</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0.1</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334</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111</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+計算シート_テトラクロロエチレン!G39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計算シート_テトラクロロエチレン!G41</f>
        <v>1.8640000000000003</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テトラクロロエチレン!$Y$14=1,"目標土壌溶出量濃度",IF(入力シート_テトラクロロエチレン!$Y$14=2,"目標土壌溶出量濃度",IF(入力シート_テトラクロロエチレン!$Y$14=3,"目標土壌溶出量濃度","PRB通過後の観測点における目標地下水濃度")))</f>
        <v>目標土壌溶出量濃度</v>
      </c>
      <c r="E41" s="527"/>
      <c r="F41" s="527"/>
      <c r="G41" s="528">
        <f>IF($X$14=1,IF(計算シート_テトラクロロエチレン!E83&gt;10000,"&gt;10,000",+計算シート_テトラクロロエチレン!E83),計算シート_テトラクロロエチレン!E74)</f>
        <v>1.2999999999999999E-2</v>
      </c>
      <c r="H41" s="528"/>
      <c r="I41" s="244" t="s">
        <v>28</v>
      </c>
      <c r="J41" s="155"/>
      <c r="K41" s="529">
        <f>+計算シート_テトラクロロエチレン!E83</f>
        <v>1.2999999999999999E-2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254" priority="3">
      <formula>LEN(TRIM(Y13))=0</formula>
    </cfRule>
  </conditionalFormatting>
  <conditionalFormatting sqref="D35:H35 J35:L35">
    <cfRule type="expression" dxfId="253" priority="2">
      <formula>$X$14=1</formula>
    </cfRule>
  </conditionalFormatting>
  <conditionalFormatting sqref="I35">
    <cfRule type="expression" dxfId="252"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7410"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7411"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+入力シート_テトラクロロエチレン!F20</f>
        <v>テトラクロロエチレン</v>
      </c>
      <c r="D6" s="721"/>
      <c r="E6" s="722"/>
      <c r="F6" s="17"/>
      <c r="G6" s="18" t="str">
        <f>$C$6</f>
        <v>テトラクロロエチレン</v>
      </c>
      <c r="L6" s="102"/>
      <c r="M6" s="15"/>
      <c r="N6" s="15"/>
      <c r="O6" s="15"/>
      <c r="P6" s="15"/>
      <c r="Q6" s="15"/>
      <c r="R6" s="15"/>
      <c r="S6" s="15"/>
    </row>
    <row r="7" spans="2:19" ht="13.5" thickBot="1" x14ac:dyDescent="0.25">
      <c r="B7" s="19" t="s">
        <v>87</v>
      </c>
      <c r="C7" s="723" t="s">
        <v>88</v>
      </c>
      <c r="D7" s="724"/>
      <c r="E7" s="725"/>
      <c r="F7" s="20" t="s">
        <v>89</v>
      </c>
      <c r="G7" s="21">
        <f>+入力シート_テトラクロロエチレン!R14</f>
        <v>0.01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++入力シート_テトラクロロエチレン!J32</f>
        <v>30</v>
      </c>
      <c r="L9" s="102"/>
      <c r="M9" s="15"/>
      <c r="N9" s="15"/>
      <c r="O9" s="15"/>
      <c r="P9" s="15"/>
      <c r="Q9" s="15"/>
      <c r="R9" s="15"/>
      <c r="S9" s="15"/>
    </row>
    <row r="10" spans="2:19" ht="18" x14ac:dyDescent="0.2">
      <c r="B10" s="26" t="s">
        <v>91</v>
      </c>
      <c r="C10" s="686" t="s">
        <v>72</v>
      </c>
      <c r="D10" s="689"/>
      <c r="E10" s="687"/>
      <c r="F10" s="362" t="s">
        <v>43</v>
      </c>
      <c r="G10" s="28">
        <f>+入力シート_テトラクロロエチレン!J33</f>
        <v>15</v>
      </c>
      <c r="L10" s="102"/>
      <c r="M10" s="15"/>
      <c r="N10" s="15"/>
      <c r="O10" s="15"/>
      <c r="P10" s="15"/>
      <c r="Q10" s="15"/>
      <c r="R10" s="15"/>
      <c r="S10" s="15"/>
    </row>
    <row r="11" spans="2:19" ht="18" x14ac:dyDescent="0.2">
      <c r="B11" s="26" t="s">
        <v>73</v>
      </c>
      <c r="C11" s="686" t="s">
        <v>74</v>
      </c>
      <c r="D11" s="689"/>
      <c r="E11" s="687"/>
      <c r="F11" s="362" t="s">
        <v>43</v>
      </c>
      <c r="G11" s="28">
        <f>+入力シート_テトラクロロエチレン!J24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入力シート_テトラクロロエチレン!J30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入力シート_テトラクロロエチレン!R20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入力シート_テトラクロロエチレン!F27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入力シート_テトラクロロエチレン!R21</f>
        <v>0.3</v>
      </c>
      <c r="L23" s="70"/>
      <c r="M23" s="15"/>
      <c r="N23" s="15"/>
      <c r="O23" s="15"/>
      <c r="P23" s="15"/>
      <c r="Q23" s="15"/>
      <c r="R23" s="15"/>
      <c r="S23" s="15"/>
    </row>
    <row r="24" spans="1:19" ht="18" x14ac:dyDescent="0.2">
      <c r="A24" s="37"/>
      <c r="B24" s="26" t="s">
        <v>163</v>
      </c>
      <c r="C24" s="688" t="s">
        <v>177</v>
      </c>
      <c r="D24" s="689"/>
      <c r="E24" s="687"/>
      <c r="F24" s="362" t="s">
        <v>51</v>
      </c>
      <c r="G24" s="28">
        <f>入力シート_テトラクロロエチレン!R22</f>
        <v>0.4</v>
      </c>
      <c r="L24" s="70"/>
      <c r="M24" s="15"/>
      <c r="N24" s="15"/>
      <c r="O24" s="15"/>
      <c r="P24" s="15"/>
      <c r="Q24" s="15"/>
      <c r="R24" s="15"/>
      <c r="S24" s="15"/>
    </row>
    <row r="25" spans="1:19" ht="21" x14ac:dyDescent="0.2">
      <c r="A25" s="37"/>
      <c r="B25" s="26" t="s">
        <v>101</v>
      </c>
      <c r="C25" s="686" t="s">
        <v>46</v>
      </c>
      <c r="D25" s="689"/>
      <c r="E25" s="687"/>
      <c r="F25" s="362" t="s">
        <v>43</v>
      </c>
      <c r="G25" s="43">
        <f>入力シート_テトラクロロエチレン!R12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入力シート_テトラクロロエチレン!R13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入力シート_テトラクロロエチレン!R13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入力シート_テトラクロロエチレン!R11</f>
        <v>7.9</v>
      </c>
      <c r="L29" s="70"/>
      <c r="M29" s="15"/>
      <c r="N29" s="15"/>
      <c r="O29" s="15"/>
      <c r="P29" s="15"/>
      <c r="Q29" s="15"/>
      <c r="R29" s="15"/>
      <c r="S29" s="15"/>
    </row>
    <row r="30" spans="1:19" ht="14" x14ac:dyDescent="0.3">
      <c r="A30" s="37"/>
      <c r="B30" s="49" t="s">
        <v>107</v>
      </c>
      <c r="C30" s="692" t="s">
        <v>53</v>
      </c>
      <c r="D30" s="692"/>
      <c r="E30" s="692"/>
      <c r="F30" s="364" t="s">
        <v>108</v>
      </c>
      <c r="G30" s="51">
        <f>入力シート_テトラクロロエチレン!R9</f>
        <v>0.16</v>
      </c>
      <c r="L30" s="70"/>
      <c r="M30" s="15"/>
      <c r="N30" s="15"/>
      <c r="O30" s="15"/>
      <c r="P30" s="15"/>
      <c r="Q30" s="15"/>
      <c r="R30" s="15"/>
      <c r="S30" s="15"/>
    </row>
    <row r="31" spans="1:19" ht="18" x14ac:dyDescent="0.4">
      <c r="A31" s="37"/>
      <c r="B31" s="52" t="s">
        <v>109</v>
      </c>
      <c r="C31" s="692" t="s">
        <v>110</v>
      </c>
      <c r="D31" s="692"/>
      <c r="E31" s="692"/>
      <c r="F31" s="364" t="s">
        <v>111</v>
      </c>
      <c r="G31" s="51">
        <f>IF(A31="",入力シート_テトラクロロエチレン!R10,A31)</f>
        <v>160</v>
      </c>
      <c r="L31" s="70"/>
      <c r="M31" s="15"/>
      <c r="N31" s="15"/>
      <c r="O31" s="15"/>
      <c r="P31" s="15"/>
      <c r="Q31" s="15"/>
      <c r="R31" s="15"/>
      <c r="S31" s="15"/>
    </row>
    <row r="32" spans="1:19" ht="18.5" thickBot="1" x14ac:dyDescent="0.45">
      <c r="A32" s="37"/>
      <c r="B32" s="53" t="s">
        <v>112</v>
      </c>
      <c r="C32" s="695" t="s">
        <v>113</v>
      </c>
      <c r="D32" s="695"/>
      <c r="E32" s="695"/>
      <c r="F32" s="365" t="s">
        <v>114</v>
      </c>
      <c r="G32" s="55">
        <f>入力シート_テトラクロロエチレン!R25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入力シート_テトラクロロエチレン!R24</f>
        <v>1.62</v>
      </c>
      <c r="L34" s="15"/>
      <c r="M34" s="15"/>
      <c r="N34" s="15"/>
      <c r="O34" s="15"/>
      <c r="P34" s="15"/>
      <c r="Q34" s="15"/>
      <c r="R34" s="15"/>
      <c r="S34" s="15"/>
    </row>
    <row r="35" spans="1:19" ht="18" x14ac:dyDescent="0.2">
      <c r="B35" s="26" t="s">
        <v>118</v>
      </c>
      <c r="C35" s="686" t="s">
        <v>119</v>
      </c>
      <c r="D35" s="689"/>
      <c r="E35" s="687"/>
      <c r="F35" s="362" t="s">
        <v>120</v>
      </c>
      <c r="G35" s="43">
        <f>+入力シート_テトラクロロエチレン!J35*0.365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8.7740149437967749E-2</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1.8640000000000003</v>
      </c>
    </row>
    <row r="42" spans="1:19" ht="18.5" thickBot="1" x14ac:dyDescent="0.25">
      <c r="B42" s="61" t="s">
        <v>131</v>
      </c>
      <c r="R42" s="60"/>
    </row>
    <row r="43" spans="1:19" x14ac:dyDescent="0.2">
      <c r="B43" s="12"/>
      <c r="C43" s="697" t="s">
        <v>132</v>
      </c>
      <c r="D43" s="698"/>
      <c r="E43" s="698"/>
      <c r="F43" s="367"/>
      <c r="G43" s="125">
        <f>SQRT(1+4*$G38*G25/$G39)</f>
        <v>1.0541768710667556</v>
      </c>
      <c r="H43" s="122"/>
      <c r="I43" s="122"/>
      <c r="N43" s="60"/>
      <c r="R43" s="47"/>
    </row>
    <row r="44" spans="1:19" x14ac:dyDescent="0.2">
      <c r="B44" s="62" t="s">
        <v>133</v>
      </c>
      <c r="C44" s="687"/>
      <c r="D44" s="692"/>
      <c r="E44" s="692"/>
      <c r="F44" s="63"/>
      <c r="G44" s="126">
        <f>EXP(G14/(2*G25)*(1-G43))</f>
        <v>0.7627046940349419</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0.73685293014803466</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0.73685293014803466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テトラクロロエチレン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0.73685293014803466</v>
      </c>
      <c r="H63" s="139"/>
      <c r="I63" s="139"/>
      <c r="J63" s="79"/>
      <c r="K63" s="84"/>
      <c r="L63" s="691"/>
      <c r="M63" s="691"/>
      <c r="N63" s="691"/>
      <c r="O63" s="74"/>
      <c r="P63" s="85"/>
      <c r="Q63" s="47"/>
    </row>
    <row r="64" spans="1:17" ht="16.5" x14ac:dyDescent="0.2">
      <c r="B64" s="87"/>
      <c r="C64" s="693" t="s">
        <v>150</v>
      </c>
      <c r="D64" s="693"/>
      <c r="E64" s="693"/>
      <c r="F64" s="88">
        <f>+G64/G63*F63</f>
        <v>1.3571229197651406E-2</v>
      </c>
      <c r="G64" s="83">
        <f>+G7</f>
        <v>0.01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1.2999999999999999E-2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9.3131057905464443E-2</v>
      </c>
      <c r="H68" s="139"/>
      <c r="I68" s="139"/>
      <c r="J68" s="79"/>
    </row>
    <row r="69" spans="2:10" x14ac:dyDescent="0.2">
      <c r="B69" s="81"/>
      <c r="C69" s="686" t="s">
        <v>150</v>
      </c>
      <c r="D69" s="687"/>
      <c r="E69" s="364" t="s">
        <v>153</v>
      </c>
      <c r="F69" s="86">
        <f>+G69/G68*F68</f>
        <v>1.3571229197651406E-2</v>
      </c>
      <c r="G69" s="83">
        <f>+G64</f>
        <v>0.01</v>
      </c>
      <c r="H69" s="139"/>
      <c r="I69" s="139"/>
      <c r="J69" s="79"/>
    </row>
    <row r="70" spans="2:10" x14ac:dyDescent="0.2">
      <c r="B70" s="81"/>
      <c r="C70" s="683" t="s">
        <v>154</v>
      </c>
      <c r="D70" s="683"/>
      <c r="E70" s="93">
        <f>+F69/F68*E68</f>
        <v>0.10737556541181792</v>
      </c>
      <c r="F70" s="47"/>
      <c r="G70" s="47"/>
      <c r="H70" s="47"/>
      <c r="I70" s="47"/>
      <c r="J70" s="79"/>
    </row>
    <row r="71" spans="2:10" x14ac:dyDescent="0.2">
      <c r="B71" s="81"/>
      <c r="C71" s="683" t="s">
        <v>155</v>
      </c>
      <c r="D71" s="683"/>
      <c r="E71" s="83">
        <f>入力シート_テトラクロロエチレン!R15</f>
        <v>0.1</v>
      </c>
      <c r="F71" s="47"/>
      <c r="G71" s="47"/>
      <c r="H71" s="47"/>
      <c r="I71" s="47"/>
      <c r="J71" s="79"/>
    </row>
    <row r="72" spans="2:10" ht="13.5" thickBot="1" x14ac:dyDescent="0.25">
      <c r="B72" s="81"/>
      <c r="C72" s="47"/>
      <c r="D72" s="47"/>
      <c r="E72" s="74">
        <f>IF(E70&gt;10,ROUNDDOWN(E70,0),IF(E70&gt;1,ROUNDDOWN(E70,1),IF(E70&gt;0.1,ROUNDDOWN(E70,2),IF(E70&gt;0.01,ROUNDDOWN(E70,3),ROUNDDOWN(E70,4)))))</f>
        <v>0.1</v>
      </c>
      <c r="F72" s="47"/>
      <c r="G72" s="47"/>
      <c r="H72" s="47"/>
      <c r="I72" s="47"/>
      <c r="J72" s="79"/>
    </row>
    <row r="73" spans="2:10" ht="13.5" thickBot="1" x14ac:dyDescent="0.25">
      <c r="B73" s="81"/>
      <c r="C73" s="684" t="s">
        <v>156</v>
      </c>
      <c r="D73" s="685"/>
      <c r="E73" s="109">
        <f>IF(E70&gt;E71,E71,E70)</f>
        <v>0.1</v>
      </c>
      <c r="F73" s="95" t="s">
        <v>157</v>
      </c>
      <c r="G73" s="47"/>
      <c r="H73" s="47"/>
      <c r="I73" s="47"/>
      <c r="J73" s="79"/>
    </row>
    <row r="74" spans="2:10" x14ac:dyDescent="0.2">
      <c r="B74" s="81"/>
      <c r="C74" s="47"/>
      <c r="D74" s="47"/>
      <c r="E74" s="74">
        <f>IF(E73&gt;10,ROUNDDOWN(E73,0),IF(E73&gt;1,ROUNDDOWN(E73,1),IF(E73&gt;0.1,ROUNDDOWN(E73,2),IF(E73&gt;0.01,ROUNDDOWN(E73,3),ROUNDDOWN(E73,4)))))</f>
        <v>0.1</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0.73685293014803466</v>
      </c>
      <c r="H77" s="139"/>
      <c r="I77" s="139"/>
      <c r="J77" s="79"/>
    </row>
    <row r="78" spans="2:10" x14ac:dyDescent="0.2">
      <c r="B78" s="81"/>
      <c r="C78" s="686" t="s">
        <v>150</v>
      </c>
      <c r="D78" s="687"/>
      <c r="E78" s="364" t="s">
        <v>153</v>
      </c>
      <c r="F78" s="86">
        <f>+F64</f>
        <v>1.3571229197651406E-2</v>
      </c>
      <c r="G78" s="83">
        <f>+G69</f>
        <v>0.01</v>
      </c>
      <c r="H78" s="139"/>
      <c r="I78" s="139"/>
      <c r="J78" s="79"/>
    </row>
    <row r="79" spans="2:10" x14ac:dyDescent="0.2">
      <c r="B79" s="81"/>
      <c r="C79" s="683" t="s">
        <v>154</v>
      </c>
      <c r="D79" s="683"/>
      <c r="E79" s="93">
        <f>+F78/F77*E77</f>
        <v>1.3571229197651406E-2</v>
      </c>
      <c r="F79" s="47"/>
      <c r="G79" s="47"/>
      <c r="H79" s="47"/>
      <c r="I79" s="47"/>
      <c r="J79" s="79"/>
    </row>
    <row r="80" spans="2:10" x14ac:dyDescent="0.2">
      <c r="B80" s="81"/>
      <c r="C80" s="683" t="s">
        <v>155</v>
      </c>
      <c r="D80" s="683"/>
      <c r="E80" s="83">
        <f>+E71</f>
        <v>0.1</v>
      </c>
      <c r="F80" s="47"/>
      <c r="G80" s="47"/>
      <c r="H80" s="47"/>
      <c r="I80" s="47"/>
      <c r="J80" s="79"/>
    </row>
    <row r="81" spans="2:10" ht="13.5" thickBot="1" x14ac:dyDescent="0.25">
      <c r="B81" s="81"/>
      <c r="C81" s="47"/>
      <c r="D81" s="47"/>
      <c r="E81" s="74">
        <f>IF(E79&gt;10,ROUNDDOWN(E79,0),IF(E79&gt;1,ROUNDDOWN(E79,1),IF(E79&gt;0.1,ROUNDDOWN(E79,2),IF(E79&gt;0.01,ROUNDDOWN(E79,3),ROUNDDOWN(E79,4)))))</f>
        <v>1.2999999999999999E-2</v>
      </c>
      <c r="F81" s="47"/>
      <c r="G81" s="47"/>
      <c r="H81" s="47"/>
      <c r="I81" s="47"/>
      <c r="J81" s="79"/>
    </row>
    <row r="82" spans="2:10" ht="13.5" thickBot="1" x14ac:dyDescent="0.25">
      <c r="B82" s="81"/>
      <c r="C82" s="684" t="s">
        <v>156</v>
      </c>
      <c r="D82" s="685"/>
      <c r="E82" s="109">
        <f>IF(E79&gt;E80,E80,E79)</f>
        <v>1.3571229197651406E-2</v>
      </c>
      <c r="F82" s="95" t="s">
        <v>157</v>
      </c>
      <c r="G82" s="47"/>
      <c r="H82" s="47"/>
      <c r="I82" s="47"/>
      <c r="J82" s="79"/>
    </row>
    <row r="83" spans="2:10" x14ac:dyDescent="0.2">
      <c r="B83" s="81"/>
      <c r="C83" s="47"/>
      <c r="D83" s="47"/>
      <c r="E83" s="74">
        <f>IF(E82&gt;10,ROUNDDOWN(E82,0),IF(E82&gt;1,ROUNDDOWN(E82,1),IF(E82&gt;0.1,ROUNDDOWN(E82,2),IF(E82&gt;0.01,ROUNDDOWN(E82,3),ROUNDDOWN(E82,4)))))</f>
        <v>1.2999999999999999E-2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251" priority="5">
      <formula>$A41&gt;0</formula>
    </cfRule>
  </conditionalFormatting>
  <conditionalFormatting sqref="G30">
    <cfRule type="expression" dxfId="250" priority="4">
      <formula>$A$29&gt;0</formula>
    </cfRule>
  </conditionalFormatting>
  <conditionalFormatting sqref="G31">
    <cfRule type="expression" dxfId="249" priority="3">
      <formula>$A$30&gt;0</formula>
    </cfRule>
  </conditionalFormatting>
  <conditionalFormatting sqref="G32">
    <cfRule type="expression" dxfId="248" priority="2">
      <formula>$A$31&gt;0</formula>
    </cfRule>
  </conditionalFormatting>
  <conditionalFormatting sqref="G9">
    <cfRule type="expression" dxfId="247" priority="6">
      <formula>#REF!&gt;0</formula>
    </cfRule>
  </conditionalFormatting>
  <conditionalFormatting sqref="G11 G25:I27">
    <cfRule type="expression" dxfId="246" priority="7">
      <formula>#REF!&gt;0</formula>
    </cfRule>
  </conditionalFormatting>
  <conditionalFormatting sqref="G18">
    <cfRule type="expression" dxfId="245" priority="8">
      <formula>#REF!&gt;0</formula>
    </cfRule>
  </conditionalFormatting>
  <conditionalFormatting sqref="G22:G24">
    <cfRule type="expression" dxfId="244" priority="9">
      <formula>$A$25&gt;0</formula>
    </cfRule>
  </conditionalFormatting>
  <conditionalFormatting sqref="G23:G24">
    <cfRule type="expression" dxfId="243" priority="10">
      <formula>#REF!&gt;0</formula>
    </cfRule>
  </conditionalFormatting>
  <conditionalFormatting sqref="G21">
    <cfRule type="expression" dxfId="242" priority="11">
      <formula>$A$23&gt;0</formula>
    </cfRule>
  </conditionalFormatting>
  <conditionalFormatting sqref="G12">
    <cfRule type="expression" dxfId="241" priority="1">
      <formula>#REF!&gt;0</formula>
    </cfRule>
  </conditionalFormatting>
  <conditionalFormatting sqref="G34">
    <cfRule type="expression" dxfId="240" priority="12">
      <formula>#REF!&gt;0</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4.5999999999999999E-2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46</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0.03</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2E-3</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0.02</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335</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112</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+計算シート_1・3・ジクロロプロペン!G39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計算シート_1・3・ジクロロプロペン!G41</f>
        <v>1.2484</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1・3・ジクロロプロペン!$Y$14=1,"目標土壌溶出量濃度",IF(入力シート_1・3・ジクロロプロペン!$Y$14=2,"目標土壌溶出量濃度",IF(入力シート_1・3・ジクロロプロペン!$Y$14=3,"目標土壌溶出量濃度","PRB通過後の観測点における目標地下水濃度")))</f>
        <v>目標土壌溶出量濃度</v>
      </c>
      <c r="E41" s="527"/>
      <c r="F41" s="527"/>
      <c r="G41" s="528">
        <f>IF($X$14=1,IF(計算シート_1・3・ジクロロプロペン!E83&gt;10000,"&gt;10,000",+計算シート_1・3・ジクロロプロペン!E83),計算シート_1・3・ジクロロプロペン!E74)</f>
        <v>0.02</v>
      </c>
      <c r="H41" s="528"/>
      <c r="I41" s="244" t="s">
        <v>28</v>
      </c>
      <c r="J41" s="155"/>
      <c r="K41" s="529">
        <f>+計算シート_1・3・ジクロロプロペン!E83</f>
        <v>0.02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239" priority="3">
      <formula>LEN(TRIM(Y13))=0</formula>
    </cfRule>
  </conditionalFormatting>
  <conditionalFormatting sqref="D35:H35 J35:L35">
    <cfRule type="expression" dxfId="238" priority="2">
      <formula>$X$14=1</formula>
    </cfRule>
  </conditionalFormatting>
  <conditionalFormatting sqref="I35">
    <cfRule type="expression" dxfId="237"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8434"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8435"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BE101"/>
  <sheetViews>
    <sheetView showGridLines="0" showRowColHeaders="0" zoomScale="70" zoomScaleNormal="70" zoomScaleSheetLayoutView="40" workbookViewId="0">
      <selection activeCell="E8" sqref="E8:H8"/>
    </sheetView>
  </sheetViews>
  <sheetFormatPr defaultColWidth="9" defaultRowHeight="16.5" x14ac:dyDescent="0.2"/>
  <cols>
    <col min="1" max="2" width="1.6328125" customWidth="1"/>
    <col min="3" max="3" width="8.7265625"/>
    <col min="4" max="4" width="22.7265625" customWidth="1"/>
    <col min="5" max="5" width="7" customWidth="1"/>
    <col min="6" max="6" width="4.6328125" customWidth="1"/>
    <col min="7" max="7" width="3.6328125" customWidth="1"/>
    <col min="8" max="8" width="3" customWidth="1"/>
    <col min="9" max="9" width="3.7265625" customWidth="1"/>
    <col min="10" max="10" width="7.26953125" customWidth="1"/>
    <col min="11" max="11" width="7.90625" customWidth="1"/>
    <col min="12" max="12" width="2.90625" customWidth="1"/>
    <col min="13" max="13" width="4.6328125" customWidth="1"/>
    <col min="14" max="14" width="6" customWidth="1"/>
    <col min="15" max="15" width="14.08984375" customWidth="1"/>
    <col min="16" max="16" width="6" customWidth="1"/>
    <col min="17" max="17" width="5.453125" customWidth="1"/>
    <col min="18" max="18" width="6.36328125" customWidth="1"/>
    <col min="19" max="19" width="3.6328125" customWidth="1"/>
    <col min="20" max="20" width="7.08984375" customWidth="1"/>
    <col min="21" max="21" width="8.26953125" customWidth="1"/>
    <col min="22" max="22" width="4.26953125" customWidth="1"/>
    <col min="23" max="23" width="19.6328125" customWidth="1"/>
    <col min="24" max="27" width="6.6328125" customWidth="1"/>
    <col min="28" max="28" width="4.90625" customWidth="1"/>
    <col min="29" max="29" width="7.90625" customWidth="1"/>
    <col min="30" max="30" width="3.36328125" customWidth="1"/>
    <col min="31" max="31" width="2.6328125" customWidth="1"/>
    <col min="32" max="32" width="1.6328125" customWidth="1"/>
    <col min="33" max="33" width="6.26953125" hidden="1" customWidth="1"/>
    <col min="34" max="34" width="9" hidden="1" customWidth="1"/>
    <col min="35" max="35" width="6.6328125" style="149" hidden="1" customWidth="1"/>
    <col min="36" max="36" width="23.453125" style="149" hidden="1" customWidth="1"/>
    <col min="37" max="40" width="9" style="149" hidden="1" customWidth="1"/>
    <col min="41" max="41" width="9" style="149" customWidth="1"/>
    <col min="42" max="16384" width="9" style="149"/>
  </cols>
  <sheetData>
    <row r="1" spans="1:57" ht="1.5" customHeight="1" x14ac:dyDescent="0.2">
      <c r="A1" s="155"/>
      <c r="B1" s="155"/>
      <c r="C1" s="483"/>
      <c r="D1" s="484"/>
      <c r="E1" s="155"/>
      <c r="F1" s="155"/>
      <c r="G1" s="155"/>
      <c r="H1" s="155"/>
      <c r="I1" s="425"/>
      <c r="J1" s="155"/>
      <c r="K1" s="425"/>
      <c r="L1" s="425"/>
      <c r="M1" s="155"/>
      <c r="N1" s="155"/>
      <c r="O1" s="155"/>
      <c r="P1" s="155"/>
      <c r="Q1" s="155"/>
      <c r="R1" s="155"/>
      <c r="S1" s="155"/>
      <c r="T1" s="155"/>
      <c r="U1" s="425"/>
      <c r="V1" s="155"/>
      <c r="W1" s="155"/>
      <c r="X1" s="155"/>
      <c r="Y1" s="425"/>
      <c r="Z1" s="425"/>
      <c r="AA1" s="155"/>
      <c r="AB1" s="425"/>
      <c r="AC1" s="425"/>
      <c r="AD1" s="155"/>
      <c r="AE1" s="155"/>
      <c r="AF1" s="173"/>
      <c r="AL1"/>
      <c r="AM1"/>
      <c r="AN1"/>
      <c r="AO1"/>
      <c r="AP1"/>
      <c r="AQ1"/>
      <c r="AR1"/>
      <c r="AS1"/>
      <c r="AT1"/>
      <c r="AU1"/>
      <c r="AV1"/>
      <c r="AW1"/>
      <c r="AX1"/>
      <c r="AY1"/>
      <c r="AZ1"/>
      <c r="BA1"/>
      <c r="BB1"/>
      <c r="BC1"/>
      <c r="BD1"/>
    </row>
    <row r="2" spans="1:57" ht="1.5" customHeight="1" x14ac:dyDescent="0.2">
      <c r="A2" s="155"/>
      <c r="B2" s="155"/>
      <c r="C2" s="484"/>
      <c r="D2" s="484"/>
      <c r="E2" s="155"/>
      <c r="F2" s="155"/>
      <c r="G2" s="155"/>
      <c r="H2" s="155"/>
      <c r="I2" s="425"/>
      <c r="J2" s="155"/>
      <c r="K2" s="425"/>
      <c r="L2" s="425"/>
      <c r="M2" s="155"/>
      <c r="N2" s="155"/>
      <c r="O2" s="155"/>
      <c r="P2" s="155"/>
      <c r="Q2" s="155"/>
      <c r="R2" s="155"/>
      <c r="S2" s="155"/>
      <c r="T2" s="155"/>
      <c r="U2" s="425"/>
      <c r="V2" s="155"/>
      <c r="W2" s="155"/>
      <c r="X2" s="155"/>
      <c r="Y2" s="425"/>
      <c r="Z2" s="425"/>
      <c r="AA2" s="155"/>
      <c r="AB2" s="425"/>
      <c r="AC2" s="425"/>
      <c r="AD2" s="155"/>
      <c r="AE2" s="155"/>
      <c r="AF2" s="173"/>
      <c r="AL2"/>
      <c r="AM2"/>
      <c r="AN2"/>
      <c r="AO2"/>
      <c r="AP2"/>
      <c r="AQ2"/>
      <c r="AR2"/>
      <c r="AS2"/>
      <c r="AT2"/>
      <c r="AU2"/>
      <c r="AV2"/>
      <c r="AW2"/>
      <c r="AX2"/>
      <c r="AY2"/>
      <c r="AZ2"/>
      <c r="BA2"/>
      <c r="BB2"/>
      <c r="BC2"/>
      <c r="BD2"/>
    </row>
    <row r="3" spans="1:57" ht="16.5" customHeight="1" thickBot="1" x14ac:dyDescent="0.25">
      <c r="B3" s="155"/>
      <c r="C3" s="484"/>
      <c r="D3" s="484"/>
      <c r="E3" s="155"/>
      <c r="F3" s="155"/>
      <c r="G3" s="155"/>
      <c r="H3" s="155"/>
      <c r="I3" s="425"/>
      <c r="J3" s="155"/>
      <c r="K3" s="425"/>
      <c r="L3" s="425"/>
      <c r="M3" s="155"/>
      <c r="N3" s="155"/>
      <c r="O3" s="155"/>
      <c r="P3" s="155"/>
      <c r="Q3" s="155"/>
      <c r="R3" s="155"/>
      <c r="S3" s="155"/>
      <c r="T3" s="155"/>
      <c r="U3" s="425"/>
      <c r="V3" s="155"/>
      <c r="W3" s="155"/>
      <c r="X3" s="155"/>
      <c r="Y3" s="425"/>
      <c r="Z3" s="425"/>
      <c r="AA3" s="155"/>
      <c r="AB3" s="425"/>
      <c r="AC3" s="425"/>
      <c r="AD3" s="155"/>
      <c r="AE3" s="155"/>
      <c r="AF3" s="445" t="s">
        <v>388</v>
      </c>
      <c r="AL3"/>
      <c r="AM3"/>
      <c r="AN3"/>
      <c r="AO3"/>
      <c r="AP3"/>
      <c r="AQ3"/>
      <c r="AR3"/>
      <c r="AS3"/>
      <c r="AT3"/>
      <c r="AU3"/>
      <c r="AV3"/>
      <c r="AW3"/>
      <c r="AX3"/>
      <c r="AY3"/>
      <c r="AZ3"/>
      <c r="BA3"/>
      <c r="BB3"/>
      <c r="BC3"/>
      <c r="BD3"/>
    </row>
    <row r="4" spans="1:57" ht="21" x14ac:dyDescent="0.2">
      <c r="A4" s="178"/>
      <c r="B4" s="186"/>
      <c r="C4" s="187" t="s">
        <v>314</v>
      </c>
      <c r="D4" s="186"/>
      <c r="E4" s="186"/>
      <c r="F4" s="186"/>
      <c r="G4" s="186"/>
      <c r="H4" s="186"/>
      <c r="I4" s="186"/>
      <c r="J4" s="186"/>
      <c r="K4" s="186"/>
      <c r="L4" s="186"/>
      <c r="M4" s="186"/>
      <c r="N4" s="186"/>
      <c r="O4" s="186"/>
      <c r="P4" s="186"/>
      <c r="Q4" s="186"/>
      <c r="R4" s="186"/>
      <c r="S4" s="186"/>
      <c r="T4" s="186"/>
      <c r="U4" s="186"/>
      <c r="V4" s="157"/>
      <c r="W4" s="186"/>
      <c r="X4" s="186"/>
      <c r="Y4" s="186"/>
      <c r="Z4" s="186"/>
      <c r="AA4" s="186"/>
      <c r="AB4" s="186"/>
      <c r="AC4" s="186"/>
      <c r="AD4" s="186"/>
      <c r="AE4" s="186"/>
      <c r="AF4" s="446"/>
      <c r="AL4"/>
      <c r="AM4"/>
      <c r="AN4"/>
      <c r="AO4"/>
      <c r="AP4"/>
      <c r="AQ4"/>
      <c r="AR4"/>
      <c r="AS4"/>
      <c r="AT4"/>
      <c r="AU4"/>
      <c r="AV4"/>
      <c r="AW4"/>
      <c r="AX4"/>
      <c r="AY4"/>
      <c r="AZ4"/>
      <c r="BA4"/>
      <c r="BB4"/>
      <c r="BC4"/>
      <c r="BD4"/>
    </row>
    <row r="5" spans="1:57" ht="18" customHeight="1" x14ac:dyDescent="0.2">
      <c r="A5" s="179"/>
      <c r="B5" s="189"/>
      <c r="C5" s="189"/>
      <c r="D5" s="189"/>
      <c r="E5" s="189"/>
      <c r="F5" s="189"/>
      <c r="G5" s="189"/>
      <c r="H5" s="189"/>
      <c r="I5" s="189"/>
      <c r="J5" s="189"/>
      <c r="K5" s="189"/>
      <c r="L5" s="189"/>
      <c r="M5" s="189"/>
      <c r="N5" s="189"/>
      <c r="O5" s="189"/>
      <c r="P5" s="189"/>
      <c r="Q5" s="189"/>
      <c r="R5" s="189"/>
      <c r="S5" s="189"/>
      <c r="T5" s="189"/>
      <c r="U5" s="302" t="s">
        <v>287</v>
      </c>
      <c r="W5" s="189"/>
      <c r="X5" s="189"/>
      <c r="Y5" s="189"/>
      <c r="Z5" s="189"/>
      <c r="AA5" s="189"/>
      <c r="AB5" s="189"/>
      <c r="AC5" s="189"/>
      <c r="AD5" s="189"/>
      <c r="AE5" s="189"/>
      <c r="AF5" s="190"/>
      <c r="AL5"/>
      <c r="AM5"/>
      <c r="AN5"/>
      <c r="AO5"/>
      <c r="AP5"/>
      <c r="AQ5"/>
      <c r="AR5"/>
      <c r="AS5"/>
      <c r="AT5"/>
      <c r="AU5"/>
      <c r="AV5"/>
      <c r="AW5"/>
      <c r="AX5"/>
      <c r="AY5"/>
      <c r="AZ5"/>
      <c r="BA5"/>
      <c r="BB5"/>
      <c r="BC5"/>
      <c r="BD5"/>
    </row>
    <row r="6" spans="1:57" ht="6" customHeight="1" x14ac:dyDescent="0.2">
      <c r="A6" s="179"/>
      <c r="B6" s="189"/>
      <c r="C6" s="191"/>
      <c r="D6" s="192"/>
      <c r="E6" s="192"/>
      <c r="F6" s="192"/>
      <c r="G6" s="192"/>
      <c r="H6" s="192"/>
      <c r="I6" s="192"/>
      <c r="J6" s="192"/>
      <c r="K6" s="192"/>
      <c r="L6" s="192"/>
      <c r="M6" s="192"/>
      <c r="N6" s="192"/>
      <c r="O6" s="192"/>
      <c r="P6" s="192"/>
      <c r="Q6" s="192"/>
      <c r="R6" s="192"/>
      <c r="S6" s="193"/>
      <c r="T6" s="189"/>
      <c r="U6" s="194"/>
      <c r="V6" s="436"/>
      <c r="W6" s="192"/>
      <c r="X6" s="192"/>
      <c r="Y6" s="192"/>
      <c r="Z6" s="192"/>
      <c r="AA6" s="192"/>
      <c r="AB6" s="195"/>
      <c r="AF6" s="190"/>
      <c r="AL6"/>
      <c r="AM6"/>
      <c r="AN6"/>
      <c r="AO6"/>
      <c r="AP6"/>
      <c r="AQ6"/>
      <c r="AR6"/>
      <c r="AS6"/>
      <c r="AT6"/>
      <c r="AU6"/>
      <c r="AV6"/>
      <c r="AW6"/>
      <c r="AX6"/>
      <c r="AY6"/>
      <c r="AZ6"/>
      <c r="BA6"/>
      <c r="BB6"/>
      <c r="BC6"/>
      <c r="BD6"/>
      <c r="BE6" s="152"/>
    </row>
    <row r="7" spans="1:57" ht="18" customHeight="1" thickBot="1" x14ac:dyDescent="0.25">
      <c r="A7" s="179"/>
      <c r="B7" s="189"/>
      <c r="C7" s="196" t="s">
        <v>200</v>
      </c>
      <c r="D7" s="189"/>
      <c r="E7" s="189"/>
      <c r="F7" s="189"/>
      <c r="G7" s="189"/>
      <c r="H7" s="189"/>
      <c r="I7" s="189"/>
      <c r="J7" s="189"/>
      <c r="K7" s="189"/>
      <c r="L7" s="189"/>
      <c r="M7" s="189"/>
      <c r="N7" s="189"/>
      <c r="O7" s="189"/>
      <c r="P7" s="189"/>
      <c r="Q7" s="197"/>
      <c r="R7" s="197"/>
      <c r="S7" s="198"/>
      <c r="T7" s="189"/>
      <c r="U7" s="199" t="s">
        <v>365</v>
      </c>
      <c r="V7" s="616" t="s">
        <v>13</v>
      </c>
      <c r="W7" s="616"/>
      <c r="X7" s="218"/>
      <c r="Y7" s="218"/>
      <c r="Z7" s="218"/>
      <c r="AA7" s="202"/>
      <c r="AB7" s="203"/>
      <c r="AF7" s="190"/>
      <c r="AL7"/>
      <c r="AM7"/>
      <c r="AN7"/>
      <c r="AO7"/>
      <c r="AP7"/>
      <c r="AQ7"/>
      <c r="AR7"/>
      <c r="AS7"/>
      <c r="AT7"/>
      <c r="AU7"/>
      <c r="AV7"/>
      <c r="AW7"/>
      <c r="AX7"/>
      <c r="AY7"/>
      <c r="AZ7"/>
      <c r="BA7"/>
      <c r="BB7"/>
      <c r="BC7"/>
      <c r="BD7"/>
      <c r="BE7" s="152"/>
    </row>
    <row r="8" spans="1:57" ht="18" customHeight="1" thickBot="1" x14ac:dyDescent="0.25">
      <c r="A8" s="179"/>
      <c r="B8" s="189"/>
      <c r="C8" s="204" t="s">
        <v>363</v>
      </c>
      <c r="D8" s="205"/>
      <c r="E8" s="485" t="s">
        <v>373</v>
      </c>
      <c r="F8" s="486"/>
      <c r="G8" s="486"/>
      <c r="H8" s="487"/>
      <c r="I8" s="197"/>
      <c r="J8" s="197"/>
      <c r="K8" s="197"/>
      <c r="L8" s="197"/>
      <c r="M8" s="197"/>
      <c r="N8" s="197"/>
      <c r="O8" s="197"/>
      <c r="P8" s="197"/>
      <c r="Q8" s="197"/>
      <c r="R8" s="197"/>
      <c r="S8" s="198"/>
      <c r="T8" s="189"/>
      <c r="U8" s="199"/>
      <c r="V8" s="632" t="s">
        <v>14</v>
      </c>
      <c r="W8" s="633"/>
      <c r="X8" s="219" t="s">
        <v>7</v>
      </c>
      <c r="Y8" s="632" t="s">
        <v>15</v>
      </c>
      <c r="Z8" s="633"/>
      <c r="AA8" s="219" t="s">
        <v>5</v>
      </c>
      <c r="AB8" s="203"/>
      <c r="AF8" s="190"/>
      <c r="AL8"/>
      <c r="AM8"/>
      <c r="AN8"/>
      <c r="AO8"/>
      <c r="AP8"/>
      <c r="AQ8"/>
      <c r="AR8"/>
      <c r="AS8"/>
      <c r="AT8"/>
      <c r="AU8"/>
      <c r="AV8"/>
      <c r="AW8"/>
      <c r="AX8"/>
      <c r="AY8"/>
      <c r="AZ8"/>
      <c r="BA8"/>
      <c r="BB8"/>
      <c r="BC8"/>
      <c r="BD8"/>
    </row>
    <row r="9" spans="1:57" ht="18" customHeight="1" thickBot="1" x14ac:dyDescent="0.25">
      <c r="A9" s="179"/>
      <c r="B9" s="189"/>
      <c r="C9" s="204" t="s">
        <v>387</v>
      </c>
      <c r="D9" s="205"/>
      <c r="E9" s="593">
        <v>43586</v>
      </c>
      <c r="F9" s="594"/>
      <c r="G9" s="594"/>
      <c r="H9" s="595"/>
      <c r="I9" s="197"/>
      <c r="J9" s="197"/>
      <c r="K9" s="197"/>
      <c r="L9" s="197"/>
      <c r="M9" s="197"/>
      <c r="N9" s="197"/>
      <c r="O9" s="197"/>
      <c r="P9" s="197"/>
      <c r="Q9" s="197"/>
      <c r="R9" s="197"/>
      <c r="S9" s="198"/>
      <c r="T9" s="189"/>
      <c r="U9" s="199"/>
      <c r="V9" s="620" t="s">
        <v>2</v>
      </c>
      <c r="W9" s="621"/>
      <c r="X9" s="219" t="s">
        <v>8</v>
      </c>
      <c r="Y9" s="630">
        <f>VLOOKUP($AG$37,'パラメーター 一覧表'!$A$7:$F$11,3)</f>
        <v>3.0000000000000001E-5</v>
      </c>
      <c r="Z9" s="631"/>
      <c r="AA9" s="221" t="s">
        <v>6</v>
      </c>
      <c r="AB9" s="203"/>
      <c r="AF9" s="190"/>
      <c r="AL9"/>
      <c r="AM9"/>
      <c r="AN9"/>
      <c r="AO9"/>
      <c r="AP9"/>
      <c r="AQ9"/>
      <c r="AR9"/>
      <c r="AS9"/>
      <c r="AT9"/>
      <c r="AU9"/>
      <c r="AV9"/>
      <c r="AW9"/>
      <c r="AX9"/>
      <c r="AY9"/>
      <c r="AZ9"/>
      <c r="BA9"/>
      <c r="BB9"/>
      <c r="BC9"/>
      <c r="BD9"/>
    </row>
    <row r="10" spans="1:57" ht="18" customHeight="1" thickBot="1" x14ac:dyDescent="0.25">
      <c r="A10" s="179"/>
      <c r="B10" s="189"/>
      <c r="C10" s="204" t="s">
        <v>364</v>
      </c>
      <c r="D10" s="205"/>
      <c r="E10" s="593">
        <v>43595</v>
      </c>
      <c r="F10" s="594"/>
      <c r="G10" s="594"/>
      <c r="H10" s="595"/>
      <c r="I10" s="197"/>
      <c r="J10" s="197"/>
      <c r="K10" s="197"/>
      <c r="L10" s="197"/>
      <c r="M10" s="197"/>
      <c r="N10" s="197"/>
      <c r="O10" s="197"/>
      <c r="P10" s="197"/>
      <c r="Q10" s="197"/>
      <c r="R10" s="197"/>
      <c r="S10" s="198"/>
      <c r="T10" s="189"/>
      <c r="U10" s="199"/>
      <c r="V10" s="620" t="s">
        <v>3</v>
      </c>
      <c r="W10" s="621"/>
      <c r="X10" s="219" t="s">
        <v>9</v>
      </c>
      <c r="Y10" s="636">
        <f>VLOOKUP($AG$37,'パラメーター 一覧表'!$A$7:$F$11,4)</f>
        <v>0.3</v>
      </c>
      <c r="Z10" s="637"/>
      <c r="AA10" s="221" t="s">
        <v>284</v>
      </c>
      <c r="AB10" s="203"/>
      <c r="AF10" s="190"/>
      <c r="AH10" s="182" t="s">
        <v>270</v>
      </c>
      <c r="AI10" s="154">
        <f>VLOOKUP($AI$37,'パラメーター 一覧表'!$A$20:$F$49,3)</f>
        <v>5</v>
      </c>
      <c r="AJ10" s="154" t="s">
        <v>17</v>
      </c>
      <c r="AL10"/>
      <c r="AM10"/>
      <c r="AN10"/>
      <c r="AO10"/>
      <c r="AP10"/>
      <c r="AQ10"/>
      <c r="AR10"/>
      <c r="AS10"/>
      <c r="AT10"/>
      <c r="AU10"/>
      <c r="AV10"/>
      <c r="AW10"/>
      <c r="AX10"/>
      <c r="AY10"/>
      <c r="AZ10"/>
      <c r="BA10"/>
      <c r="BB10"/>
      <c r="BC10"/>
      <c r="BD10"/>
    </row>
    <row r="11" spans="1:57" ht="18" customHeight="1" thickBot="1" x14ac:dyDescent="0.25">
      <c r="A11" s="179"/>
      <c r="B11" s="189"/>
      <c r="C11" s="204" t="s">
        <v>276</v>
      </c>
      <c r="D11" s="205"/>
      <c r="E11" s="485" t="s">
        <v>382</v>
      </c>
      <c r="F11" s="486"/>
      <c r="G11" s="486"/>
      <c r="H11" s="486"/>
      <c r="I11" s="486"/>
      <c r="J11" s="486"/>
      <c r="K11" s="486"/>
      <c r="L11" s="486"/>
      <c r="M11" s="486"/>
      <c r="N11" s="486"/>
      <c r="O11" s="486"/>
      <c r="P11" s="487"/>
      <c r="Q11" s="209"/>
      <c r="R11" s="209"/>
      <c r="S11" s="198"/>
      <c r="T11" s="189"/>
      <c r="U11" s="199"/>
      <c r="V11" s="620" t="s">
        <v>160</v>
      </c>
      <c r="W11" s="621"/>
      <c r="X11" s="219" t="s">
        <v>163</v>
      </c>
      <c r="Y11" s="636">
        <f>VLOOKUP($AG$37,'パラメーター 一覧表'!$A$7:$G$11,5)</f>
        <v>0.4</v>
      </c>
      <c r="Z11" s="637"/>
      <c r="AA11" s="221" t="s">
        <v>284</v>
      </c>
      <c r="AB11" s="203"/>
      <c r="AF11" s="190"/>
      <c r="AH11" s="182" t="s">
        <v>271</v>
      </c>
      <c r="AI11" s="154">
        <f>+AI10</f>
        <v>5</v>
      </c>
      <c r="AJ11" s="154" t="s">
        <v>17</v>
      </c>
      <c r="AL11"/>
      <c r="AM11"/>
      <c r="AN11"/>
      <c r="AO11"/>
      <c r="AP11"/>
      <c r="AQ11"/>
      <c r="AR11"/>
      <c r="AS11"/>
      <c r="AT11"/>
      <c r="AU11"/>
      <c r="AV11"/>
      <c r="AW11"/>
      <c r="AX11"/>
      <c r="AY11"/>
      <c r="AZ11"/>
      <c r="BA11"/>
      <c r="BB11"/>
      <c r="BC11"/>
      <c r="BD11"/>
    </row>
    <row r="12" spans="1:57" ht="18" customHeight="1" thickBot="1" x14ac:dyDescent="0.25">
      <c r="A12" s="179"/>
      <c r="B12" s="189"/>
      <c r="C12" s="440" t="s">
        <v>378</v>
      </c>
      <c r="D12" s="205"/>
      <c r="E12" s="485" t="s">
        <v>381</v>
      </c>
      <c r="F12" s="486"/>
      <c r="G12" s="486"/>
      <c r="H12" s="486"/>
      <c r="I12" s="486"/>
      <c r="J12" s="486"/>
      <c r="K12" s="486"/>
      <c r="L12" s="486"/>
      <c r="M12" s="486"/>
      <c r="N12" s="486"/>
      <c r="O12" s="486"/>
      <c r="P12" s="487"/>
      <c r="Q12" s="205"/>
      <c r="R12" s="205"/>
      <c r="S12" s="198"/>
      <c r="T12" s="189"/>
      <c r="U12" s="199"/>
      <c r="V12" s="620" t="s">
        <v>4</v>
      </c>
      <c r="W12" s="621"/>
      <c r="X12" s="219" t="s">
        <v>10</v>
      </c>
      <c r="Y12" s="636">
        <f>VLOOKUP($AG$37,'パラメーター 一覧表'!$A$7:$F$11,6)</f>
        <v>2.7</v>
      </c>
      <c r="Z12" s="637"/>
      <c r="AA12" s="221" t="s">
        <v>285</v>
      </c>
      <c r="AB12" s="203"/>
      <c r="AF12" s="190"/>
      <c r="AH12" s="182" t="s">
        <v>75</v>
      </c>
      <c r="AI12" s="154">
        <v>10</v>
      </c>
      <c r="AJ12" s="154" t="s">
        <v>217</v>
      </c>
      <c r="AL12"/>
      <c r="AM12"/>
      <c r="AN12"/>
      <c r="AO12"/>
      <c r="AP12"/>
      <c r="AQ12"/>
      <c r="AR12"/>
      <c r="AS12"/>
      <c r="AT12"/>
      <c r="AU12"/>
      <c r="AV12"/>
      <c r="AW12"/>
      <c r="AX12"/>
      <c r="AY12"/>
      <c r="AZ12"/>
      <c r="BA12"/>
      <c r="BB12"/>
      <c r="BC12"/>
      <c r="BD12"/>
    </row>
    <row r="13" spans="1:57" ht="18" customHeight="1" x14ac:dyDescent="0.2">
      <c r="A13" s="179"/>
      <c r="B13" s="189"/>
      <c r="C13" s="210"/>
      <c r="D13" s="211"/>
      <c r="E13" s="211"/>
      <c r="F13" s="211"/>
      <c r="G13" s="211"/>
      <c r="H13" s="211"/>
      <c r="I13" s="211"/>
      <c r="J13" s="211"/>
      <c r="K13" s="211"/>
      <c r="L13" s="211"/>
      <c r="M13" s="211"/>
      <c r="N13" s="211"/>
      <c r="O13" s="211"/>
      <c r="P13" s="211"/>
      <c r="Q13" s="211"/>
      <c r="R13" s="211"/>
      <c r="S13" s="212"/>
      <c r="T13" s="189"/>
      <c r="U13" s="199"/>
      <c r="V13" s="620" t="s">
        <v>11</v>
      </c>
      <c r="W13" s="621"/>
      <c r="X13" s="219" t="s">
        <v>12</v>
      </c>
      <c r="Y13" s="638">
        <f>VLOOKUP($AG$37,'パラメーター 一覧表'!$A$7:$G$11,7)</f>
        <v>1.62</v>
      </c>
      <c r="Z13" s="639"/>
      <c r="AA13" s="221" t="s">
        <v>286</v>
      </c>
      <c r="AB13" s="203"/>
      <c r="AF13" s="190"/>
      <c r="AH13" s="272" t="s">
        <v>218</v>
      </c>
      <c r="AI13" s="154">
        <v>1</v>
      </c>
      <c r="AJ13" s="271" t="s">
        <v>269</v>
      </c>
      <c r="AL13"/>
      <c r="AM13"/>
      <c r="AN13"/>
      <c r="AO13"/>
      <c r="AP13"/>
      <c r="AQ13"/>
      <c r="AR13"/>
      <c r="AS13"/>
      <c r="AT13"/>
      <c r="AU13"/>
      <c r="AV13"/>
      <c r="AW13"/>
      <c r="AX13"/>
      <c r="AY13"/>
      <c r="AZ13"/>
      <c r="BA13"/>
      <c r="BB13"/>
      <c r="BC13"/>
      <c r="BD13"/>
    </row>
    <row r="14" spans="1:57" ht="18" customHeight="1" x14ac:dyDescent="0.2">
      <c r="A14" s="179"/>
      <c r="B14" s="189"/>
      <c r="C14" s="189"/>
      <c r="D14" s="189"/>
      <c r="E14" s="189"/>
      <c r="F14" s="189"/>
      <c r="G14" s="189"/>
      <c r="H14" s="189"/>
      <c r="I14" s="189"/>
      <c r="J14" s="189"/>
      <c r="K14" s="189"/>
      <c r="L14" s="189"/>
      <c r="M14" s="189"/>
      <c r="N14" s="189"/>
      <c r="O14" s="189"/>
      <c r="P14" s="189"/>
      <c r="Q14" s="189"/>
      <c r="R14" s="189"/>
      <c r="S14" s="189"/>
      <c r="T14" s="189"/>
      <c r="U14" s="199"/>
      <c r="V14" s="620" t="s">
        <v>37</v>
      </c>
      <c r="W14" s="621"/>
      <c r="X14" s="461" t="s">
        <v>35</v>
      </c>
      <c r="Y14" s="636">
        <f>VLOOKUP($AG$37,'パラメーター 一覧表'!$A$7:$H$11,8)</f>
        <v>1E-3</v>
      </c>
      <c r="Z14" s="637"/>
      <c r="AA14" s="220" t="s">
        <v>36</v>
      </c>
      <c r="AB14" s="203"/>
      <c r="AF14" s="190"/>
      <c r="AH14" s="4" t="s">
        <v>219</v>
      </c>
      <c r="AI14" s="183">
        <f>IF(AJ14=1,2,1)</f>
        <v>1</v>
      </c>
      <c r="AJ14" s="184">
        <v>2</v>
      </c>
      <c r="AL14"/>
      <c r="AM14"/>
      <c r="AN14"/>
      <c r="AO14"/>
      <c r="AP14"/>
      <c r="AQ14"/>
      <c r="AR14"/>
      <c r="AS14"/>
      <c r="AT14"/>
      <c r="AU14"/>
      <c r="AV14"/>
      <c r="AW14"/>
      <c r="AX14"/>
      <c r="AY14"/>
      <c r="AZ14"/>
      <c r="BA14"/>
      <c r="BB14"/>
      <c r="BC14"/>
      <c r="BD14"/>
    </row>
    <row r="15" spans="1:57" ht="18" customHeight="1" x14ac:dyDescent="0.2">
      <c r="A15" s="179"/>
      <c r="B15" s="189"/>
      <c r="C15" s="191" t="s">
        <v>68</v>
      </c>
      <c r="D15" s="213"/>
      <c r="E15" s="213"/>
      <c r="F15" s="213"/>
      <c r="G15" s="288"/>
      <c r="H15" s="288"/>
      <c r="I15" s="288"/>
      <c r="J15" s="213"/>
      <c r="K15" s="213"/>
      <c r="L15" s="213"/>
      <c r="M15" s="213"/>
      <c r="N15" s="213"/>
      <c r="O15" s="213"/>
      <c r="P15" s="213"/>
      <c r="Q15" s="213"/>
      <c r="R15" s="213"/>
      <c r="S15" s="195"/>
      <c r="T15" s="189"/>
      <c r="U15" s="322"/>
      <c r="W15" s="155"/>
      <c r="X15" s="155"/>
      <c r="Y15" s="425"/>
      <c r="Z15" s="425"/>
      <c r="AA15" s="155"/>
      <c r="AB15" s="203"/>
      <c r="AF15" s="190"/>
      <c r="AI15" s="149">
        <v>1</v>
      </c>
      <c r="AJ15" s="149" t="s">
        <v>435</v>
      </c>
      <c r="AL15"/>
      <c r="AM15"/>
      <c r="AN15"/>
      <c r="AO15"/>
      <c r="AP15"/>
      <c r="AQ15"/>
      <c r="AR15"/>
      <c r="AS15"/>
      <c r="AT15"/>
      <c r="AU15"/>
      <c r="AV15"/>
      <c r="AW15"/>
      <c r="AX15"/>
      <c r="AY15"/>
      <c r="AZ15"/>
      <c r="BA15"/>
      <c r="BB15"/>
      <c r="BC15"/>
      <c r="BD15"/>
    </row>
    <row r="16" spans="1:57" ht="27.75" hidden="1" customHeight="1" x14ac:dyDescent="0.2">
      <c r="A16" s="179"/>
      <c r="B16" s="189"/>
      <c r="C16" s="214"/>
      <c r="D16" s="488" t="s">
        <v>283</v>
      </c>
      <c r="E16" s="489"/>
      <c r="F16" s="310"/>
      <c r="G16" s="311"/>
      <c r="H16" s="311"/>
      <c r="I16" s="311"/>
      <c r="J16" s="312"/>
      <c r="K16" s="312"/>
      <c r="L16" s="312"/>
      <c r="M16" s="312"/>
      <c r="N16" s="312"/>
      <c r="O16" s="312"/>
      <c r="P16" s="312"/>
      <c r="Q16" s="312"/>
      <c r="R16" s="312"/>
      <c r="S16" s="428"/>
      <c r="T16" s="189"/>
      <c r="U16" s="322"/>
      <c r="W16" s="155"/>
      <c r="X16" s="155"/>
      <c r="Y16" s="425"/>
      <c r="Z16" s="425"/>
      <c r="AA16" s="155"/>
      <c r="AB16" s="203"/>
      <c r="AF16" s="190"/>
      <c r="AI16" s="149">
        <v>2</v>
      </c>
      <c r="AJ16" s="323" t="s">
        <v>433</v>
      </c>
      <c r="AL16"/>
      <c r="AM16"/>
      <c r="AN16"/>
      <c r="AO16"/>
      <c r="AP16"/>
      <c r="AQ16"/>
      <c r="AR16"/>
      <c r="AS16"/>
      <c r="AT16"/>
      <c r="AU16"/>
      <c r="AV16"/>
      <c r="AW16"/>
      <c r="AX16"/>
      <c r="AY16"/>
      <c r="AZ16"/>
      <c r="BA16"/>
      <c r="BB16"/>
      <c r="BC16"/>
      <c r="BD16"/>
    </row>
    <row r="17" spans="1:56" ht="27.75" hidden="1" customHeight="1" x14ac:dyDescent="0.2">
      <c r="A17" s="179"/>
      <c r="B17" s="189"/>
      <c r="C17" s="308"/>
      <c r="D17" s="490"/>
      <c r="E17" s="491"/>
      <c r="F17" s="314"/>
      <c r="G17" s="309"/>
      <c r="H17" s="309"/>
      <c r="I17" s="309"/>
      <c r="J17" s="189"/>
      <c r="K17" s="189"/>
      <c r="L17" s="189"/>
      <c r="M17" s="189"/>
      <c r="N17" s="189"/>
      <c r="O17" s="189"/>
      <c r="P17" s="189"/>
      <c r="Q17" s="189"/>
      <c r="R17" s="189"/>
      <c r="S17" s="428"/>
      <c r="T17" s="189"/>
      <c r="AF17" s="190"/>
      <c r="AI17" s="149">
        <v>3</v>
      </c>
      <c r="AJ17" s="323" t="s">
        <v>436</v>
      </c>
      <c r="AL17"/>
      <c r="AM17"/>
      <c r="AN17"/>
      <c r="AO17"/>
      <c r="AP17"/>
      <c r="AQ17"/>
      <c r="AR17"/>
      <c r="AS17"/>
      <c r="AT17"/>
      <c r="AU17"/>
      <c r="AV17"/>
      <c r="AW17"/>
      <c r="AX17"/>
      <c r="AY17"/>
      <c r="AZ17"/>
      <c r="BA17"/>
      <c r="BB17"/>
      <c r="BC17"/>
      <c r="BD17"/>
    </row>
    <row r="18" spans="1:56" ht="27.75" hidden="1" customHeight="1" x14ac:dyDescent="0.2">
      <c r="A18" s="179"/>
      <c r="B18" s="189"/>
      <c r="C18" s="308"/>
      <c r="D18" s="492"/>
      <c r="E18" s="493"/>
      <c r="F18" s="314"/>
      <c r="G18" s="309"/>
      <c r="H18" s="309"/>
      <c r="I18" s="309"/>
      <c r="J18" s="189"/>
      <c r="K18" s="318"/>
      <c r="L18" s="318"/>
      <c r="M18" s="318"/>
      <c r="N18" s="318"/>
      <c r="O18" s="318"/>
      <c r="P18" s="318"/>
      <c r="Q18" s="318"/>
      <c r="R18" s="318"/>
      <c r="S18" s="428"/>
      <c r="T18" s="189"/>
      <c r="AF18" s="190"/>
      <c r="AL18"/>
      <c r="AM18"/>
      <c r="AN18"/>
      <c r="AO18"/>
      <c r="AP18"/>
      <c r="AQ18"/>
      <c r="AR18"/>
      <c r="AS18"/>
      <c r="AT18"/>
      <c r="AU18"/>
      <c r="AV18"/>
      <c r="AW18"/>
      <c r="AX18"/>
      <c r="AY18"/>
      <c r="AZ18"/>
      <c r="BA18"/>
      <c r="BB18"/>
      <c r="BC18"/>
      <c r="BD18"/>
    </row>
    <row r="19" spans="1:56" ht="18" customHeight="1" thickBot="1" x14ac:dyDescent="0.25">
      <c r="A19" s="179"/>
      <c r="B19" s="189"/>
      <c r="C19" s="308"/>
      <c r="D19" s="189"/>
      <c r="E19" s="189"/>
      <c r="F19" s="494"/>
      <c r="G19" s="494"/>
      <c r="H19" s="494"/>
      <c r="I19" s="494"/>
      <c r="J19" s="494"/>
      <c r="K19" s="422"/>
      <c r="L19" s="422"/>
      <c r="M19" s="189"/>
      <c r="N19" s="189"/>
      <c r="O19" s="189"/>
      <c r="P19" s="189"/>
      <c r="Q19" s="189"/>
      <c r="R19" s="189"/>
      <c r="S19" s="203"/>
      <c r="T19" s="189"/>
      <c r="U19" s="199" t="s">
        <v>366</v>
      </c>
      <c r="V19" s="626" t="s">
        <v>191</v>
      </c>
      <c r="W19" s="626"/>
      <c r="X19" s="227"/>
      <c r="Y19" s="227"/>
      <c r="Z19" s="227"/>
      <c r="AA19" s="202"/>
      <c r="AB19" s="203"/>
      <c r="AF19" s="190"/>
      <c r="AL19"/>
      <c r="AM19"/>
      <c r="AN19"/>
      <c r="AO19"/>
      <c r="AP19"/>
      <c r="AQ19"/>
      <c r="AR19"/>
      <c r="AS19"/>
      <c r="AT19"/>
      <c r="AU19"/>
      <c r="AV19"/>
      <c r="AW19"/>
      <c r="AX19"/>
      <c r="AY19"/>
      <c r="AZ19"/>
      <c r="BA19"/>
      <c r="BB19"/>
      <c r="BC19"/>
      <c r="BD19"/>
    </row>
    <row r="20" spans="1:56" ht="18" customHeight="1" thickBot="1" x14ac:dyDescent="0.25">
      <c r="A20" s="179"/>
      <c r="B20" s="189"/>
      <c r="C20" s="214" t="s">
        <v>442</v>
      </c>
      <c r="D20" s="495" t="s">
        <v>18</v>
      </c>
      <c r="E20" s="496"/>
      <c r="F20" s="568" t="s">
        <v>351</v>
      </c>
      <c r="G20" s="569"/>
      <c r="H20" s="569"/>
      <c r="I20" s="569"/>
      <c r="J20" s="570"/>
      <c r="K20" s="481"/>
      <c r="L20" s="481"/>
      <c r="M20" s="181"/>
      <c r="N20" s="215"/>
      <c r="O20" s="215"/>
      <c r="P20" s="205"/>
      <c r="Q20" s="205"/>
      <c r="R20" s="205"/>
      <c r="S20" s="198"/>
      <c r="T20" s="189"/>
      <c r="U20" s="199"/>
      <c r="V20" s="624" t="s">
        <v>14</v>
      </c>
      <c r="W20" s="625"/>
      <c r="X20" s="228" t="s">
        <v>7</v>
      </c>
      <c r="Y20" s="624" t="s">
        <v>15</v>
      </c>
      <c r="Z20" s="625"/>
      <c r="AA20" s="228" t="s">
        <v>5</v>
      </c>
      <c r="AB20" s="203"/>
      <c r="AF20" s="190"/>
      <c r="AL20"/>
      <c r="AM20"/>
      <c r="AN20"/>
      <c r="AO20"/>
      <c r="AP20"/>
      <c r="AQ20"/>
      <c r="AR20"/>
      <c r="AS20"/>
      <c r="AT20"/>
      <c r="AU20"/>
      <c r="AV20"/>
      <c r="AW20"/>
      <c r="AX20"/>
      <c r="AY20"/>
      <c r="AZ20"/>
      <c r="BA20"/>
      <c r="BB20"/>
      <c r="BC20"/>
      <c r="BD20"/>
    </row>
    <row r="21" spans="1:56" ht="18" customHeight="1" x14ac:dyDescent="0.2">
      <c r="A21" s="179"/>
      <c r="B21" s="189"/>
      <c r="C21" s="214"/>
      <c r="D21" s="380"/>
      <c r="E21" s="380"/>
      <c r="F21" s="481"/>
      <c r="G21" s="481"/>
      <c r="H21" s="481"/>
      <c r="I21" s="481"/>
      <c r="J21" s="481"/>
      <c r="K21" s="481"/>
      <c r="L21" s="481"/>
      <c r="M21" s="482"/>
      <c r="N21" s="215"/>
      <c r="O21" s="215"/>
      <c r="P21" s="205"/>
      <c r="Q21" s="205"/>
      <c r="R21" s="205"/>
      <c r="S21" s="198"/>
      <c r="T21" s="189"/>
      <c r="U21" s="199"/>
      <c r="V21" s="622" t="s">
        <v>192</v>
      </c>
      <c r="W21" s="623"/>
      <c r="X21" s="462" t="s">
        <v>193</v>
      </c>
      <c r="Y21" s="634">
        <f>+計算シート_クロロエチレン!G39</f>
        <v>15.768000000000002</v>
      </c>
      <c r="Z21" s="635"/>
      <c r="AA21" s="230" t="s">
        <v>194</v>
      </c>
      <c r="AB21" s="203"/>
      <c r="AF21" s="190"/>
      <c r="AL21"/>
      <c r="AM21"/>
      <c r="AN21"/>
      <c r="AO21"/>
      <c r="AP21"/>
      <c r="AQ21"/>
      <c r="AR21"/>
      <c r="AS21"/>
      <c r="AT21"/>
      <c r="AU21"/>
      <c r="AV21"/>
      <c r="AW21"/>
      <c r="AX21"/>
      <c r="AY21"/>
      <c r="AZ21"/>
      <c r="BA21"/>
      <c r="BB21"/>
      <c r="BC21"/>
      <c r="BD21"/>
    </row>
    <row r="22" spans="1:56" ht="18" customHeight="1" x14ac:dyDescent="0.2">
      <c r="A22" s="179"/>
      <c r="B22" s="189"/>
      <c r="C22" s="214"/>
      <c r="D22" s="579" t="s">
        <v>355</v>
      </c>
      <c r="E22" s="580"/>
      <c r="F22" s="581"/>
      <c r="G22" s="481"/>
      <c r="H22" s="579" t="s">
        <v>356</v>
      </c>
      <c r="I22" s="580"/>
      <c r="J22" s="580"/>
      <c r="K22" s="580"/>
      <c r="L22" s="580"/>
      <c r="M22" s="581"/>
      <c r="N22" s="215"/>
      <c r="O22" s="579" t="s">
        <v>357</v>
      </c>
      <c r="P22" s="580"/>
      <c r="Q22" s="581"/>
      <c r="R22" s="387"/>
      <c r="S22" s="198"/>
      <c r="T22" s="189"/>
      <c r="U22" s="233"/>
      <c r="V22" s="437"/>
      <c r="W22" s="234"/>
      <c r="X22" s="234"/>
      <c r="Y22" s="234"/>
      <c r="Z22" s="234"/>
      <c r="AA22" s="234"/>
      <c r="AB22" s="212"/>
      <c r="AF22" s="190"/>
      <c r="AL22" t="s">
        <v>371</v>
      </c>
      <c r="AM22"/>
      <c r="AN22"/>
      <c r="AO22"/>
      <c r="AP22"/>
      <c r="AQ22"/>
      <c r="AR22"/>
      <c r="AS22"/>
      <c r="AT22"/>
      <c r="AU22"/>
      <c r="AV22"/>
      <c r="AW22"/>
      <c r="AX22"/>
      <c r="AY22"/>
      <c r="AZ22"/>
      <c r="BA22"/>
      <c r="BB22"/>
      <c r="BC22"/>
      <c r="BD22"/>
    </row>
    <row r="23" spans="1:56" ht="18" customHeight="1" x14ac:dyDescent="0.2">
      <c r="A23" s="179"/>
      <c r="B23" s="189"/>
      <c r="C23" s="214"/>
      <c r="D23" s="571" t="s">
        <v>224</v>
      </c>
      <c r="E23" s="572"/>
      <c r="F23" s="381"/>
      <c r="H23" s="627" t="s">
        <v>392</v>
      </c>
      <c r="I23" s="628"/>
      <c r="J23" s="628"/>
      <c r="K23" s="628"/>
      <c r="L23" s="629"/>
      <c r="M23" s="382"/>
      <c r="O23" s="582" t="s">
        <v>255</v>
      </c>
      <c r="P23" s="582"/>
      <c r="Q23" s="383"/>
      <c r="S23" s="384"/>
      <c r="T23" s="189"/>
      <c r="AF23" s="190"/>
      <c r="AL23" s="441" t="b">
        <v>1</v>
      </c>
      <c r="AM23"/>
      <c r="AN23"/>
      <c r="AO23"/>
      <c r="AP23"/>
      <c r="AQ23"/>
      <c r="AR23"/>
      <c r="AS23"/>
      <c r="AT23"/>
      <c r="AU23"/>
      <c r="AV23"/>
      <c r="AW23"/>
      <c r="AX23"/>
      <c r="AY23"/>
      <c r="AZ23"/>
      <c r="BA23"/>
      <c r="BB23"/>
      <c r="BC23"/>
      <c r="BD23"/>
    </row>
    <row r="24" spans="1:56" ht="18" customHeight="1" x14ac:dyDescent="0.2">
      <c r="A24" s="179"/>
      <c r="B24" s="189"/>
      <c r="C24" s="214"/>
      <c r="D24" s="571" t="s">
        <v>309</v>
      </c>
      <c r="E24" s="572"/>
      <c r="F24" s="381"/>
      <c r="H24" s="627" t="s">
        <v>394</v>
      </c>
      <c r="I24" s="628"/>
      <c r="J24" s="628"/>
      <c r="K24" s="628"/>
      <c r="L24" s="629"/>
      <c r="M24" s="382"/>
      <c r="O24" s="582" t="s">
        <v>259</v>
      </c>
      <c r="P24" s="582"/>
      <c r="Q24" s="383"/>
      <c r="S24" s="384"/>
      <c r="T24" s="189"/>
      <c r="AF24" s="190"/>
      <c r="AL24" s="441" t="b">
        <v>1</v>
      </c>
      <c r="AM24"/>
      <c r="AN24"/>
      <c r="AO24"/>
      <c r="AP24"/>
      <c r="AQ24"/>
      <c r="AR24"/>
      <c r="AS24"/>
      <c r="AT24"/>
      <c r="AU24"/>
      <c r="AV24"/>
      <c r="AW24"/>
      <c r="AX24"/>
      <c r="AY24"/>
      <c r="AZ24"/>
      <c r="BA24"/>
      <c r="BB24"/>
      <c r="BC24"/>
      <c r="BD24"/>
    </row>
    <row r="25" spans="1:56" ht="18" customHeight="1" x14ac:dyDescent="0.2">
      <c r="A25" s="179"/>
      <c r="B25" s="189"/>
      <c r="C25" s="214"/>
      <c r="D25" s="571" t="s">
        <v>326</v>
      </c>
      <c r="E25" s="572"/>
      <c r="F25" s="381"/>
      <c r="H25" s="627" t="s">
        <v>398</v>
      </c>
      <c r="I25" s="628"/>
      <c r="J25" s="628"/>
      <c r="K25" s="628"/>
      <c r="L25" s="629"/>
      <c r="M25" s="382"/>
      <c r="O25" s="582" t="s">
        <v>257</v>
      </c>
      <c r="P25" s="582"/>
      <c r="Q25" s="383"/>
      <c r="S25" s="384"/>
      <c r="T25" s="189"/>
      <c r="AF25" s="190"/>
      <c r="AL25" s="441" t="b">
        <v>1</v>
      </c>
      <c r="AM25"/>
      <c r="AN25"/>
      <c r="AO25"/>
      <c r="AP25"/>
      <c r="AQ25"/>
      <c r="AR25"/>
      <c r="AS25"/>
      <c r="AT25"/>
      <c r="AU25"/>
      <c r="AV25"/>
      <c r="AW25"/>
      <c r="AX25"/>
      <c r="AY25"/>
      <c r="AZ25"/>
      <c r="BA25"/>
      <c r="BB25"/>
      <c r="BC25"/>
      <c r="BD25"/>
    </row>
    <row r="26" spans="1:56" ht="18" customHeight="1" x14ac:dyDescent="0.2">
      <c r="A26" s="179"/>
      <c r="B26" s="189"/>
      <c r="C26" s="214"/>
      <c r="D26" s="571" t="s">
        <v>229</v>
      </c>
      <c r="E26" s="572"/>
      <c r="F26" s="381"/>
      <c r="H26" s="627" t="s">
        <v>401</v>
      </c>
      <c r="I26" s="628"/>
      <c r="J26" s="628"/>
      <c r="K26" s="628"/>
      <c r="L26" s="629"/>
      <c r="M26" s="382"/>
      <c r="O26" s="584" t="s">
        <v>375</v>
      </c>
      <c r="P26" s="582"/>
      <c r="Q26" s="383"/>
      <c r="S26" s="384"/>
      <c r="T26" s="189"/>
      <c r="AF26" s="190"/>
      <c r="AL26" s="441" t="b">
        <v>1</v>
      </c>
      <c r="AM26"/>
      <c r="AN26"/>
      <c r="AO26"/>
      <c r="AP26"/>
      <c r="AQ26"/>
      <c r="AR26"/>
      <c r="AS26"/>
      <c r="AT26"/>
      <c r="AU26"/>
      <c r="AV26"/>
      <c r="AW26"/>
      <c r="AX26"/>
      <c r="AY26"/>
      <c r="AZ26"/>
      <c r="BA26"/>
      <c r="BB26"/>
      <c r="BC26"/>
      <c r="BD26"/>
    </row>
    <row r="27" spans="1:56" ht="18" customHeight="1" x14ac:dyDescent="0.2">
      <c r="A27" s="179"/>
      <c r="B27" s="189"/>
      <c r="C27" s="214"/>
      <c r="D27" s="571" t="s">
        <v>367</v>
      </c>
      <c r="E27" s="572"/>
      <c r="F27" s="381"/>
      <c r="H27" s="627" t="s">
        <v>404</v>
      </c>
      <c r="I27" s="628"/>
      <c r="J27" s="628"/>
      <c r="K27" s="628"/>
      <c r="L27" s="629"/>
      <c r="M27" s="382"/>
      <c r="O27" s="584" t="s">
        <v>427</v>
      </c>
      <c r="P27" s="582"/>
      <c r="Q27" s="383"/>
      <c r="S27" s="384"/>
      <c r="T27" s="189"/>
      <c r="AF27" s="190"/>
      <c r="AL27" s="441" t="b">
        <v>1</v>
      </c>
      <c r="AM27"/>
      <c r="AN27"/>
      <c r="AO27"/>
      <c r="AP27"/>
      <c r="AQ27"/>
      <c r="AR27"/>
      <c r="AS27"/>
      <c r="AT27"/>
      <c r="AU27"/>
      <c r="AV27"/>
      <c r="AW27"/>
      <c r="AX27"/>
      <c r="AY27"/>
      <c r="AZ27"/>
      <c r="BA27"/>
      <c r="BB27"/>
      <c r="BC27"/>
      <c r="BD27"/>
    </row>
    <row r="28" spans="1:56" ht="18" customHeight="1" x14ac:dyDescent="0.2">
      <c r="A28" s="179"/>
      <c r="B28" s="189"/>
      <c r="C28" s="214"/>
      <c r="D28" s="571" t="s">
        <v>242</v>
      </c>
      <c r="E28" s="572"/>
      <c r="F28" s="381"/>
      <c r="H28" s="627" t="s">
        <v>407</v>
      </c>
      <c r="I28" s="628"/>
      <c r="J28" s="628"/>
      <c r="K28" s="628"/>
      <c r="L28" s="629"/>
      <c r="M28" s="382"/>
      <c r="O28" s="215"/>
      <c r="P28" s="205"/>
      <c r="Q28" s="205"/>
      <c r="R28" s="205"/>
      <c r="S28" s="198"/>
      <c r="T28" s="189"/>
      <c r="AF28" s="190"/>
      <c r="AL28" s="441" t="b">
        <v>1</v>
      </c>
      <c r="AM28"/>
      <c r="AN28"/>
      <c r="AO28"/>
      <c r="AP28"/>
      <c r="AQ28"/>
      <c r="AR28"/>
      <c r="AS28"/>
      <c r="AT28"/>
      <c r="AU28"/>
      <c r="AV28"/>
      <c r="AW28"/>
      <c r="AX28"/>
      <c r="AY28"/>
      <c r="AZ28"/>
      <c r="BA28"/>
      <c r="BB28"/>
      <c r="BC28"/>
      <c r="BD28"/>
    </row>
    <row r="29" spans="1:56" ht="18" customHeight="1" x14ac:dyDescent="0.2">
      <c r="A29" s="179"/>
      <c r="B29" s="189"/>
      <c r="C29" s="214"/>
      <c r="D29" s="571" t="s">
        <v>322</v>
      </c>
      <c r="E29" s="572"/>
      <c r="F29" s="381"/>
      <c r="H29" s="627" t="s">
        <v>412</v>
      </c>
      <c r="I29" s="628"/>
      <c r="J29" s="628"/>
      <c r="K29" s="628"/>
      <c r="L29" s="629"/>
      <c r="M29" s="382"/>
      <c r="O29" s="215"/>
      <c r="P29" s="205"/>
      <c r="Q29" s="205"/>
      <c r="R29" s="205"/>
      <c r="S29" s="198"/>
      <c r="T29" s="189"/>
      <c r="AF29" s="190"/>
      <c r="AL29" s="441" t="b">
        <v>1</v>
      </c>
      <c r="AM29"/>
      <c r="AN29"/>
      <c r="AO29"/>
      <c r="AP29"/>
      <c r="AQ29"/>
      <c r="AR29"/>
      <c r="AS29"/>
      <c r="AT29"/>
      <c r="AU29"/>
      <c r="AV29"/>
      <c r="AW29"/>
      <c r="AX29"/>
      <c r="AY29"/>
      <c r="AZ29"/>
      <c r="BA29"/>
      <c r="BB29"/>
      <c r="BC29"/>
      <c r="BD29"/>
    </row>
    <row r="30" spans="1:56" ht="18" customHeight="1" x14ac:dyDescent="0.2">
      <c r="A30" s="179"/>
      <c r="B30" s="189"/>
      <c r="C30" s="214"/>
      <c r="D30" s="571" t="s">
        <v>240</v>
      </c>
      <c r="E30" s="572"/>
      <c r="F30" s="381"/>
      <c r="H30" s="627" t="s">
        <v>418</v>
      </c>
      <c r="I30" s="628"/>
      <c r="J30" s="628"/>
      <c r="K30" s="628"/>
      <c r="L30" s="629"/>
      <c r="M30" s="382"/>
      <c r="O30" s="215"/>
      <c r="P30" s="205"/>
      <c r="Q30" s="205"/>
      <c r="R30" s="205"/>
      <c r="S30" s="198"/>
      <c r="T30" s="189"/>
      <c r="AF30" s="190"/>
      <c r="AL30" s="441" t="b">
        <v>1</v>
      </c>
      <c r="AM30"/>
      <c r="AN30"/>
      <c r="AO30"/>
      <c r="AP30"/>
      <c r="AQ30"/>
      <c r="AR30"/>
      <c r="AS30"/>
      <c r="AT30"/>
      <c r="AU30"/>
      <c r="AV30"/>
      <c r="AW30"/>
      <c r="AX30"/>
      <c r="AY30"/>
      <c r="AZ30"/>
      <c r="BA30"/>
      <c r="BB30"/>
      <c r="BC30"/>
      <c r="BD30"/>
    </row>
    <row r="31" spans="1:56" ht="18" customHeight="1" x14ac:dyDescent="0.2">
      <c r="A31" s="179"/>
      <c r="B31" s="189"/>
      <c r="C31" s="214"/>
      <c r="D31" s="571" t="s">
        <v>234</v>
      </c>
      <c r="E31" s="572"/>
      <c r="F31" s="381"/>
      <c r="H31" s="627" t="s">
        <v>422</v>
      </c>
      <c r="I31" s="628"/>
      <c r="J31" s="628"/>
      <c r="K31" s="628"/>
      <c r="L31" s="629"/>
      <c r="M31" s="382"/>
      <c r="O31" s="215"/>
      <c r="P31" s="205"/>
      <c r="Q31" s="205"/>
      <c r="R31" s="205"/>
      <c r="S31" s="198"/>
      <c r="T31" s="189"/>
      <c r="AF31" s="190"/>
      <c r="AL31" s="441" t="b">
        <v>1</v>
      </c>
      <c r="AM31"/>
      <c r="AN31"/>
      <c r="AO31"/>
      <c r="AP31"/>
      <c r="AQ31"/>
      <c r="AR31"/>
      <c r="AS31"/>
      <c r="AT31"/>
      <c r="AU31"/>
      <c r="AV31"/>
      <c r="AW31"/>
      <c r="AX31"/>
      <c r="AY31"/>
      <c r="AZ31"/>
      <c r="BA31"/>
      <c r="BB31"/>
      <c r="BC31"/>
      <c r="BD31"/>
    </row>
    <row r="32" spans="1:56" ht="18" customHeight="1" x14ac:dyDescent="0.2">
      <c r="A32" s="179"/>
      <c r="B32" s="189"/>
      <c r="C32" s="214"/>
      <c r="D32" s="571" t="s">
        <v>236</v>
      </c>
      <c r="E32" s="572"/>
      <c r="F32" s="381"/>
      <c r="H32" s="481"/>
      <c r="I32" s="481"/>
      <c r="J32" s="481"/>
      <c r="K32" s="481"/>
      <c r="L32" s="481"/>
      <c r="M32" s="482"/>
      <c r="N32" s="215"/>
      <c r="O32" s="215"/>
      <c r="P32" s="205"/>
      <c r="Q32" s="205"/>
      <c r="R32" s="205"/>
      <c r="S32" s="198"/>
      <c r="T32" s="189"/>
      <c r="U32" s="189"/>
      <c r="AF32" s="190"/>
      <c r="AL32" s="441" t="b">
        <v>1</v>
      </c>
      <c r="AM32"/>
      <c r="AN32"/>
      <c r="AO32"/>
      <c r="AP32"/>
      <c r="AQ32"/>
      <c r="AR32"/>
      <c r="AS32"/>
      <c r="AT32"/>
      <c r="AU32"/>
      <c r="AV32"/>
      <c r="AW32"/>
      <c r="AX32"/>
      <c r="AY32"/>
      <c r="AZ32"/>
      <c r="BA32"/>
      <c r="BB32"/>
      <c r="BC32"/>
      <c r="BD32"/>
    </row>
    <row r="33" spans="1:56" ht="18" customHeight="1" x14ac:dyDescent="0.2">
      <c r="A33" s="179"/>
      <c r="B33" s="189"/>
      <c r="C33" s="214"/>
      <c r="D33" s="571" t="s">
        <v>238</v>
      </c>
      <c r="E33" s="572"/>
      <c r="F33" s="381"/>
      <c r="H33" s="481"/>
      <c r="I33" s="481"/>
      <c r="J33" s="481"/>
      <c r="K33" s="481"/>
      <c r="L33" s="481"/>
      <c r="M33" s="482"/>
      <c r="N33" s="215"/>
      <c r="O33" s="215"/>
      <c r="P33" s="205"/>
      <c r="Q33" s="205"/>
      <c r="R33" s="205"/>
      <c r="S33" s="198"/>
      <c r="T33" s="189"/>
      <c r="U33" s="189"/>
      <c r="V33" s="189"/>
      <c r="W33" s="189"/>
      <c r="X33" s="189"/>
      <c r="Y33" s="189"/>
      <c r="Z33" s="189"/>
      <c r="AA33" s="189"/>
      <c r="AB33" s="189"/>
      <c r="AC33" s="189"/>
      <c r="AD33" s="189"/>
      <c r="AE33" s="189"/>
      <c r="AF33" s="190"/>
      <c r="AL33" s="441" t="b">
        <v>1</v>
      </c>
      <c r="AM33"/>
      <c r="AN33"/>
      <c r="AO33"/>
      <c r="AP33"/>
      <c r="AQ33"/>
      <c r="AR33"/>
      <c r="AS33"/>
      <c r="AT33"/>
      <c r="AU33"/>
      <c r="AV33"/>
      <c r="AW33"/>
      <c r="AX33"/>
      <c r="AY33"/>
      <c r="AZ33"/>
      <c r="BA33"/>
      <c r="BB33"/>
      <c r="BC33"/>
      <c r="BD33"/>
    </row>
    <row r="34" spans="1:56" ht="18" customHeight="1" x14ac:dyDescent="0.2">
      <c r="A34" s="179"/>
      <c r="B34" s="189"/>
      <c r="C34" s="214"/>
      <c r="D34" s="571" t="s">
        <v>244</v>
      </c>
      <c r="E34" s="572"/>
      <c r="F34" s="381"/>
      <c r="H34" s="481"/>
      <c r="I34" s="481"/>
      <c r="J34" s="481"/>
      <c r="K34" s="481"/>
      <c r="L34" s="481"/>
      <c r="M34" s="482"/>
      <c r="N34" s="215"/>
      <c r="O34" s="215"/>
      <c r="P34" s="205"/>
      <c r="Q34" s="205"/>
      <c r="R34" s="205"/>
      <c r="S34" s="198"/>
      <c r="T34" s="189"/>
      <c r="U34" s="189"/>
      <c r="AF34" s="190"/>
      <c r="AL34" s="441" t="b">
        <v>1</v>
      </c>
      <c r="AM34"/>
      <c r="AN34"/>
      <c r="AO34"/>
      <c r="AP34"/>
      <c r="AQ34"/>
      <c r="AR34"/>
      <c r="AS34"/>
      <c r="AT34"/>
      <c r="AU34"/>
      <c r="AV34"/>
      <c r="AW34"/>
      <c r="AX34"/>
      <c r="AY34"/>
      <c r="AZ34"/>
      <c r="BA34"/>
      <c r="BB34"/>
      <c r="BC34"/>
      <c r="BD34"/>
    </row>
    <row r="35" spans="1:56" ht="18" customHeight="1" thickBot="1" x14ac:dyDescent="0.25">
      <c r="A35" s="179"/>
      <c r="B35" s="189"/>
      <c r="C35" s="216"/>
      <c r="D35" s="215"/>
      <c r="E35" s="205"/>
      <c r="F35" s="205"/>
      <c r="G35" s="215"/>
      <c r="H35" s="215"/>
      <c r="I35" s="215"/>
      <c r="J35" s="583" t="s">
        <v>320</v>
      </c>
      <c r="K35" s="494"/>
      <c r="L35" s="494"/>
      <c r="M35" s="494"/>
      <c r="N35" s="494"/>
      <c r="O35" s="583"/>
      <c r="Q35" s="205"/>
      <c r="R35" s="205"/>
      <c r="S35" s="198"/>
      <c r="T35" s="189"/>
      <c r="U35" s="189"/>
      <c r="AF35" s="190"/>
      <c r="AL35" s="442" t="b">
        <v>1</v>
      </c>
      <c r="AM35"/>
      <c r="AR35"/>
      <c r="AY35"/>
      <c r="AZ35"/>
      <c r="BA35"/>
      <c r="BB35"/>
      <c r="BC35"/>
      <c r="BD35"/>
    </row>
    <row r="36" spans="1:56" ht="18" customHeight="1" thickBot="1" x14ac:dyDescent="0.25">
      <c r="A36" s="179"/>
      <c r="B36" s="189"/>
      <c r="C36" s="507" t="s">
        <v>438</v>
      </c>
      <c r="D36" s="508" t="s">
        <v>302</v>
      </c>
      <c r="E36" s="508"/>
      <c r="F36" s="617" t="s">
        <v>306</v>
      </c>
      <c r="G36" s="618"/>
      <c r="H36" s="618"/>
      <c r="I36" s="618"/>
      <c r="J36" s="619"/>
      <c r="K36" s="512" t="s">
        <v>268</v>
      </c>
      <c r="L36" s="513"/>
      <c r="M36" s="513"/>
      <c r="N36" s="513"/>
      <c r="O36" s="514"/>
      <c r="P36" s="385"/>
      <c r="Q36" s="181"/>
      <c r="R36" s="181"/>
      <c r="S36" s="342"/>
      <c r="T36" s="205"/>
      <c r="U36" s="205"/>
      <c r="AF36" s="190"/>
      <c r="AG36" s="268" t="s">
        <v>265</v>
      </c>
      <c r="AI36" s="149" t="s">
        <v>18</v>
      </c>
      <c r="AL36" s="442" t="b">
        <v>1</v>
      </c>
      <c r="AM36"/>
      <c r="AN36"/>
      <c r="AO36"/>
      <c r="AP36"/>
      <c r="AQ36"/>
      <c r="AR36"/>
      <c r="AS36"/>
      <c r="AT36"/>
      <c r="AU36"/>
      <c r="AV36"/>
      <c r="AW36"/>
      <c r="AX36"/>
      <c r="AY36"/>
      <c r="AZ36"/>
      <c r="BA36"/>
      <c r="BB36"/>
      <c r="BC36"/>
      <c r="BD36"/>
    </row>
    <row r="37" spans="1:56" ht="18" customHeight="1" thickBot="1" x14ac:dyDescent="0.25">
      <c r="A37" s="179"/>
      <c r="B37" s="189"/>
      <c r="C37" s="507"/>
      <c r="D37" s="508"/>
      <c r="E37" s="508"/>
      <c r="F37" s="647" t="s">
        <v>307</v>
      </c>
      <c r="G37" s="648"/>
      <c r="H37" s="648"/>
      <c r="I37" s="648"/>
      <c r="J37" s="649"/>
      <c r="K37" s="435" t="s">
        <v>7</v>
      </c>
      <c r="L37" s="640" t="s">
        <v>15</v>
      </c>
      <c r="M37" s="641"/>
      <c r="N37" s="642"/>
      <c r="O37" s="386" t="s">
        <v>5</v>
      </c>
      <c r="P37" s="515" t="s">
        <v>272</v>
      </c>
      <c r="Q37" s="516"/>
      <c r="R37" s="517"/>
      <c r="S37" s="203"/>
      <c r="T37" s="189"/>
      <c r="U37" s="189"/>
      <c r="AF37" s="190"/>
      <c r="AG37" s="215">
        <f>VLOOKUP(K36,AH71:AI75,2,FALSE)</f>
        <v>3</v>
      </c>
      <c r="AI37" s="215">
        <f>VLOOKUP(F20,AJ71:AK101,2,FALSE)</f>
        <v>999</v>
      </c>
      <c r="AL37" s="442" t="b">
        <v>1</v>
      </c>
      <c r="AM37"/>
      <c r="AN37"/>
      <c r="AO37"/>
      <c r="AP37"/>
      <c r="AQ37"/>
      <c r="AR37"/>
      <c r="AW37"/>
      <c r="AX37"/>
      <c r="AY37"/>
      <c r="AZ37"/>
      <c r="BA37"/>
      <c r="BB37"/>
      <c r="BC37"/>
      <c r="BD37"/>
    </row>
    <row r="38" spans="1:56" ht="18" customHeight="1" thickBot="1" x14ac:dyDescent="0.25">
      <c r="A38" s="179"/>
      <c r="B38" s="189"/>
      <c r="C38" s="507"/>
      <c r="D38" s="508"/>
      <c r="E38" s="508"/>
      <c r="F38" s="644" t="s">
        <v>308</v>
      </c>
      <c r="G38" s="645"/>
      <c r="H38" s="645"/>
      <c r="I38" s="645"/>
      <c r="J38" s="646"/>
      <c r="K38" s="341" t="s">
        <v>297</v>
      </c>
      <c r="L38" s="524">
        <v>8</v>
      </c>
      <c r="M38" s="643"/>
      <c r="N38" s="525"/>
      <c r="O38" s="420" t="s">
        <v>43</v>
      </c>
      <c r="P38" s="573" t="s">
        <v>273</v>
      </c>
      <c r="Q38" s="574"/>
      <c r="R38" s="575"/>
      <c r="S38" s="203"/>
      <c r="T38" s="189"/>
      <c r="U38" s="189"/>
      <c r="AF38" s="190"/>
      <c r="AG38" s="278">
        <v>1</v>
      </c>
      <c r="AH38" s="279" t="s">
        <v>266</v>
      </c>
      <c r="AI38" s="251">
        <v>1</v>
      </c>
      <c r="AJ38" s="252" t="s">
        <v>221</v>
      </c>
      <c r="AK38" s="171"/>
      <c r="AL38" s="442" t="b">
        <v>1</v>
      </c>
      <c r="AM38"/>
      <c r="AN38"/>
      <c r="AO38"/>
      <c r="AP38"/>
      <c r="AQ38"/>
      <c r="AR38"/>
      <c r="AS38"/>
      <c r="AT38"/>
      <c r="AU38"/>
      <c r="AV38"/>
      <c r="AW38"/>
      <c r="AX38"/>
      <c r="AY38"/>
      <c r="AZ38"/>
      <c r="BA38"/>
      <c r="BB38"/>
      <c r="BC38"/>
      <c r="BD38"/>
    </row>
    <row r="39" spans="1:56" ht="18" customHeight="1" x14ac:dyDescent="0.2">
      <c r="A39" s="179"/>
      <c r="B39" s="189"/>
      <c r="C39" s="340"/>
      <c r="D39" s="181"/>
      <c r="E39" s="181"/>
      <c r="F39" s="181"/>
      <c r="G39" s="181"/>
      <c r="H39" s="181"/>
      <c r="I39" s="181"/>
      <c r="J39" s="181"/>
      <c r="K39" s="181"/>
      <c r="L39" s="181"/>
      <c r="M39" s="181"/>
      <c r="N39" s="181"/>
      <c r="O39" s="181"/>
      <c r="P39" s="181"/>
      <c r="Q39" s="181"/>
      <c r="R39" s="181"/>
      <c r="S39" s="203"/>
      <c r="T39" s="189"/>
      <c r="U39" s="189"/>
      <c r="AF39" s="190"/>
      <c r="AG39" s="280">
        <v>2</v>
      </c>
      <c r="AH39" s="265" t="s">
        <v>267</v>
      </c>
      <c r="AI39" s="253">
        <v>2</v>
      </c>
      <c r="AJ39" s="254" t="s">
        <v>222</v>
      </c>
      <c r="AK39" s="171"/>
      <c r="AL39" s="442" t="b">
        <v>1</v>
      </c>
      <c r="AM39"/>
      <c r="AN39"/>
      <c r="AO39"/>
      <c r="AP39"/>
      <c r="AQ39"/>
      <c r="BA39"/>
      <c r="BB39"/>
      <c r="BC39"/>
      <c r="BD39"/>
    </row>
    <row r="40" spans="1:56" ht="18" customHeight="1" thickBot="1" x14ac:dyDescent="0.25">
      <c r="A40" s="179"/>
      <c r="B40" s="189"/>
      <c r="C40" s="507" t="s">
        <v>439</v>
      </c>
      <c r="D40" s="518" t="s">
        <v>69</v>
      </c>
      <c r="E40" s="519"/>
      <c r="F40" s="612" t="s">
        <v>15</v>
      </c>
      <c r="G40" s="613"/>
      <c r="H40" s="613"/>
      <c r="I40" s="614"/>
      <c r="J40" s="223" t="s">
        <v>5</v>
      </c>
      <c r="K40" s="429"/>
      <c r="L40" s="429"/>
      <c r="M40" s="205"/>
      <c r="N40" s="215"/>
      <c r="O40" s="215"/>
      <c r="P40" s="215"/>
      <c r="Q40" s="215"/>
      <c r="R40" s="215"/>
      <c r="S40" s="203"/>
      <c r="T40" s="189"/>
      <c r="U40" s="189"/>
      <c r="AF40" s="190"/>
      <c r="AG40" s="281">
        <v>3</v>
      </c>
      <c r="AH40" s="265" t="s">
        <v>268</v>
      </c>
      <c r="AI40" s="253">
        <v>3</v>
      </c>
      <c r="AJ40" s="254" t="s">
        <v>223</v>
      </c>
      <c r="AK40" s="171"/>
      <c r="AL40" s="442" t="b">
        <v>1</v>
      </c>
      <c r="AM40"/>
      <c r="AN40"/>
      <c r="AO40"/>
      <c r="AP40"/>
      <c r="AQ40"/>
      <c r="BA40"/>
      <c r="BB40"/>
      <c r="BC40"/>
      <c r="BD40"/>
    </row>
    <row r="41" spans="1:56" ht="18" customHeight="1" thickBot="1" x14ac:dyDescent="0.25">
      <c r="A41" s="179"/>
      <c r="B41" s="189"/>
      <c r="C41" s="507"/>
      <c r="D41" s="520"/>
      <c r="E41" s="521"/>
      <c r="F41" s="605">
        <f>1/200</f>
        <v>5.0000000000000001E-3</v>
      </c>
      <c r="G41" s="606"/>
      <c r="H41" s="606"/>
      <c r="I41" s="607"/>
      <c r="J41" s="331" t="s">
        <v>16</v>
      </c>
      <c r="K41" s="429"/>
      <c r="L41" s="429"/>
      <c r="M41" s="215"/>
      <c r="N41" s="215"/>
      <c r="O41" s="215"/>
      <c r="P41" s="215"/>
      <c r="Q41" s="215"/>
      <c r="R41" s="215"/>
      <c r="S41" s="203"/>
      <c r="T41" s="189"/>
      <c r="U41" s="189"/>
      <c r="AF41" s="190"/>
      <c r="AG41" s="282">
        <v>4</v>
      </c>
      <c r="AH41" s="265" t="s">
        <v>311</v>
      </c>
      <c r="AI41" s="253">
        <v>999</v>
      </c>
      <c r="AJ41" s="254" t="s">
        <v>351</v>
      </c>
      <c r="AK41" s="249"/>
      <c r="AL41" s="442" t="b">
        <v>1</v>
      </c>
      <c r="AM41"/>
      <c r="AN41"/>
      <c r="AO41"/>
      <c r="AP41"/>
      <c r="AQ41"/>
      <c r="AR41"/>
      <c r="BC41"/>
      <c r="BD41"/>
    </row>
    <row r="42" spans="1:56" ht="18" customHeight="1" thickBot="1" x14ac:dyDescent="0.25">
      <c r="A42" s="179"/>
      <c r="B42" s="189"/>
      <c r="C42" s="303"/>
      <c r="D42" s="181"/>
      <c r="E42" s="181"/>
      <c r="F42" s="181"/>
      <c r="G42" s="181"/>
      <c r="H42" s="181"/>
      <c r="I42" s="181"/>
      <c r="J42" s="181"/>
      <c r="K42" s="181"/>
      <c r="L42" s="181"/>
      <c r="M42" s="181"/>
      <c r="N42" s="181"/>
      <c r="O42" s="181"/>
      <c r="P42" s="181"/>
      <c r="Q42" s="181"/>
      <c r="R42" s="181"/>
      <c r="S42" s="203"/>
      <c r="T42" s="189"/>
      <c r="U42" s="189"/>
      <c r="AF42" s="190"/>
      <c r="AG42" s="283">
        <v>5</v>
      </c>
      <c r="AH42" s="284" t="s">
        <v>312</v>
      </c>
      <c r="AI42" s="255">
        <v>101</v>
      </c>
      <c r="AJ42" s="256" t="s">
        <v>225</v>
      </c>
      <c r="AK42" s="249"/>
      <c r="AL42" s="442" t="b">
        <v>1</v>
      </c>
      <c r="AM42"/>
      <c r="AN42"/>
      <c r="AO42"/>
      <c r="AP42"/>
      <c r="AQ42"/>
      <c r="BC42"/>
      <c r="BD42"/>
    </row>
    <row r="43" spans="1:56" ht="18" customHeight="1" thickBot="1" x14ac:dyDescent="0.25">
      <c r="A43" s="179"/>
      <c r="B43" s="189"/>
      <c r="C43" s="340"/>
      <c r="D43" s="189"/>
      <c r="E43" s="189"/>
      <c r="F43" s="515" t="s">
        <v>307</v>
      </c>
      <c r="G43" s="516"/>
      <c r="H43" s="516"/>
      <c r="I43" s="516"/>
      <c r="J43" s="517"/>
      <c r="K43" s="388" t="s">
        <v>7</v>
      </c>
      <c r="L43" s="608" t="s">
        <v>15</v>
      </c>
      <c r="M43" s="608"/>
      <c r="N43" s="608"/>
      <c r="O43" s="423" t="s">
        <v>5</v>
      </c>
      <c r="P43" s="611" t="s">
        <v>272</v>
      </c>
      <c r="Q43" s="611"/>
      <c r="R43" s="611"/>
      <c r="S43" s="203"/>
      <c r="T43" s="189"/>
      <c r="U43" s="189"/>
      <c r="AF43" s="190"/>
      <c r="AG43" s="266"/>
      <c r="AH43" s="181"/>
      <c r="AI43" s="255">
        <v>102</v>
      </c>
      <c r="AJ43" s="256" t="s">
        <v>226</v>
      </c>
      <c r="AK43" s="249"/>
      <c r="AL43" s="442" t="b">
        <v>1</v>
      </c>
      <c r="AM43"/>
      <c r="AN43"/>
      <c r="AO43"/>
      <c r="AP43"/>
      <c r="AQ43"/>
      <c r="BC43"/>
      <c r="BD43"/>
    </row>
    <row r="44" spans="1:56" ht="18" customHeight="1" thickBot="1" x14ac:dyDescent="0.25">
      <c r="A44" s="179"/>
      <c r="B44" s="189"/>
      <c r="C44" s="216" t="s">
        <v>440</v>
      </c>
      <c r="D44" s="502" t="s">
        <v>197</v>
      </c>
      <c r="E44" s="503"/>
      <c r="F44" s="504" t="str">
        <f>IF($AJ$14=4,"PRB通過後の観測点から評価地点までの距離","評価地点までの距離")</f>
        <v>評価地点までの距離</v>
      </c>
      <c r="G44" s="505"/>
      <c r="H44" s="505"/>
      <c r="I44" s="505"/>
      <c r="J44" s="506"/>
      <c r="K44" s="327" t="s">
        <v>294</v>
      </c>
      <c r="L44" s="605">
        <v>50</v>
      </c>
      <c r="M44" s="606"/>
      <c r="N44" s="607"/>
      <c r="O44" s="420" t="s">
        <v>79</v>
      </c>
      <c r="P44" s="610"/>
      <c r="Q44" s="610"/>
      <c r="R44" s="610"/>
      <c r="S44" s="203"/>
      <c r="T44" s="189"/>
      <c r="U44" s="189"/>
      <c r="AF44" s="190"/>
      <c r="AI44" s="255">
        <v>103</v>
      </c>
      <c r="AJ44" s="256" t="s">
        <v>227</v>
      </c>
      <c r="AK44" s="249"/>
      <c r="AL44" s="443" t="b">
        <v>1</v>
      </c>
      <c r="AM44"/>
      <c r="AN44"/>
      <c r="AO44"/>
      <c r="AP44"/>
      <c r="AQ44"/>
      <c r="AR44"/>
      <c r="BC44"/>
      <c r="BD44"/>
    </row>
    <row r="45" spans="1:56" ht="18" customHeight="1" thickBot="1" x14ac:dyDescent="0.25">
      <c r="A45" s="179"/>
      <c r="B45" s="189"/>
      <c r="C45" s="291"/>
      <c r="D45" s="338"/>
      <c r="E45" s="339"/>
      <c r="F45" s="155"/>
      <c r="G45" s="155"/>
      <c r="H45" s="155"/>
      <c r="I45" s="425"/>
      <c r="J45" s="155"/>
      <c r="K45" s="155"/>
      <c r="L45" s="155"/>
      <c r="M45" s="155"/>
      <c r="N45" s="149"/>
      <c r="O45" s="155"/>
      <c r="P45" s="149"/>
      <c r="Q45" s="155"/>
      <c r="R45" s="155"/>
      <c r="S45" s="203"/>
      <c r="T45" s="189"/>
      <c r="U45" s="189"/>
      <c r="AF45" s="190"/>
      <c r="AG45" s="181"/>
      <c r="AH45" s="181"/>
      <c r="AI45" s="255">
        <v>104</v>
      </c>
      <c r="AJ45" s="256" t="s">
        <v>228</v>
      </c>
      <c r="AK45" s="249"/>
      <c r="AL45" s="443" t="b">
        <v>1</v>
      </c>
      <c r="AM45"/>
      <c r="AN45"/>
      <c r="AO45"/>
      <c r="AP45"/>
      <c r="AQ45"/>
      <c r="BC45"/>
      <c r="BD45"/>
    </row>
    <row r="46" spans="1:56" ht="18" customHeight="1" x14ac:dyDescent="0.2">
      <c r="A46" s="179"/>
      <c r="B46" s="189"/>
      <c r="C46" s="507" t="s">
        <v>441</v>
      </c>
      <c r="D46" s="533" t="s">
        <v>293</v>
      </c>
      <c r="E46" s="533"/>
      <c r="F46" s="504" t="s">
        <v>291</v>
      </c>
      <c r="G46" s="505"/>
      <c r="H46" s="505"/>
      <c r="I46" s="505"/>
      <c r="J46" s="506"/>
      <c r="K46" s="327" t="s">
        <v>295</v>
      </c>
      <c r="L46" s="602">
        <v>30</v>
      </c>
      <c r="M46" s="603"/>
      <c r="N46" s="604"/>
      <c r="O46" s="420" t="s">
        <v>43</v>
      </c>
      <c r="P46" s="610"/>
      <c r="Q46" s="610"/>
      <c r="R46" s="610"/>
      <c r="S46" s="203"/>
      <c r="T46" s="189"/>
      <c r="U46" s="189"/>
      <c r="AF46" s="190"/>
      <c r="AG46" s="181"/>
      <c r="AH46" s="181"/>
      <c r="AI46" s="255">
        <v>105</v>
      </c>
      <c r="AJ46" s="256" t="s">
        <v>230</v>
      </c>
      <c r="AK46" s="249"/>
      <c r="AL46" s="443" t="b">
        <v>1</v>
      </c>
      <c r="AM46"/>
      <c r="AN46"/>
      <c r="AO46"/>
      <c r="AP46"/>
      <c r="AQ46"/>
      <c r="AR46"/>
      <c r="BC46"/>
      <c r="BD46"/>
    </row>
    <row r="47" spans="1:56" ht="18" customHeight="1" thickBot="1" x14ac:dyDescent="0.25">
      <c r="A47" s="179"/>
      <c r="B47" s="189"/>
      <c r="C47" s="507"/>
      <c r="D47" s="533"/>
      <c r="E47" s="533"/>
      <c r="F47" s="504" t="s">
        <v>370</v>
      </c>
      <c r="G47" s="505"/>
      <c r="H47" s="505"/>
      <c r="I47" s="505"/>
      <c r="J47" s="506"/>
      <c r="K47" s="328" t="s">
        <v>296</v>
      </c>
      <c r="L47" s="599">
        <v>15</v>
      </c>
      <c r="M47" s="600"/>
      <c r="N47" s="601"/>
      <c r="O47" s="420" t="s">
        <v>43</v>
      </c>
      <c r="P47" s="610"/>
      <c r="Q47" s="610"/>
      <c r="R47" s="610"/>
      <c r="S47" s="203"/>
      <c r="T47" s="189"/>
      <c r="U47" s="189"/>
      <c r="AF47" s="190"/>
      <c r="AG47" s="181"/>
      <c r="AH47" s="181"/>
      <c r="AI47" s="255">
        <v>106</v>
      </c>
      <c r="AJ47" s="256" t="s">
        <v>352</v>
      </c>
      <c r="AK47" s="249"/>
      <c r="AL47" s="443" t="b">
        <v>1</v>
      </c>
      <c r="AM47"/>
      <c r="AN47"/>
      <c r="AO47"/>
      <c r="AP47"/>
      <c r="AQ47"/>
      <c r="AR47"/>
      <c r="BC47"/>
      <c r="BD47"/>
    </row>
    <row r="48" spans="1:56" ht="16" customHeight="1" thickBot="1" x14ac:dyDescent="0.25">
      <c r="A48" s="179"/>
      <c r="B48" s="189"/>
      <c r="C48" s="216"/>
      <c r="D48" s="232"/>
      <c r="E48" s="232"/>
      <c r="F48" s="232"/>
      <c r="G48" s="215"/>
      <c r="H48" s="215"/>
      <c r="I48" s="215"/>
      <c r="J48" s="215"/>
      <c r="K48" s="276"/>
      <c r="L48" s="215"/>
      <c r="M48" s="215"/>
      <c r="N48" s="149"/>
      <c r="O48" s="155"/>
      <c r="P48" s="149"/>
      <c r="Q48" s="215"/>
      <c r="R48" s="215"/>
      <c r="S48" s="203"/>
      <c r="T48" s="189"/>
      <c r="U48" s="189"/>
      <c r="AF48" s="190"/>
      <c r="AG48" s="181"/>
      <c r="AH48" s="181"/>
      <c r="AI48" s="255">
        <v>108</v>
      </c>
      <c r="AJ48" s="256" t="s">
        <v>235</v>
      </c>
      <c r="AK48" s="249"/>
      <c r="AL48" s="443" t="b">
        <v>1</v>
      </c>
      <c r="AM48"/>
      <c r="AN48"/>
      <c r="AO48"/>
      <c r="AP48"/>
      <c r="AQ48"/>
      <c r="AR48"/>
      <c r="BC48"/>
      <c r="BD48"/>
    </row>
    <row r="49" spans="1:57" ht="18.649999999999999" customHeight="1" thickBot="1" x14ac:dyDescent="0.25">
      <c r="A49" s="179"/>
      <c r="B49" s="189"/>
      <c r="C49" s="216" t="str">
        <f>IF($AI$14=1,"","⑦")</f>
        <v/>
      </c>
      <c r="D49" s="534" t="str">
        <f>IF($AI$14=1,"","かん養量")</f>
        <v/>
      </c>
      <c r="E49" s="534"/>
      <c r="F49" s="535" t="str">
        <f>IF($AI$14=1,"","地下水かん養量")</f>
        <v/>
      </c>
      <c r="G49" s="536"/>
      <c r="H49" s="536"/>
      <c r="I49" s="536"/>
      <c r="J49" s="537"/>
      <c r="K49" s="389" t="s">
        <v>298</v>
      </c>
      <c r="L49" s="596">
        <v>1</v>
      </c>
      <c r="M49" s="597"/>
      <c r="N49" s="598"/>
      <c r="O49" s="304" t="str">
        <f>IF($AI$14=1,"","mm/day")</f>
        <v/>
      </c>
      <c r="P49" s="609" t="str">
        <f>IF($AI$14=1,"","原則1mm/day")</f>
        <v/>
      </c>
      <c r="Q49" s="609"/>
      <c r="R49" s="609"/>
      <c r="S49" s="203"/>
      <c r="T49" s="189"/>
      <c r="U49" s="189"/>
      <c r="AF49" s="190"/>
      <c r="AI49" s="255">
        <v>109</v>
      </c>
      <c r="AJ49" s="256" t="s">
        <v>237</v>
      </c>
      <c r="AK49" s="249"/>
      <c r="AL49"/>
      <c r="AM49"/>
      <c r="AN49"/>
      <c r="AO49"/>
      <c r="AP49"/>
      <c r="AQ49"/>
      <c r="AR49"/>
      <c r="AS49"/>
      <c r="AT49"/>
      <c r="AU49"/>
      <c r="AV49"/>
      <c r="AW49"/>
      <c r="AX49"/>
      <c r="AY49"/>
      <c r="AZ49"/>
      <c r="BA49"/>
      <c r="BB49"/>
      <c r="BC49"/>
      <c r="BD49"/>
    </row>
    <row r="50" spans="1:57" ht="8.15" customHeight="1" x14ac:dyDescent="0.2">
      <c r="A50" s="179"/>
      <c r="B50" s="189"/>
      <c r="C50" s="235"/>
      <c r="D50" s="236"/>
      <c r="E50" s="236"/>
      <c r="F50" s="236"/>
      <c r="G50" s="237"/>
      <c r="H50" s="237"/>
      <c r="I50" s="237"/>
      <c r="J50" s="237"/>
      <c r="K50" s="237"/>
      <c r="L50" s="237"/>
      <c r="M50" s="238"/>
      <c r="N50" s="237"/>
      <c r="O50" s="237"/>
      <c r="P50" s="237"/>
      <c r="Q50" s="239"/>
      <c r="R50" s="239"/>
      <c r="S50" s="212"/>
      <c r="T50" s="189"/>
      <c r="U50" s="189"/>
      <c r="AF50" s="190"/>
      <c r="AI50" s="255">
        <v>110</v>
      </c>
      <c r="AJ50" s="256" t="s">
        <v>239</v>
      </c>
      <c r="AK50" s="249"/>
      <c r="AL50"/>
      <c r="AM50"/>
      <c r="AN50"/>
      <c r="AO50"/>
      <c r="AP50"/>
      <c r="AQ50"/>
      <c r="AR50"/>
      <c r="AS50"/>
      <c r="AT50"/>
      <c r="AU50"/>
      <c r="AV50"/>
      <c r="AW50"/>
      <c r="AX50"/>
      <c r="AY50"/>
      <c r="AZ50"/>
      <c r="BA50"/>
      <c r="BB50"/>
      <c r="BC50"/>
      <c r="BD50"/>
    </row>
    <row r="51" spans="1:57" ht="16" customHeight="1" thickBot="1" x14ac:dyDescent="0.25">
      <c r="A51" s="179"/>
      <c r="B51" s="189"/>
      <c r="C51" s="192"/>
      <c r="D51" s="293"/>
      <c r="E51" s="293"/>
      <c r="F51" s="293"/>
      <c r="G51" s="293"/>
      <c r="H51" s="293"/>
      <c r="I51" s="293"/>
      <c r="J51" s="293"/>
      <c r="K51" s="293"/>
      <c r="L51" s="293"/>
      <c r="M51" s="293"/>
      <c r="N51" s="293"/>
      <c r="O51" s="293"/>
      <c r="P51" s="293"/>
      <c r="Q51" s="293"/>
      <c r="R51" s="293"/>
      <c r="S51" s="293"/>
      <c r="T51" s="189"/>
      <c r="U51" s="189"/>
      <c r="V51" s="189"/>
      <c r="W51" s="189"/>
      <c r="X51" s="189"/>
      <c r="Y51" s="189"/>
      <c r="Z51" s="189"/>
      <c r="AA51" s="189"/>
      <c r="AB51" s="189"/>
      <c r="AC51" s="189"/>
      <c r="AD51" s="189"/>
      <c r="AE51" s="189"/>
      <c r="AF51" s="190"/>
      <c r="AI51" s="255">
        <v>111</v>
      </c>
      <c r="AJ51" s="256" t="s">
        <v>241</v>
      </c>
      <c r="AK51" s="249"/>
      <c r="AL51"/>
      <c r="AM51"/>
      <c r="AN51"/>
      <c r="AO51"/>
      <c r="AP51"/>
      <c r="AQ51"/>
      <c r="AR51"/>
      <c r="AS51"/>
      <c r="AT51"/>
      <c r="AU51"/>
      <c r="AV51"/>
      <c r="AW51"/>
      <c r="AX51"/>
      <c r="AY51"/>
      <c r="AZ51"/>
      <c r="BA51"/>
      <c r="BB51"/>
      <c r="BC51"/>
      <c r="BD51"/>
    </row>
    <row r="52" spans="1:57" ht="8.15" customHeight="1" x14ac:dyDescent="0.2">
      <c r="A52" s="179"/>
      <c r="B52" s="189"/>
      <c r="C52" s="240"/>
      <c r="D52" s="296"/>
      <c r="E52" s="296"/>
      <c r="F52" s="296"/>
      <c r="G52" s="296"/>
      <c r="H52" s="296"/>
      <c r="I52" s="296"/>
      <c r="J52" s="296"/>
      <c r="K52" s="296"/>
      <c r="L52" s="296"/>
      <c r="M52" s="296"/>
      <c r="N52" s="296"/>
      <c r="O52" s="296"/>
      <c r="P52" s="296"/>
      <c r="Q52" s="296"/>
      <c r="R52" s="296"/>
      <c r="S52" s="296"/>
      <c r="T52" s="296"/>
      <c r="U52" s="296"/>
      <c r="V52" s="296"/>
      <c r="W52" s="241"/>
      <c r="X52" s="241"/>
      <c r="Y52" s="241"/>
      <c r="Z52" s="241"/>
      <c r="AA52" s="241"/>
      <c r="AB52" s="241"/>
      <c r="AC52" s="241"/>
      <c r="AD52" s="242"/>
      <c r="AE52" s="189"/>
      <c r="AF52" s="190"/>
      <c r="AI52" s="255">
        <v>112</v>
      </c>
      <c r="AJ52" s="256" t="s">
        <v>243</v>
      </c>
      <c r="AK52" s="249"/>
      <c r="AL52"/>
      <c r="AM52"/>
      <c r="AN52"/>
      <c r="AO52"/>
      <c r="AP52"/>
      <c r="AQ52"/>
      <c r="AR52"/>
      <c r="AS52"/>
      <c r="AT52"/>
      <c r="AU52"/>
      <c r="AV52"/>
      <c r="AW52"/>
      <c r="AX52"/>
      <c r="AY52"/>
      <c r="AZ52"/>
      <c r="BA52"/>
      <c r="BB52"/>
      <c r="BC52"/>
      <c r="BD52"/>
    </row>
    <row r="53" spans="1:57" x14ac:dyDescent="0.2">
      <c r="A53" s="179"/>
      <c r="B53" s="189"/>
      <c r="C53" s="294" t="s">
        <v>67</v>
      </c>
      <c r="D53" s="189"/>
      <c r="E53" s="189"/>
      <c r="F53" s="189"/>
      <c r="G53" s="189"/>
      <c r="H53" s="189"/>
      <c r="I53" s="189"/>
      <c r="J53" s="189"/>
      <c r="K53" s="189"/>
      <c r="L53" s="189"/>
      <c r="M53" s="189"/>
      <c r="N53" s="155"/>
      <c r="O53" s="155"/>
      <c r="P53" s="202"/>
      <c r="Q53" s="149"/>
      <c r="R53" s="149"/>
      <c r="S53" s="149"/>
      <c r="T53" s="189"/>
      <c r="U53" s="189"/>
      <c r="V53" s="189"/>
      <c r="W53" s="155"/>
      <c r="X53" s="189"/>
      <c r="Y53" s="189"/>
      <c r="Z53" s="189"/>
      <c r="AA53" s="189"/>
      <c r="AB53" s="189"/>
      <c r="AC53" s="189"/>
      <c r="AD53" s="295"/>
      <c r="AE53" s="189"/>
      <c r="AF53" s="190"/>
      <c r="AI53" s="255">
        <v>113</v>
      </c>
      <c r="AJ53" s="256" t="s">
        <v>245</v>
      </c>
      <c r="AK53" s="249"/>
      <c r="AL53"/>
      <c r="AM53"/>
      <c r="AN53"/>
      <c r="AO53"/>
      <c r="AP53"/>
      <c r="AQ53"/>
      <c r="AR53"/>
      <c r="AS53"/>
      <c r="AT53"/>
      <c r="AU53"/>
      <c r="AV53"/>
      <c r="AW53"/>
      <c r="AX53"/>
      <c r="AY53"/>
      <c r="AZ53"/>
      <c r="BA53"/>
      <c r="BB53"/>
      <c r="BC53"/>
      <c r="BD53"/>
    </row>
    <row r="54" spans="1:57" ht="6" customHeight="1" x14ac:dyDescent="0.2">
      <c r="A54" s="179"/>
      <c r="B54" s="189"/>
      <c r="C54" s="294"/>
      <c r="D54" s="189"/>
      <c r="E54" s="189"/>
      <c r="F54" s="189"/>
      <c r="G54" s="189"/>
      <c r="H54" s="189"/>
      <c r="I54" s="189"/>
      <c r="J54" s="189"/>
      <c r="K54" s="189"/>
      <c r="L54" s="189"/>
      <c r="M54" s="189"/>
      <c r="N54" s="155"/>
      <c r="O54" s="155"/>
      <c r="P54" s="202"/>
      <c r="Q54" s="149"/>
      <c r="R54" s="149"/>
      <c r="S54" s="149"/>
      <c r="T54" s="189"/>
      <c r="U54" s="189"/>
      <c r="V54" s="189"/>
      <c r="W54" s="155"/>
      <c r="X54" s="189"/>
      <c r="Y54" s="189"/>
      <c r="Z54" s="189"/>
      <c r="AA54" s="189"/>
      <c r="AB54" s="189"/>
      <c r="AC54" s="189"/>
      <c r="AD54" s="295"/>
      <c r="AE54" s="189"/>
      <c r="AF54" s="190"/>
      <c r="AI54" s="255">
        <v>201</v>
      </c>
      <c r="AJ54" s="256" t="s">
        <v>406</v>
      </c>
      <c r="AK54" s="249"/>
      <c r="AL54"/>
      <c r="AM54"/>
      <c r="AN54"/>
      <c r="AO54"/>
      <c r="AP54"/>
      <c r="AQ54"/>
      <c r="AR54"/>
      <c r="AS54"/>
      <c r="AT54"/>
      <c r="AU54"/>
      <c r="AV54"/>
      <c r="AW54"/>
      <c r="AX54"/>
      <c r="AY54"/>
      <c r="AZ54"/>
      <c r="BA54"/>
      <c r="BB54"/>
      <c r="BC54"/>
      <c r="BD54"/>
    </row>
    <row r="55" spans="1:57" ht="8.25" customHeight="1" x14ac:dyDescent="0.2">
      <c r="A55" s="439"/>
      <c r="B55" s="189"/>
      <c r="C55" s="243"/>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295"/>
      <c r="AE55" s="149"/>
      <c r="AF55" s="190"/>
      <c r="AI55" s="257">
        <v>202</v>
      </c>
      <c r="AJ55" s="258" t="s">
        <v>392</v>
      </c>
      <c r="AK55" s="249"/>
      <c r="AL55"/>
      <c r="AM55"/>
      <c r="AN55"/>
      <c r="AO55"/>
      <c r="AP55"/>
      <c r="AQ55"/>
      <c r="AR55"/>
      <c r="AS55"/>
      <c r="AT55"/>
      <c r="AU55"/>
      <c r="AV55"/>
      <c r="AW55"/>
      <c r="AX55"/>
      <c r="AY55"/>
      <c r="AZ55"/>
      <c r="BA55"/>
      <c r="BB55"/>
      <c r="BC55"/>
      <c r="BD55"/>
    </row>
    <row r="56" spans="1:57" ht="29.25" customHeight="1" x14ac:dyDescent="0.2">
      <c r="A56" s="439"/>
      <c r="B56" s="189"/>
      <c r="C56" s="243"/>
      <c r="D56" s="421" t="s">
        <v>355</v>
      </c>
      <c r="E56" s="576" t="s">
        <v>368</v>
      </c>
      <c r="F56" s="577"/>
      <c r="G56" s="577"/>
      <c r="H56" s="578"/>
      <c r="I56" s="586" t="s">
        <v>384</v>
      </c>
      <c r="J56" s="587"/>
      <c r="K56" s="588"/>
      <c r="L56" s="431"/>
      <c r="M56" s="576" t="s">
        <v>356</v>
      </c>
      <c r="N56" s="577"/>
      <c r="O56" s="578"/>
      <c r="P56" s="615" t="s">
        <v>368</v>
      </c>
      <c r="Q56" s="615"/>
      <c r="R56" s="615"/>
      <c r="S56" s="586" t="s">
        <v>385</v>
      </c>
      <c r="T56" s="587"/>
      <c r="U56" s="588"/>
      <c r="V56" s="149"/>
      <c r="W56" s="430" t="s">
        <v>357</v>
      </c>
      <c r="X56" s="615" t="s">
        <v>368</v>
      </c>
      <c r="Y56" s="615"/>
      <c r="Z56" s="615"/>
      <c r="AA56" s="586" t="s">
        <v>384</v>
      </c>
      <c r="AB56" s="587"/>
      <c r="AC56" s="588"/>
      <c r="AD56" s="432"/>
      <c r="AE56" s="149"/>
      <c r="AF56" s="190"/>
      <c r="AI56" s="257">
        <v>203</v>
      </c>
      <c r="AJ56" s="258" t="s">
        <v>402</v>
      </c>
      <c r="AK56" s="249"/>
      <c r="AL56"/>
      <c r="AM56"/>
      <c r="AN56"/>
      <c r="AO56"/>
      <c r="AP56"/>
      <c r="AQ56"/>
      <c r="AR56"/>
      <c r="AS56"/>
      <c r="AT56"/>
      <c r="AU56"/>
      <c r="AV56"/>
      <c r="AW56"/>
      <c r="AX56"/>
      <c r="AY56"/>
      <c r="AZ56"/>
      <c r="BA56"/>
      <c r="BB56"/>
      <c r="BC56"/>
      <c r="BD56"/>
    </row>
    <row r="57" spans="1:57" ht="18" customHeight="1" x14ac:dyDescent="0.2">
      <c r="A57" s="439"/>
      <c r="B57" s="189"/>
      <c r="C57" s="243"/>
      <c r="D57" s="433" t="s">
        <v>224</v>
      </c>
      <c r="E57" s="589">
        <f>IF($AI$37=999,IF($AL23=TRUE,入力シート_クロロエチレン!$G$41,"－"),"－")</f>
        <v>2.7000000000000001E-3</v>
      </c>
      <c r="F57" s="590"/>
      <c r="G57" s="591" t="str">
        <f t="shared" ref="G57:G67" si="0">IF(E57="－","","mg/L")</f>
        <v>mg/L</v>
      </c>
      <c r="H57" s="592"/>
      <c r="I57" s="650">
        <f>IF($AI$37=999,IF($AL23=TRUE,入力シート_クロロエチレン!$K$41,"－"),"－")</f>
        <v>2.7000000000000001E-3</v>
      </c>
      <c r="J57" s="651"/>
      <c r="K57" s="438" t="str">
        <f t="shared" ref="K57:K67" si="1">IF(I57="－","","mg/L")</f>
        <v>mg/L</v>
      </c>
      <c r="L57" s="431"/>
      <c r="M57" s="585" t="s">
        <v>392</v>
      </c>
      <c r="N57" s="585"/>
      <c r="O57" s="585"/>
      <c r="P57" s="589">
        <f>IF($AI$37=999,IF($AL36=TRUE,入力シート_カドミウム!$G$41,"－"),"－")</f>
        <v>0.14000000000000001</v>
      </c>
      <c r="Q57" s="590"/>
      <c r="R57" s="438" t="str">
        <f t="shared" ref="R57:R65" si="2">IF(P57="－","","mg/L")</f>
        <v>mg/L</v>
      </c>
      <c r="S57" s="650">
        <f>IF($AI$37=999,IF($AL36=TRUE,入力シート_カドミウム!$K$41,"－"),"－")</f>
        <v>0.14000000000000001</v>
      </c>
      <c r="T57" s="651"/>
      <c r="U57" s="438" t="str">
        <f t="shared" ref="U57:U65" si="3">IF(S57="－","","mg/L")</f>
        <v>mg/L</v>
      </c>
      <c r="V57" s="149"/>
      <c r="W57" s="434" t="s">
        <v>255</v>
      </c>
      <c r="X57" s="589">
        <f>IF($AI$37=999,IF($AL44=TRUE,入力シート_シマジン!$G$41,"－"),"－")</f>
        <v>0.03</v>
      </c>
      <c r="Y57" s="590"/>
      <c r="Z57" s="438" t="str">
        <f>IF(X57="－","","mg/L")</f>
        <v>mg/L</v>
      </c>
      <c r="AA57" s="650">
        <f>IF($AI$37=999,IF($AL44=TRUE,入力シート_シマジン!$K$41,"－"),"－")</f>
        <v>0.03</v>
      </c>
      <c r="AB57" s="651"/>
      <c r="AC57" s="438" t="str">
        <f>IF(AA57="－","","mg/L")</f>
        <v>mg/L</v>
      </c>
      <c r="AD57" s="432"/>
      <c r="AE57" s="149"/>
      <c r="AF57" s="190"/>
      <c r="AI57" s="255">
        <v>204</v>
      </c>
      <c r="AJ57" s="256" t="s">
        <v>412</v>
      </c>
      <c r="AK57" s="249"/>
      <c r="AL57"/>
      <c r="AM57"/>
      <c r="AN57"/>
      <c r="AO57"/>
      <c r="AP57"/>
      <c r="AQ57"/>
      <c r="AR57"/>
      <c r="AS57"/>
      <c r="AT57"/>
      <c r="AU57"/>
      <c r="AV57"/>
      <c r="AW57"/>
      <c r="AX57"/>
      <c r="AY57"/>
      <c r="AZ57"/>
      <c r="BA57"/>
      <c r="BB57"/>
      <c r="BC57"/>
      <c r="BD57"/>
      <c r="BE57" s="152"/>
    </row>
    <row r="58" spans="1:57" ht="18" customHeight="1" x14ac:dyDescent="0.2">
      <c r="A58" s="439"/>
      <c r="B58" s="189"/>
      <c r="C58" s="243"/>
      <c r="D58" s="433" t="s">
        <v>309</v>
      </c>
      <c r="E58" s="589">
        <f>IF($AI$37=999,IF($AL25=TRUE,入力シート_四塩化炭素!$G$41,"－"),"－")</f>
        <v>3.3E-3</v>
      </c>
      <c r="F58" s="590"/>
      <c r="G58" s="591" t="str">
        <f t="shared" si="0"/>
        <v>mg/L</v>
      </c>
      <c r="H58" s="592"/>
      <c r="I58" s="650">
        <f>IF($AI$37=999,IF($AL25=TRUE,入力シート_四塩化炭素!$K$41,"－"),"－")</f>
        <v>3.3E-3</v>
      </c>
      <c r="J58" s="651"/>
      <c r="K58" s="438" t="str">
        <f t="shared" si="1"/>
        <v>mg/L</v>
      </c>
      <c r="L58" s="431"/>
      <c r="M58" s="585" t="s">
        <v>395</v>
      </c>
      <c r="N58" s="585"/>
      <c r="O58" s="585"/>
      <c r="P58" s="589">
        <f>IF($AI$37=999,IF($AL39=TRUE,入力シート_六価クロム!$G$41,"－"),"－")</f>
        <v>5.0999999999999997E-2</v>
      </c>
      <c r="Q58" s="590"/>
      <c r="R58" s="438" t="str">
        <f t="shared" si="2"/>
        <v>mg/L</v>
      </c>
      <c r="S58" s="650">
        <f>IF($AI$37=999,IF($AL39=TRUE,入力シート_六価クロム!$K$41,"－"),"－")</f>
        <v>5.0999999999999997E-2</v>
      </c>
      <c r="T58" s="651"/>
      <c r="U58" s="438" t="str">
        <f t="shared" si="3"/>
        <v>mg/L</v>
      </c>
      <c r="V58" s="149"/>
      <c r="W58" s="434" t="s">
        <v>259</v>
      </c>
      <c r="X58" s="589">
        <f>IF($AI$37=999,IF($AL46=TRUE,入力シート_チオベンカルブ!$G$41,"－"),"－")</f>
        <v>0.2</v>
      </c>
      <c r="Y58" s="590"/>
      <c r="Z58" s="438" t="str">
        <f>IF(X58="－","","mg/L")</f>
        <v>mg/L</v>
      </c>
      <c r="AA58" s="650">
        <f>IF($AI$37=999,IF($AL46=TRUE,入力シート_チオベンカルブ!$K$41,"－"),"－")</f>
        <v>0.2</v>
      </c>
      <c r="AB58" s="651"/>
      <c r="AC58" s="438" t="str">
        <f>IF(AA58="－","","mg/L")</f>
        <v>mg/L</v>
      </c>
      <c r="AD58" s="432"/>
      <c r="AE58" s="149"/>
      <c r="AF58" s="190"/>
      <c r="AI58" s="255">
        <v>205</v>
      </c>
      <c r="AJ58" s="256" t="s">
        <v>394</v>
      </c>
      <c r="AK58" s="250"/>
      <c r="AL58"/>
      <c r="AM58"/>
      <c r="AN58"/>
      <c r="AO58"/>
      <c r="AP58"/>
      <c r="AQ58"/>
      <c r="AR58"/>
      <c r="AS58"/>
      <c r="AT58"/>
      <c r="AU58"/>
      <c r="AV58"/>
      <c r="AW58"/>
      <c r="AX58"/>
      <c r="AY58"/>
      <c r="AZ58"/>
      <c r="BA58"/>
      <c r="BB58"/>
      <c r="BC58"/>
      <c r="BD58"/>
      <c r="BE58" s="152"/>
    </row>
    <row r="59" spans="1:57" ht="18" customHeight="1" x14ac:dyDescent="0.2">
      <c r="A59" s="439"/>
      <c r="B59" s="189"/>
      <c r="C59" s="243"/>
      <c r="D59" s="433" t="s">
        <v>326</v>
      </c>
      <c r="E59" s="589">
        <f>IF($AI$37=999,IF($AL26=TRUE,入力シート_1・2・ジクロロエタン!$G$41,"－"),"－")</f>
        <v>1.0999999999999999E-2</v>
      </c>
      <c r="F59" s="590"/>
      <c r="G59" s="591" t="str">
        <f t="shared" si="0"/>
        <v>mg/L</v>
      </c>
      <c r="H59" s="592"/>
      <c r="I59" s="650">
        <f>IF($AI$37=999,IF($AL26=TRUE,入力シート_1・2・ジクロロエタン!$K$41,"－"),"－")</f>
        <v>1.0999999999999999E-2</v>
      </c>
      <c r="J59" s="651"/>
      <c r="K59" s="438" t="str">
        <f t="shared" si="1"/>
        <v>mg/L</v>
      </c>
      <c r="L59" s="431"/>
      <c r="M59" s="585" t="s">
        <v>398</v>
      </c>
      <c r="N59" s="585"/>
      <c r="O59" s="585"/>
      <c r="P59" s="589">
        <f>IF($AI$37=999,IF($AL43=TRUE,入力シート_シアン!$G$41,"－"),"－")</f>
        <v>0.95</v>
      </c>
      <c r="Q59" s="590"/>
      <c r="R59" s="438" t="str">
        <f t="shared" si="2"/>
        <v>mg/L</v>
      </c>
      <c r="S59" s="650">
        <f>IF($AI$37=999,IF($AL43=TRUE,入力シート_シアン!$K$41,"－"),"－")</f>
        <v>0.95</v>
      </c>
      <c r="T59" s="651"/>
      <c r="U59" s="438" t="str">
        <f t="shared" si="3"/>
        <v>mg/L</v>
      </c>
      <c r="V59" s="149"/>
      <c r="W59" s="434" t="s">
        <v>257</v>
      </c>
      <c r="X59" s="589">
        <f>IF($AI$37=999,IF($AL45=TRUE,入力シート_チウラム!$G$41,"－"),"－")</f>
        <v>0.06</v>
      </c>
      <c r="Y59" s="590"/>
      <c r="Z59" s="438" t="str">
        <f>IF(X59="－","","mg/L")</f>
        <v>mg/L</v>
      </c>
      <c r="AA59" s="650">
        <f>IF($AI$37=999,IF($AL45=TRUE,入力シート_チウラム!$K$41,"－"),"－")</f>
        <v>0.06</v>
      </c>
      <c r="AB59" s="651"/>
      <c r="AC59" s="438" t="str">
        <f>IF(AA59="－","","mg/L")</f>
        <v>mg/L</v>
      </c>
      <c r="AD59" s="432"/>
      <c r="AE59" s="149"/>
      <c r="AF59" s="190"/>
      <c r="AI59" s="255">
        <v>206</v>
      </c>
      <c r="AJ59" s="256" t="s">
        <v>417</v>
      </c>
      <c r="AK59" s="250"/>
      <c r="AL59"/>
      <c r="AM59"/>
      <c r="AN59"/>
      <c r="AO59"/>
      <c r="AP59"/>
      <c r="AQ59"/>
      <c r="AR59"/>
      <c r="AS59"/>
      <c r="AT59"/>
      <c r="AU59"/>
      <c r="AV59"/>
      <c r="AW59"/>
      <c r="AX59"/>
      <c r="AY59"/>
      <c r="AZ59"/>
      <c r="BA59"/>
      <c r="BB59"/>
      <c r="BC59"/>
      <c r="BD59"/>
    </row>
    <row r="60" spans="1:57" ht="18" customHeight="1" x14ac:dyDescent="0.2">
      <c r="A60" s="439"/>
      <c r="B60" s="189"/>
      <c r="C60" s="243"/>
      <c r="D60" s="433" t="s">
        <v>229</v>
      </c>
      <c r="E60" s="589">
        <f>IF($AI$37=999,IF($AL27=TRUE,入力シート_1・1・ジクロロエチレン!$G$41,"－"),"－")</f>
        <v>0.13</v>
      </c>
      <c r="F60" s="590"/>
      <c r="G60" s="591" t="str">
        <f t="shared" si="0"/>
        <v>mg/L</v>
      </c>
      <c r="H60" s="592"/>
      <c r="I60" s="650">
        <f>IF($AI$37=999,IF($AL27=TRUE,入力シート_1・1・ジクロロエチレン!$K$41,"－"),"－")</f>
        <v>0.13</v>
      </c>
      <c r="J60" s="651"/>
      <c r="K60" s="438" t="str">
        <f t="shared" si="1"/>
        <v>mg/L</v>
      </c>
      <c r="L60" s="431"/>
      <c r="M60" s="585" t="s">
        <v>400</v>
      </c>
      <c r="N60" s="585"/>
      <c r="O60" s="585"/>
      <c r="P60" s="589">
        <f>IF($AI$37=999,IF($AL37=TRUE,入力シート_水銀!$G$41,"－"),"－")</f>
        <v>2.2000000000000001E-3</v>
      </c>
      <c r="Q60" s="590"/>
      <c r="R60" s="438" t="str">
        <f t="shared" si="2"/>
        <v>mg/L</v>
      </c>
      <c r="S60" s="650">
        <f>IF($AI$37=999,IF($AL37=TRUE,入力シート_水銀!$K$41,"－"),"－")</f>
        <v>2.2000000000000001E-3</v>
      </c>
      <c r="T60" s="651"/>
      <c r="U60" s="438" t="str">
        <f t="shared" si="3"/>
        <v>mg/L</v>
      </c>
      <c r="V60" s="149"/>
      <c r="W60" s="434" t="s">
        <v>376</v>
      </c>
      <c r="X60" s="589">
        <f>IF($AI$37=999,IF($AL47=TRUE,入力シート_PCB!$G$41,"－"),"－")</f>
        <v>3.0000000000000001E-3</v>
      </c>
      <c r="Y60" s="590"/>
      <c r="Z60" s="438" t="str">
        <f t="shared" ref="Z60:Z61" si="4">IF(X60="－","","mg/L")</f>
        <v>mg/L</v>
      </c>
      <c r="AA60" s="650">
        <f>IF($AI$37=999,IF($AL47=TRUE,入力シート_PCB!$K$41,"－"),"－")</f>
        <v>3.0000000000000001E-3</v>
      </c>
      <c r="AB60" s="651"/>
      <c r="AC60" s="438" t="str">
        <f t="shared" ref="AC60:AC61" si="5">IF(AA60="－","","mg/L")</f>
        <v>mg/L</v>
      </c>
      <c r="AD60" s="432"/>
      <c r="AE60" s="149"/>
      <c r="AF60" s="190"/>
      <c r="AI60" s="255">
        <v>207</v>
      </c>
      <c r="AJ60" s="256" t="s">
        <v>421</v>
      </c>
      <c r="AK60" s="249"/>
      <c r="AL60"/>
      <c r="AM60"/>
      <c r="AN60"/>
      <c r="AO60"/>
      <c r="AP60"/>
      <c r="AQ60"/>
      <c r="AR60"/>
      <c r="AS60"/>
      <c r="AT60"/>
      <c r="AU60"/>
      <c r="AV60"/>
      <c r="AW60"/>
      <c r="AX60"/>
      <c r="AY60"/>
      <c r="AZ60"/>
      <c r="BA60"/>
      <c r="BB60"/>
      <c r="BC60"/>
      <c r="BD60"/>
    </row>
    <row r="61" spans="1:57" ht="18" customHeight="1" x14ac:dyDescent="0.2">
      <c r="A61" s="439"/>
      <c r="B61" s="189"/>
      <c r="C61" s="243"/>
      <c r="D61" s="433" t="s">
        <v>367</v>
      </c>
      <c r="E61" s="589">
        <f>IF($AI$37=999,IF($AL28=TRUE,入力シート_1・2・ジクロロエチレン!$G$41,"－"),"－")</f>
        <v>5.3999999999999999E-2</v>
      </c>
      <c r="F61" s="590"/>
      <c r="G61" s="591" t="str">
        <f t="shared" si="0"/>
        <v>mg/L</v>
      </c>
      <c r="H61" s="592"/>
      <c r="I61" s="650">
        <f>IF($AI$37=999,IF($AL28=TRUE,入力シート_1・2・ジクロロエチレン!$K$41,"－"),"－")</f>
        <v>5.3999999999999999E-2</v>
      </c>
      <c r="J61" s="651"/>
      <c r="K61" s="438" t="str">
        <f t="shared" si="1"/>
        <v>mg/L</v>
      </c>
      <c r="L61" s="431"/>
      <c r="M61" s="585" t="s">
        <v>404</v>
      </c>
      <c r="N61" s="585"/>
      <c r="O61" s="585"/>
      <c r="P61" s="589">
        <f>IF($AI$37=999,IF($AL42=TRUE,入力シート_セレン!$G$41,"－"),"－")</f>
        <v>1.7000000000000001E-2</v>
      </c>
      <c r="Q61" s="590"/>
      <c r="R61" s="438" t="str">
        <f t="shared" si="2"/>
        <v>mg/L</v>
      </c>
      <c r="S61" s="650">
        <f>IF($AI$37=999,IF($AL42=TRUE,入力シート_セレン!$K$41,"－"),"－")</f>
        <v>1.7000000000000001E-2</v>
      </c>
      <c r="T61" s="651"/>
      <c r="U61" s="438" t="str">
        <f t="shared" si="3"/>
        <v>mg/L</v>
      </c>
      <c r="V61" s="149"/>
      <c r="W61" s="434" t="s">
        <v>428</v>
      </c>
      <c r="X61" s="589">
        <f>IF($AI$37=999,IF($AL48=TRUE,入力シート_有機リン!$G$41,"－"),"－")</f>
        <v>1</v>
      </c>
      <c r="Y61" s="590"/>
      <c r="Z61" s="438" t="str">
        <f t="shared" si="4"/>
        <v>mg/L</v>
      </c>
      <c r="AA61" s="650">
        <f>IF($AI$37=999,IF($AL48=TRUE,入力シート_有機リン!$K$41,"－"),"－")</f>
        <v>1</v>
      </c>
      <c r="AB61" s="651"/>
      <c r="AC61" s="438" t="str">
        <f t="shared" si="5"/>
        <v>mg/L</v>
      </c>
      <c r="AD61" s="432"/>
      <c r="AE61" s="149"/>
      <c r="AF61" s="190"/>
      <c r="AI61" s="255">
        <v>208</v>
      </c>
      <c r="AJ61" s="256" t="s">
        <v>404</v>
      </c>
      <c r="AK61" s="249"/>
      <c r="AL61"/>
      <c r="AM61"/>
      <c r="AN61"/>
      <c r="AO61"/>
      <c r="AP61"/>
      <c r="AQ61"/>
      <c r="AR61"/>
      <c r="AS61"/>
      <c r="AT61"/>
      <c r="AU61"/>
      <c r="AV61"/>
      <c r="AW61"/>
      <c r="AX61"/>
      <c r="AY61"/>
      <c r="AZ61"/>
      <c r="BA61"/>
      <c r="BB61"/>
      <c r="BC61"/>
      <c r="BD61"/>
    </row>
    <row r="62" spans="1:57" ht="18" customHeight="1" x14ac:dyDescent="0.2">
      <c r="A62" s="439"/>
      <c r="B62" s="189"/>
      <c r="C62" s="243"/>
      <c r="D62" s="433" t="s">
        <v>242</v>
      </c>
      <c r="E62" s="589">
        <f>IF($AI$37=999,IF($AL33=TRUE,入力シート_1・3・ジクロロプロペン!$G$41,"－"),"－")</f>
        <v>0.02</v>
      </c>
      <c r="F62" s="590"/>
      <c r="G62" s="591" t="str">
        <f t="shared" si="0"/>
        <v>mg/L</v>
      </c>
      <c r="H62" s="592"/>
      <c r="I62" s="650">
        <f>IF($AI$37=999,IF($AL33=TRUE,入力シート_1・3・ジクロロプロペン!$K$41,"－"),"－")</f>
        <v>0.02</v>
      </c>
      <c r="J62" s="651"/>
      <c r="K62" s="438" t="str">
        <f t="shared" si="1"/>
        <v>mg/L</v>
      </c>
      <c r="L62" s="431"/>
      <c r="M62" s="585" t="s">
        <v>408</v>
      </c>
      <c r="N62" s="585"/>
      <c r="O62" s="585"/>
      <c r="P62" s="589">
        <f>IF($AI$37=999,IF($AL35=TRUE,入力シート_鉛!$G$41,"－"),"－")</f>
        <v>9.9000000000000005E-2</v>
      </c>
      <c r="Q62" s="590"/>
      <c r="R62" s="438" t="str">
        <f t="shared" si="2"/>
        <v>mg/L</v>
      </c>
      <c r="S62" s="650">
        <f>IF($AI$37=999,IF($AL35=TRUE,入力シート_鉛!$K$41,"－"),"－")</f>
        <v>9.9000000000000005E-2</v>
      </c>
      <c r="T62" s="651"/>
      <c r="U62" s="438" t="str">
        <f t="shared" si="3"/>
        <v>mg/L</v>
      </c>
      <c r="V62" s="431"/>
      <c r="W62" s="431"/>
      <c r="X62" s="431"/>
      <c r="Y62" s="431"/>
      <c r="Z62" s="431"/>
      <c r="AA62" s="431"/>
      <c r="AB62" s="431"/>
      <c r="AC62" s="431"/>
      <c r="AD62" s="432"/>
      <c r="AE62" s="149"/>
      <c r="AF62" s="190"/>
      <c r="AI62" s="255">
        <v>209</v>
      </c>
      <c r="AJ62" s="256" t="s">
        <v>398</v>
      </c>
      <c r="AK62" s="249"/>
      <c r="AL62"/>
      <c r="AM62"/>
      <c r="AN62"/>
      <c r="AO62"/>
      <c r="AP62"/>
      <c r="AQ62"/>
      <c r="AR62"/>
      <c r="AS62"/>
      <c r="AT62"/>
      <c r="AU62"/>
      <c r="AV62"/>
      <c r="AW62"/>
      <c r="AX62"/>
      <c r="AY62"/>
      <c r="AZ62"/>
      <c r="BA62"/>
      <c r="BB62"/>
      <c r="BC62"/>
      <c r="BD62"/>
    </row>
    <row r="63" spans="1:57" ht="18" customHeight="1" x14ac:dyDescent="0.2">
      <c r="A63" s="439"/>
      <c r="B63" s="189"/>
      <c r="C63" s="243"/>
      <c r="D63" s="433" t="s">
        <v>322</v>
      </c>
      <c r="E63" s="589">
        <f>IF($AI$37=999,IF($AL24=TRUE,入力シート_ジクロロメタン!$G$41,"－"),"－")</f>
        <v>3.3000000000000002E-2</v>
      </c>
      <c r="F63" s="590"/>
      <c r="G63" s="591" t="str">
        <f t="shared" si="0"/>
        <v>mg/L</v>
      </c>
      <c r="H63" s="592"/>
      <c r="I63" s="650">
        <f>IF($AI$37=999,IF($AL24=TRUE,入力シート_ジクロロメタン!$K$41,"－"),"－")</f>
        <v>3.3000000000000002E-2</v>
      </c>
      <c r="J63" s="651"/>
      <c r="K63" s="438" t="str">
        <f t="shared" si="1"/>
        <v>mg/L</v>
      </c>
      <c r="L63" s="431"/>
      <c r="M63" s="585" t="s">
        <v>411</v>
      </c>
      <c r="N63" s="585"/>
      <c r="O63" s="585"/>
      <c r="P63" s="589">
        <f>IF($AI$37=999,IF($AL38=TRUE,入力シート_砒素!$G$41,"－"),"－")</f>
        <v>1.2999999999999999E-2</v>
      </c>
      <c r="Q63" s="590"/>
      <c r="R63" s="438" t="str">
        <f t="shared" si="2"/>
        <v>mg/L</v>
      </c>
      <c r="S63" s="650">
        <f>IF($AI$37=999,IF($AL38=TRUE,入力シート_砒素!$K$41,"－"),"－")</f>
        <v>1.2999999999999999E-2</v>
      </c>
      <c r="T63" s="651"/>
      <c r="U63" s="438" t="str">
        <f t="shared" si="3"/>
        <v>mg/L</v>
      </c>
      <c r="V63" s="431"/>
      <c r="W63" s="431"/>
      <c r="X63" s="431"/>
      <c r="Y63" s="431"/>
      <c r="Z63" s="431"/>
      <c r="AA63" s="431"/>
      <c r="AB63" s="431"/>
      <c r="AC63" s="431"/>
      <c r="AD63" s="432"/>
      <c r="AE63" s="149"/>
      <c r="AF63" s="190"/>
      <c r="AI63" s="255">
        <v>301</v>
      </c>
      <c r="AJ63" s="256" t="s">
        <v>256</v>
      </c>
      <c r="AK63" s="249"/>
      <c r="AL63"/>
      <c r="AM63"/>
      <c r="AN63"/>
      <c r="AO63"/>
      <c r="AP63"/>
      <c r="AQ63"/>
      <c r="AR63"/>
      <c r="AS63"/>
      <c r="AT63"/>
      <c r="AU63"/>
      <c r="AV63"/>
      <c r="AW63"/>
      <c r="AX63"/>
      <c r="AY63"/>
      <c r="AZ63"/>
      <c r="BA63"/>
      <c r="BB63"/>
      <c r="BC63"/>
      <c r="BD63"/>
    </row>
    <row r="64" spans="1:57" ht="18" customHeight="1" x14ac:dyDescent="0.2">
      <c r="A64" s="439"/>
      <c r="B64" s="189"/>
      <c r="C64" s="243"/>
      <c r="D64" s="433" t="s">
        <v>240</v>
      </c>
      <c r="E64" s="589">
        <f>IF($AI$37=999,IF($AL32=TRUE,入力シート_テトラクロロエチレン!$G$41,"－"),"－")</f>
        <v>1.2999999999999999E-2</v>
      </c>
      <c r="F64" s="590"/>
      <c r="G64" s="591" t="str">
        <f t="shared" si="0"/>
        <v>mg/L</v>
      </c>
      <c r="H64" s="592"/>
      <c r="I64" s="650">
        <f>IF($AI$37=999,IF($AL32=TRUE,入力シート_テトラクロロエチレン!$K$41,"－"),"－")</f>
        <v>1.2999999999999999E-2</v>
      </c>
      <c r="J64" s="651"/>
      <c r="K64" s="438" t="str">
        <f t="shared" si="1"/>
        <v>mg/L</v>
      </c>
      <c r="L64" s="431"/>
      <c r="M64" s="585" t="s">
        <v>417</v>
      </c>
      <c r="N64" s="585"/>
      <c r="O64" s="585"/>
      <c r="P64" s="589">
        <f>IF($AI$37=999,IF($AL40=TRUE,入力シート_ふっ素!$G$41,"－"),"－")</f>
        <v>0.82</v>
      </c>
      <c r="Q64" s="590"/>
      <c r="R64" s="438" t="str">
        <f t="shared" si="2"/>
        <v>mg/L</v>
      </c>
      <c r="S64" s="650">
        <f>IF($AI$37=999,IF($AL40=TRUE,入力シート_ふっ素!$K$41,"－"),"－")</f>
        <v>0.82</v>
      </c>
      <c r="T64" s="651"/>
      <c r="U64" s="438" t="str">
        <f t="shared" si="3"/>
        <v>mg/L</v>
      </c>
      <c r="V64" s="431"/>
      <c r="W64" s="431"/>
      <c r="X64" s="431"/>
      <c r="Y64" s="431"/>
      <c r="Z64" s="431"/>
      <c r="AA64" s="431"/>
      <c r="AB64" s="431"/>
      <c r="AC64" s="431"/>
      <c r="AD64" s="432"/>
      <c r="AE64" s="149"/>
      <c r="AF64" s="190"/>
      <c r="AI64" s="255">
        <v>302</v>
      </c>
      <c r="AJ64" s="256" t="s">
        <v>258</v>
      </c>
      <c r="AK64" s="249"/>
      <c r="AL64"/>
      <c r="AM64"/>
      <c r="AN64"/>
      <c r="AO64"/>
      <c r="AP64"/>
      <c r="AQ64"/>
      <c r="AR64"/>
      <c r="AS64"/>
      <c r="AT64"/>
      <c r="AU64"/>
      <c r="AV64"/>
      <c r="AW64"/>
      <c r="AX64"/>
      <c r="AY64"/>
      <c r="AZ64"/>
      <c r="BA64"/>
      <c r="BB64"/>
      <c r="BC64"/>
      <c r="BD64"/>
    </row>
    <row r="65" spans="1:56" ht="18" customHeight="1" x14ac:dyDescent="0.2">
      <c r="A65" s="439"/>
      <c r="B65" s="189"/>
      <c r="C65" s="243"/>
      <c r="D65" s="433" t="s">
        <v>234</v>
      </c>
      <c r="E65" s="589">
        <f>IF($AI$37=999,IF($AL29=TRUE,入力シート_1・1・1・トリクロロエタン!$G$41,"－"),"－")</f>
        <v>2.8</v>
      </c>
      <c r="F65" s="590"/>
      <c r="G65" s="591" t="str">
        <f t="shared" si="0"/>
        <v>mg/L</v>
      </c>
      <c r="H65" s="592"/>
      <c r="I65" s="650">
        <f>IF($AI$37=999,IF($AL29=TRUE,入力シート_1・1・1・トリクロロエタン!$K$41,"－"),"－")</f>
        <v>2.8</v>
      </c>
      <c r="J65" s="651"/>
      <c r="K65" s="438" t="str">
        <f t="shared" si="1"/>
        <v>mg/L</v>
      </c>
      <c r="L65" s="431"/>
      <c r="M65" s="585" t="s">
        <v>421</v>
      </c>
      <c r="N65" s="585"/>
      <c r="O65" s="585"/>
      <c r="P65" s="589">
        <f>IF($AI$37=999,IF($AL41=TRUE,入力シート_ほう素!$G$41,"－"),"－")</f>
        <v>1</v>
      </c>
      <c r="Q65" s="590"/>
      <c r="R65" s="438" t="str">
        <f t="shared" si="2"/>
        <v>mg/L</v>
      </c>
      <c r="S65" s="650">
        <f>IF($AI$37=999,IF($AL41=TRUE,入力シート_ほう素!$K$41,"－"),"－")</f>
        <v>1</v>
      </c>
      <c r="T65" s="651"/>
      <c r="U65" s="438" t="str">
        <f t="shared" si="3"/>
        <v>mg/L</v>
      </c>
      <c r="V65" s="431"/>
      <c r="W65" s="431"/>
      <c r="X65" s="431"/>
      <c r="Y65" s="431"/>
      <c r="Z65" s="431"/>
      <c r="AA65" s="431"/>
      <c r="AB65" s="431"/>
      <c r="AC65" s="431"/>
      <c r="AD65" s="432"/>
      <c r="AE65" s="149"/>
      <c r="AF65" s="190"/>
      <c r="AI65" s="255">
        <v>303</v>
      </c>
      <c r="AJ65" s="256" t="s">
        <v>260</v>
      </c>
      <c r="AK65" s="249"/>
      <c r="AL65"/>
      <c r="AM65"/>
      <c r="AN65"/>
      <c r="AO65"/>
      <c r="AP65"/>
      <c r="AQ65"/>
      <c r="AR65"/>
      <c r="AS65"/>
      <c r="AT65"/>
      <c r="AU65"/>
      <c r="AV65"/>
      <c r="AW65"/>
      <c r="AX65"/>
      <c r="AY65"/>
      <c r="AZ65"/>
      <c r="BA65"/>
      <c r="BB65"/>
      <c r="BC65"/>
      <c r="BD65"/>
    </row>
    <row r="66" spans="1:56" ht="18" customHeight="1" x14ac:dyDescent="0.2">
      <c r="A66" s="439"/>
      <c r="B66" s="189"/>
      <c r="C66" s="243"/>
      <c r="D66" s="433" t="s">
        <v>236</v>
      </c>
      <c r="E66" s="589">
        <f>IF($AI$37=999,IF($AL30=TRUE,入力シート_1・1・2・トリクロロエタン!$G$41,"－"),"－")</f>
        <v>1.6E-2</v>
      </c>
      <c r="F66" s="590"/>
      <c r="G66" s="591" t="str">
        <f t="shared" si="0"/>
        <v>mg/L</v>
      </c>
      <c r="H66" s="592"/>
      <c r="I66" s="650">
        <f>IF($AI$37=999,IF($AL30=TRUE,入力シート_1・1・2・トリクロロエタン!$K$41,"－"),"－")</f>
        <v>1.6E-2</v>
      </c>
      <c r="J66" s="651"/>
      <c r="K66" s="438" t="str">
        <f t="shared" si="1"/>
        <v>mg/L</v>
      </c>
      <c r="L66" s="431"/>
      <c r="V66" s="431"/>
      <c r="W66" s="431"/>
      <c r="X66" s="431"/>
      <c r="Y66" s="431"/>
      <c r="Z66" s="431"/>
      <c r="AA66" s="431"/>
      <c r="AB66" s="431"/>
      <c r="AC66" s="431"/>
      <c r="AD66" s="432"/>
      <c r="AE66" s="149"/>
      <c r="AF66" s="190"/>
      <c r="AI66" s="255">
        <v>304</v>
      </c>
      <c r="AJ66" s="256" t="s">
        <v>262</v>
      </c>
      <c r="AK66" s="249"/>
      <c r="AL66"/>
      <c r="AM66"/>
      <c r="AN66"/>
      <c r="AO66"/>
      <c r="AP66"/>
      <c r="AQ66"/>
      <c r="AR66"/>
      <c r="AS66"/>
      <c r="AT66"/>
      <c r="AU66"/>
      <c r="AV66"/>
      <c r="AW66"/>
      <c r="AX66"/>
      <c r="AY66"/>
      <c r="AZ66"/>
      <c r="BA66"/>
      <c r="BB66"/>
      <c r="BC66"/>
      <c r="BD66"/>
    </row>
    <row r="67" spans="1:56" ht="18" customHeight="1" thickBot="1" x14ac:dyDescent="0.25">
      <c r="A67" s="439"/>
      <c r="B67" s="189"/>
      <c r="C67" s="243"/>
      <c r="D67" s="433" t="s">
        <v>238</v>
      </c>
      <c r="E67" s="589">
        <f>IF($AI$37=999,IF($AL31=TRUE,入力シート_トリクロロエチレン!$G$41,"－"),"－")</f>
        <v>0.04</v>
      </c>
      <c r="F67" s="590"/>
      <c r="G67" s="591" t="str">
        <f t="shared" si="0"/>
        <v>mg/L</v>
      </c>
      <c r="H67" s="592"/>
      <c r="I67" s="650">
        <f>IF($AI$37=999,IF($AL31=TRUE,入力シート_トリクロロエチレン!$K$41,"－"),"－")</f>
        <v>0.04</v>
      </c>
      <c r="J67" s="651"/>
      <c r="K67" s="438" t="str">
        <f t="shared" si="1"/>
        <v>mg/L</v>
      </c>
      <c r="L67" s="431"/>
      <c r="V67" s="431"/>
      <c r="W67" s="431"/>
      <c r="X67" s="431"/>
      <c r="Y67" s="431"/>
      <c r="Z67" s="431"/>
      <c r="AA67" s="431"/>
      <c r="AB67" s="431"/>
      <c r="AC67" s="431"/>
      <c r="AD67" s="432"/>
      <c r="AE67" s="149"/>
      <c r="AF67" s="190"/>
      <c r="AI67" s="259">
        <v>305</v>
      </c>
      <c r="AJ67" s="260" t="s">
        <v>429</v>
      </c>
      <c r="AK67" s="249"/>
      <c r="AL67"/>
      <c r="AM67"/>
      <c r="AN67"/>
      <c r="AO67"/>
      <c r="AP67"/>
      <c r="AQ67"/>
      <c r="AR67"/>
      <c r="AS67"/>
      <c r="AT67"/>
      <c r="AU67"/>
      <c r="AV67"/>
      <c r="AW67"/>
      <c r="AX67"/>
      <c r="AY67"/>
      <c r="AZ67"/>
      <c r="BA67"/>
      <c r="BB67"/>
      <c r="BC67"/>
      <c r="BD67"/>
    </row>
    <row r="68" spans="1:56" ht="18" customHeight="1" x14ac:dyDescent="0.2">
      <c r="A68" s="439"/>
      <c r="B68" s="189"/>
      <c r="C68" s="243"/>
      <c r="D68" s="433" t="s">
        <v>244</v>
      </c>
      <c r="E68" s="589">
        <f>IF($AI$37=999,IF($AL34=TRUE,入力シート_ベンゼン!$G$41,"－"),"－")</f>
        <v>2.8000000000000001E-2</v>
      </c>
      <c r="F68" s="590"/>
      <c r="G68" s="591" t="str">
        <f t="shared" ref="G68" si="6">IF(E68="－","","mg/L")</f>
        <v>mg/L</v>
      </c>
      <c r="H68" s="592"/>
      <c r="I68" s="650">
        <f>IF($AI$37=999,IF($AL34=TRUE,入力シート_ベンゼン!$K$41,"－"),"－")</f>
        <v>2.8000000000000001E-2</v>
      </c>
      <c r="J68" s="651"/>
      <c r="K68" s="438" t="str">
        <f t="shared" ref="K68" si="7">IF(I68="－","","mg/L")</f>
        <v>mg/L</v>
      </c>
      <c r="L68" s="431"/>
      <c r="M68" s="431"/>
      <c r="N68" s="431"/>
      <c r="O68" s="431"/>
      <c r="P68" s="431"/>
      <c r="Q68" s="431"/>
      <c r="R68" s="431"/>
      <c r="S68" s="431"/>
      <c r="T68" s="431"/>
      <c r="U68" s="431"/>
      <c r="V68" s="431"/>
      <c r="W68" s="431"/>
      <c r="X68" s="431"/>
      <c r="Y68" s="431"/>
      <c r="Z68" s="431"/>
      <c r="AA68" s="431"/>
      <c r="AB68" s="431"/>
      <c r="AC68" s="431"/>
      <c r="AD68" s="432"/>
      <c r="AE68" s="149"/>
      <c r="AF68" s="190"/>
      <c r="AK68" s="249"/>
      <c r="AL68"/>
      <c r="AM68"/>
      <c r="AN68"/>
      <c r="AO68"/>
      <c r="AP68"/>
      <c r="AQ68"/>
      <c r="AR68"/>
      <c r="AS68"/>
      <c r="AT68"/>
      <c r="AU68"/>
      <c r="AV68"/>
      <c r="AW68"/>
      <c r="AX68"/>
      <c r="AY68"/>
      <c r="AZ68"/>
      <c r="BA68"/>
      <c r="BB68"/>
      <c r="BC68"/>
      <c r="BD68"/>
    </row>
    <row r="69" spans="1:56" ht="13.5" customHeight="1" thickBot="1" x14ac:dyDescent="0.25">
      <c r="A69" s="179"/>
      <c r="B69" s="189"/>
      <c r="C69" s="245"/>
      <c r="D69" s="246"/>
      <c r="E69" s="246"/>
      <c r="F69" s="246"/>
      <c r="G69" s="246"/>
      <c r="H69" s="246"/>
      <c r="I69" s="246"/>
      <c r="J69" s="300"/>
      <c r="K69" s="300"/>
      <c r="L69" s="301"/>
      <c r="M69" s="246"/>
      <c r="N69" s="246"/>
      <c r="O69" s="246"/>
      <c r="P69" s="246"/>
      <c r="Q69" s="246"/>
      <c r="R69" s="246"/>
      <c r="S69" s="246"/>
      <c r="T69" s="246"/>
      <c r="U69" s="246"/>
      <c r="V69" s="246"/>
      <c r="W69" s="246"/>
      <c r="X69" s="246"/>
      <c r="Y69" s="246"/>
      <c r="Z69" s="246"/>
      <c r="AA69" s="246"/>
      <c r="AB69" s="246"/>
      <c r="AC69" s="246"/>
      <c r="AD69" s="247"/>
      <c r="AE69" s="189"/>
      <c r="AF69" s="190"/>
      <c r="AL69"/>
      <c r="AM69"/>
      <c r="AN69"/>
      <c r="AO69"/>
      <c r="AP69"/>
      <c r="AQ69"/>
      <c r="AR69"/>
      <c r="AS69"/>
      <c r="AT69"/>
      <c r="AU69"/>
      <c r="AV69"/>
      <c r="AW69"/>
      <c r="AX69"/>
      <c r="AY69"/>
      <c r="AZ69"/>
      <c r="BA69"/>
      <c r="BB69"/>
      <c r="BC69"/>
      <c r="BD69"/>
    </row>
    <row r="70" spans="1:56" ht="14.25" customHeight="1" thickBot="1" x14ac:dyDescent="0.25">
      <c r="A70" s="180"/>
      <c r="B70" s="160"/>
      <c r="C70" s="160"/>
      <c r="D70" s="160"/>
      <c r="E70" s="160"/>
      <c r="F70" s="160"/>
      <c r="G70" s="160"/>
      <c r="H70" s="160"/>
      <c r="I70" s="426"/>
      <c r="J70" s="160"/>
      <c r="K70" s="426"/>
      <c r="L70" s="426"/>
      <c r="M70" s="160"/>
      <c r="N70" s="160"/>
      <c r="O70" s="160"/>
      <c r="P70" s="426"/>
      <c r="Q70" s="426"/>
      <c r="R70" s="426"/>
      <c r="S70" s="426"/>
      <c r="T70" s="426"/>
      <c r="U70" s="426"/>
      <c r="V70" s="160"/>
      <c r="W70" s="160"/>
      <c r="X70" s="160"/>
      <c r="Y70" s="426"/>
      <c r="Z70" s="426"/>
      <c r="AA70" s="160"/>
      <c r="AB70" s="426"/>
      <c r="AC70" s="426"/>
      <c r="AD70" s="160"/>
      <c r="AE70" s="160"/>
      <c r="AF70" s="161"/>
      <c r="AL70"/>
      <c r="AM70"/>
      <c r="AN70"/>
      <c r="AO70"/>
      <c r="AP70"/>
      <c r="AQ70"/>
      <c r="AR70"/>
      <c r="AS70"/>
      <c r="AT70"/>
      <c r="AU70"/>
      <c r="AV70"/>
      <c r="AW70"/>
      <c r="AX70"/>
      <c r="AY70"/>
      <c r="AZ70"/>
      <c r="BA70"/>
      <c r="BB70"/>
      <c r="BC70"/>
      <c r="BD70"/>
    </row>
    <row r="71" spans="1:56" x14ac:dyDescent="0.2">
      <c r="A71" s="149"/>
      <c r="B71" s="149"/>
      <c r="C71" s="149"/>
      <c r="S71" s="149"/>
      <c r="T71" s="149"/>
      <c r="U71" s="149"/>
      <c r="AF71" s="150"/>
      <c r="AH71" s="269" t="s">
        <v>310</v>
      </c>
      <c r="AI71" s="270">
        <v>5</v>
      </c>
      <c r="AJ71" s="261" t="s">
        <v>235</v>
      </c>
      <c r="AK71" s="262">
        <v>108</v>
      </c>
      <c r="AL71"/>
      <c r="AM71"/>
      <c r="AN71"/>
      <c r="AO71"/>
      <c r="AP71"/>
      <c r="AQ71"/>
      <c r="AR71"/>
      <c r="AS71"/>
      <c r="AT71"/>
      <c r="AU71"/>
      <c r="AV71"/>
      <c r="AW71"/>
      <c r="AX71"/>
      <c r="AY71"/>
      <c r="AZ71"/>
      <c r="BA71"/>
      <c r="BB71"/>
      <c r="BC71"/>
      <c r="BD71"/>
    </row>
    <row r="72" spans="1:56" x14ac:dyDescent="0.2">
      <c r="A72" s="150"/>
      <c r="B72" s="149"/>
      <c r="C72" s="149"/>
      <c r="AF72" s="150"/>
      <c r="AH72" s="346" t="s">
        <v>266</v>
      </c>
      <c r="AI72" s="348">
        <v>1</v>
      </c>
      <c r="AJ72" s="255" t="s">
        <v>237</v>
      </c>
      <c r="AK72" s="256">
        <v>109</v>
      </c>
      <c r="AL72"/>
      <c r="AM72"/>
      <c r="AN72"/>
      <c r="AO72"/>
      <c r="AP72"/>
      <c r="AQ72"/>
      <c r="AR72"/>
      <c r="AS72"/>
      <c r="AT72"/>
      <c r="AU72"/>
      <c r="AV72"/>
      <c r="AW72"/>
      <c r="AX72"/>
      <c r="AY72"/>
      <c r="AZ72"/>
      <c r="BA72"/>
      <c r="BB72"/>
      <c r="BC72"/>
      <c r="BD72"/>
    </row>
    <row r="73" spans="1:56" x14ac:dyDescent="0.2">
      <c r="A73" s="150"/>
      <c r="B73" s="150"/>
      <c r="C73" s="150"/>
      <c r="V73" s="150"/>
      <c r="W73" s="150"/>
      <c r="X73" s="150"/>
      <c r="Y73" s="150"/>
      <c r="Z73" s="150"/>
      <c r="AA73" s="150"/>
      <c r="AB73" s="150"/>
      <c r="AC73" s="150"/>
      <c r="AD73" s="150"/>
      <c r="AE73" s="150"/>
      <c r="AF73" s="150"/>
      <c r="AH73" s="267" t="s">
        <v>267</v>
      </c>
      <c r="AI73" s="265">
        <v>2</v>
      </c>
      <c r="AJ73" s="255" t="s">
        <v>230</v>
      </c>
      <c r="AK73" s="256">
        <v>105</v>
      </c>
      <c r="AL73"/>
      <c r="AM73"/>
      <c r="AN73"/>
      <c r="AO73"/>
      <c r="AP73"/>
      <c r="AQ73"/>
      <c r="AR73"/>
      <c r="AS73"/>
      <c r="AT73"/>
      <c r="AU73"/>
      <c r="AV73"/>
      <c r="AW73"/>
      <c r="AX73"/>
      <c r="AY73"/>
      <c r="AZ73"/>
      <c r="BA73"/>
      <c r="BB73"/>
      <c r="BC73"/>
      <c r="BD73"/>
    </row>
    <row r="74" spans="1:56" x14ac:dyDescent="0.2">
      <c r="A74" s="150"/>
      <c r="B74" s="150"/>
      <c r="C74" s="150"/>
      <c r="V74" s="150"/>
      <c r="W74" s="150"/>
      <c r="X74" s="150"/>
      <c r="Y74" s="150"/>
      <c r="Z74" s="150"/>
      <c r="AA74" s="150"/>
      <c r="AB74" s="150"/>
      <c r="AC74" s="150"/>
      <c r="AD74" s="150"/>
      <c r="AE74" s="150"/>
      <c r="AF74" s="150"/>
      <c r="AH74" s="267" t="s">
        <v>268</v>
      </c>
      <c r="AI74" s="265">
        <v>3</v>
      </c>
      <c r="AJ74" s="255" t="s">
        <v>228</v>
      </c>
      <c r="AK74" s="256">
        <v>104</v>
      </c>
      <c r="AL74"/>
      <c r="AM74"/>
      <c r="AN74"/>
      <c r="AO74"/>
      <c r="AP74"/>
      <c r="AQ74"/>
      <c r="AR74"/>
      <c r="AS74"/>
      <c r="AT74"/>
      <c r="AU74"/>
      <c r="AV74"/>
      <c r="AW74"/>
      <c r="AX74"/>
      <c r="AY74"/>
      <c r="AZ74"/>
      <c r="BA74"/>
      <c r="BB74"/>
      <c r="BC74"/>
      <c r="BD74"/>
    </row>
    <row r="75" spans="1:56" ht="17" thickBot="1" x14ac:dyDescent="0.25">
      <c r="A75" s="150"/>
      <c r="B75" s="150"/>
      <c r="C75" s="150"/>
      <c r="V75" s="150"/>
      <c r="AD75" s="150"/>
      <c r="AE75" s="150"/>
      <c r="AF75" s="150"/>
      <c r="AH75" s="347" t="s">
        <v>279</v>
      </c>
      <c r="AI75" s="284">
        <v>4</v>
      </c>
      <c r="AJ75" s="255" t="s">
        <v>243</v>
      </c>
      <c r="AK75" s="256">
        <v>112</v>
      </c>
      <c r="AL75"/>
      <c r="AM75"/>
      <c r="AN75"/>
      <c r="AO75"/>
      <c r="AP75"/>
      <c r="AQ75"/>
      <c r="AR75"/>
      <c r="AS75"/>
      <c r="AT75"/>
      <c r="AU75"/>
      <c r="AV75"/>
      <c r="AW75"/>
      <c r="AX75"/>
      <c r="AY75"/>
      <c r="AZ75"/>
      <c r="BA75"/>
      <c r="BB75"/>
      <c r="BC75"/>
      <c r="BD75"/>
    </row>
    <row r="76" spans="1:56" x14ac:dyDescent="0.2">
      <c r="A76" s="150"/>
      <c r="B76" s="150"/>
      <c r="C76" s="150"/>
      <c r="V76" s="150"/>
      <c r="AD76" s="150"/>
      <c r="AE76" s="150"/>
      <c r="AF76" s="150"/>
      <c r="AJ76" s="255" t="s">
        <v>262</v>
      </c>
      <c r="AK76" s="256">
        <v>304</v>
      </c>
      <c r="AL76"/>
      <c r="AM76"/>
      <c r="AN76"/>
      <c r="AO76"/>
      <c r="AP76"/>
      <c r="AQ76"/>
      <c r="AR76"/>
      <c r="AS76"/>
      <c r="AT76"/>
      <c r="AU76"/>
      <c r="AV76"/>
      <c r="AW76"/>
      <c r="AX76"/>
      <c r="AY76"/>
      <c r="AZ76"/>
      <c r="BA76"/>
      <c r="BB76"/>
      <c r="BC76"/>
      <c r="BD76"/>
    </row>
    <row r="77" spans="1:56" x14ac:dyDescent="0.2">
      <c r="B77" s="150"/>
      <c r="C77" s="150"/>
      <c r="V77" s="150"/>
      <c r="W77" s="150"/>
      <c r="X77" s="150"/>
      <c r="Y77" s="150"/>
      <c r="Z77" s="150"/>
      <c r="AA77" s="150"/>
      <c r="AB77" s="150"/>
      <c r="AC77" s="150"/>
      <c r="AD77" s="150"/>
      <c r="AE77" s="150"/>
      <c r="AF77" s="150"/>
      <c r="AJ77" s="263" t="s">
        <v>392</v>
      </c>
      <c r="AK77" s="264">
        <v>202</v>
      </c>
      <c r="AL77"/>
      <c r="AM77"/>
      <c r="AN77"/>
      <c r="AO77"/>
      <c r="AP77"/>
      <c r="AQ77"/>
      <c r="AR77"/>
      <c r="AS77"/>
      <c r="AT77"/>
      <c r="AU77"/>
      <c r="AV77"/>
      <c r="AW77"/>
      <c r="AX77"/>
      <c r="AY77"/>
      <c r="AZ77"/>
      <c r="BA77"/>
      <c r="BB77"/>
      <c r="BC77"/>
      <c r="BD77"/>
    </row>
    <row r="78" spans="1:56" x14ac:dyDescent="0.2">
      <c r="AJ78" s="255" t="s">
        <v>225</v>
      </c>
      <c r="AK78" s="256">
        <v>101</v>
      </c>
      <c r="AL78"/>
      <c r="AM78"/>
      <c r="AN78"/>
      <c r="AO78"/>
      <c r="AP78"/>
      <c r="AQ78"/>
      <c r="AR78"/>
      <c r="AS78"/>
      <c r="AT78"/>
      <c r="AU78"/>
      <c r="AV78"/>
      <c r="AW78"/>
      <c r="AX78"/>
      <c r="AY78"/>
      <c r="AZ78"/>
      <c r="BA78"/>
      <c r="BB78"/>
      <c r="BC78"/>
      <c r="BD78"/>
    </row>
    <row r="79" spans="1:56" x14ac:dyDescent="0.2">
      <c r="AJ79" s="255" t="s">
        <v>398</v>
      </c>
      <c r="AK79" s="256">
        <v>209</v>
      </c>
      <c r="AL79" s="249"/>
    </row>
    <row r="80" spans="1:56" x14ac:dyDescent="0.2">
      <c r="AJ80" s="255" t="s">
        <v>227</v>
      </c>
      <c r="AK80" s="256">
        <v>103</v>
      </c>
      <c r="AL80" s="249"/>
    </row>
    <row r="81" spans="36:38" x14ac:dyDescent="0.2">
      <c r="AJ81" s="255" t="s">
        <v>226</v>
      </c>
      <c r="AK81" s="256">
        <v>102</v>
      </c>
      <c r="AL81" s="249"/>
    </row>
    <row r="82" spans="36:38" x14ac:dyDescent="0.2">
      <c r="AJ82" s="255" t="s">
        <v>352</v>
      </c>
      <c r="AK82" s="256">
        <v>106</v>
      </c>
      <c r="AL82" s="249"/>
    </row>
    <row r="83" spans="36:38" x14ac:dyDescent="0.2">
      <c r="AJ83" s="255" t="s">
        <v>256</v>
      </c>
      <c r="AK83" s="256">
        <v>301</v>
      </c>
      <c r="AL83" s="249"/>
    </row>
    <row r="84" spans="36:38" x14ac:dyDescent="0.2">
      <c r="AJ84" s="263" t="s">
        <v>400</v>
      </c>
      <c r="AK84" s="264">
        <v>203</v>
      </c>
      <c r="AL84" s="250"/>
    </row>
    <row r="85" spans="36:38" x14ac:dyDescent="0.2">
      <c r="AJ85" s="255" t="s">
        <v>404</v>
      </c>
      <c r="AK85" s="256">
        <v>208</v>
      </c>
      <c r="AL85" s="249"/>
    </row>
    <row r="86" spans="36:38" x14ac:dyDescent="0.2">
      <c r="AJ86" s="253" t="s">
        <v>221</v>
      </c>
      <c r="AK86" s="254">
        <v>1</v>
      </c>
      <c r="AL86" s="171"/>
    </row>
    <row r="87" spans="36:38" x14ac:dyDescent="0.2">
      <c r="AJ87" s="253" t="s">
        <v>222</v>
      </c>
      <c r="AK87" s="254">
        <v>2</v>
      </c>
      <c r="AL87" s="171"/>
    </row>
    <row r="88" spans="36:38" x14ac:dyDescent="0.2">
      <c r="AJ88" s="253" t="s">
        <v>223</v>
      </c>
      <c r="AK88" s="254">
        <v>3</v>
      </c>
      <c r="AL88" s="171"/>
    </row>
    <row r="89" spans="36:38" x14ac:dyDescent="0.2">
      <c r="AJ89" s="255" t="s">
        <v>258</v>
      </c>
      <c r="AK89" s="256">
        <v>302</v>
      </c>
      <c r="AL89" s="249"/>
    </row>
    <row r="90" spans="36:38" x14ac:dyDescent="0.2">
      <c r="AJ90" s="255" t="s">
        <v>260</v>
      </c>
      <c r="AK90" s="256">
        <v>303</v>
      </c>
      <c r="AL90" s="249"/>
    </row>
    <row r="91" spans="36:38" x14ac:dyDescent="0.2">
      <c r="AJ91" s="255" t="s">
        <v>241</v>
      </c>
      <c r="AK91" s="256">
        <v>111</v>
      </c>
      <c r="AL91" s="249"/>
    </row>
    <row r="92" spans="36:38" x14ac:dyDescent="0.2">
      <c r="AJ92" s="255" t="s">
        <v>233</v>
      </c>
      <c r="AK92" s="256">
        <v>107</v>
      </c>
      <c r="AL92" s="249"/>
    </row>
    <row r="93" spans="36:38" x14ac:dyDescent="0.2">
      <c r="AJ93" s="255" t="s">
        <v>239</v>
      </c>
      <c r="AK93" s="256">
        <v>110</v>
      </c>
      <c r="AL93" s="249"/>
    </row>
    <row r="94" spans="36:38" x14ac:dyDescent="0.2">
      <c r="AJ94" s="255" t="s">
        <v>408</v>
      </c>
      <c r="AK94" s="256">
        <v>201</v>
      </c>
      <c r="AL94" s="249"/>
    </row>
    <row r="95" spans="36:38" x14ac:dyDescent="0.2">
      <c r="AJ95" s="255" t="s">
        <v>411</v>
      </c>
      <c r="AK95" s="256">
        <v>204</v>
      </c>
      <c r="AL95" s="249"/>
    </row>
    <row r="96" spans="36:38" x14ac:dyDescent="0.2">
      <c r="AJ96" s="255" t="s">
        <v>417</v>
      </c>
      <c r="AK96" s="256">
        <v>206</v>
      </c>
      <c r="AL96" s="249"/>
    </row>
    <row r="97" spans="36:38" x14ac:dyDescent="0.2">
      <c r="AJ97" s="255" t="s">
        <v>245</v>
      </c>
      <c r="AK97" s="256">
        <v>113</v>
      </c>
      <c r="AL97" s="249"/>
    </row>
    <row r="98" spans="36:38" x14ac:dyDescent="0.2">
      <c r="AJ98" s="255" t="s">
        <v>421</v>
      </c>
      <c r="AK98" s="256">
        <v>207</v>
      </c>
      <c r="AL98" s="249"/>
    </row>
    <row r="99" spans="36:38" x14ac:dyDescent="0.2">
      <c r="AJ99" s="255" t="s">
        <v>426</v>
      </c>
      <c r="AK99" s="256">
        <v>305</v>
      </c>
      <c r="AL99" s="249"/>
    </row>
    <row r="100" spans="36:38" ht="17" thickBot="1" x14ac:dyDescent="0.25">
      <c r="AJ100" s="259" t="s">
        <v>394</v>
      </c>
      <c r="AK100" s="260">
        <v>205</v>
      </c>
      <c r="AL100" s="249"/>
    </row>
    <row r="101" spans="36:38" ht="17" thickBot="1" x14ac:dyDescent="0.25">
      <c r="AJ101" s="378" t="s">
        <v>353</v>
      </c>
      <c r="AK101" s="379">
        <v>999</v>
      </c>
    </row>
  </sheetData>
  <sheetProtection password="CC6D" sheet="1" objects="1" scenarios="1"/>
  <sortState ref="AH60:AI63">
    <sortCondition ref="AI63"/>
  </sortState>
  <mergeCells count="173">
    <mergeCell ref="G68:H68"/>
    <mergeCell ref="G61:H61"/>
    <mergeCell ref="G65:H65"/>
    <mergeCell ref="G66:H66"/>
    <mergeCell ref="G67:H67"/>
    <mergeCell ref="G64:H64"/>
    <mergeCell ref="G57:H57"/>
    <mergeCell ref="G63:H63"/>
    <mergeCell ref="G58:H58"/>
    <mergeCell ref="G59:H59"/>
    <mergeCell ref="G60:H60"/>
    <mergeCell ref="AA57:AB57"/>
    <mergeCell ref="AA59:AB59"/>
    <mergeCell ref="AA58:AB58"/>
    <mergeCell ref="AA60:AB60"/>
    <mergeCell ref="AA61:AB61"/>
    <mergeCell ref="I62:J62"/>
    <mergeCell ref="I68:J68"/>
    <mergeCell ref="S62:T62"/>
    <mergeCell ref="S57:T57"/>
    <mergeCell ref="S60:T60"/>
    <mergeCell ref="S63:T63"/>
    <mergeCell ref="S58:T58"/>
    <mergeCell ref="S64:T64"/>
    <mergeCell ref="S65:T65"/>
    <mergeCell ref="S61:T61"/>
    <mergeCell ref="S59:T59"/>
    <mergeCell ref="I61:J61"/>
    <mergeCell ref="I65:J65"/>
    <mergeCell ref="I66:J66"/>
    <mergeCell ref="I67:J67"/>
    <mergeCell ref="I64:J64"/>
    <mergeCell ref="X57:Y57"/>
    <mergeCell ref="X59:Y59"/>
    <mergeCell ref="X58:Y58"/>
    <mergeCell ref="X60:Y60"/>
    <mergeCell ref="X61:Y61"/>
    <mergeCell ref="E62:F62"/>
    <mergeCell ref="E68:F68"/>
    <mergeCell ref="P62:Q62"/>
    <mergeCell ref="P57:Q57"/>
    <mergeCell ref="P60:Q60"/>
    <mergeCell ref="P63:Q63"/>
    <mergeCell ref="P58:Q58"/>
    <mergeCell ref="P64:Q64"/>
    <mergeCell ref="P65:Q65"/>
    <mergeCell ref="P61:Q61"/>
    <mergeCell ref="P59:Q59"/>
    <mergeCell ref="I57:J57"/>
    <mergeCell ref="I63:J63"/>
    <mergeCell ref="I58:J58"/>
    <mergeCell ref="I59:J59"/>
    <mergeCell ref="I60:J60"/>
    <mergeCell ref="E61:F61"/>
    <mergeCell ref="E65:F65"/>
    <mergeCell ref="E66:F66"/>
    <mergeCell ref="E67:F67"/>
    <mergeCell ref="E64:F64"/>
    <mergeCell ref="E57:F57"/>
    <mergeCell ref="Y9:Z9"/>
    <mergeCell ref="Y8:Z8"/>
    <mergeCell ref="Y21:Z21"/>
    <mergeCell ref="Y20:Z20"/>
    <mergeCell ref="F49:J49"/>
    <mergeCell ref="Y14:Z14"/>
    <mergeCell ref="Y13:Z13"/>
    <mergeCell ref="Y12:Z12"/>
    <mergeCell ref="Y11:Z11"/>
    <mergeCell ref="Y10:Z10"/>
    <mergeCell ref="V11:W11"/>
    <mergeCell ref="V10:W10"/>
    <mergeCell ref="V9:W9"/>
    <mergeCell ref="V8:W8"/>
    <mergeCell ref="L37:N37"/>
    <mergeCell ref="L38:N38"/>
    <mergeCell ref="F38:J38"/>
    <mergeCell ref="F37:J37"/>
    <mergeCell ref="H31:L31"/>
    <mergeCell ref="H30:L30"/>
    <mergeCell ref="H29:L29"/>
    <mergeCell ref="H28:L28"/>
    <mergeCell ref="H27:L27"/>
    <mergeCell ref="H26:L26"/>
    <mergeCell ref="V7:W7"/>
    <mergeCell ref="K36:O36"/>
    <mergeCell ref="F36:J36"/>
    <mergeCell ref="V14:W14"/>
    <mergeCell ref="V13:W13"/>
    <mergeCell ref="V12:W12"/>
    <mergeCell ref="V21:W21"/>
    <mergeCell ref="V20:W20"/>
    <mergeCell ref="V19:W19"/>
    <mergeCell ref="H25:L25"/>
    <mergeCell ref="H24:L24"/>
    <mergeCell ref="H23:L23"/>
    <mergeCell ref="E12:P12"/>
    <mergeCell ref="D25:E25"/>
    <mergeCell ref="D26:E26"/>
    <mergeCell ref="D27:E27"/>
    <mergeCell ref="D23:E23"/>
    <mergeCell ref="D29:E29"/>
    <mergeCell ref="AA56:AC56"/>
    <mergeCell ref="E8:H8"/>
    <mergeCell ref="E9:H9"/>
    <mergeCell ref="E10:H10"/>
    <mergeCell ref="L49:N49"/>
    <mergeCell ref="L47:N47"/>
    <mergeCell ref="L46:N46"/>
    <mergeCell ref="L44:N44"/>
    <mergeCell ref="L43:N43"/>
    <mergeCell ref="P49:R49"/>
    <mergeCell ref="P47:R47"/>
    <mergeCell ref="P46:R46"/>
    <mergeCell ref="P44:R44"/>
    <mergeCell ref="P43:R43"/>
    <mergeCell ref="F41:I41"/>
    <mergeCell ref="F40:I40"/>
    <mergeCell ref="P56:R56"/>
    <mergeCell ref="S56:U56"/>
    <mergeCell ref="X56:Z56"/>
    <mergeCell ref="O27:P27"/>
    <mergeCell ref="D31:E31"/>
    <mergeCell ref="D32:E32"/>
    <mergeCell ref="D49:E49"/>
    <mergeCell ref="D30:E30"/>
    <mergeCell ref="M62:O62"/>
    <mergeCell ref="E56:H56"/>
    <mergeCell ref="I56:K56"/>
    <mergeCell ref="M59:O59"/>
    <mergeCell ref="M61:O61"/>
    <mergeCell ref="M65:O65"/>
    <mergeCell ref="M64:O64"/>
    <mergeCell ref="E63:F63"/>
    <mergeCell ref="E58:F58"/>
    <mergeCell ref="E59:F59"/>
    <mergeCell ref="E60:F60"/>
    <mergeCell ref="M58:O58"/>
    <mergeCell ref="M63:O63"/>
    <mergeCell ref="G62:H62"/>
    <mergeCell ref="D44:E44"/>
    <mergeCell ref="D40:E41"/>
    <mergeCell ref="F44:J44"/>
    <mergeCell ref="F43:J43"/>
    <mergeCell ref="F46:J46"/>
    <mergeCell ref="F47:J47"/>
    <mergeCell ref="C40:C41"/>
    <mergeCell ref="C36:C38"/>
    <mergeCell ref="M60:O60"/>
    <mergeCell ref="M57:O57"/>
    <mergeCell ref="C1:D3"/>
    <mergeCell ref="E11:P11"/>
    <mergeCell ref="F20:J20"/>
    <mergeCell ref="D33:E33"/>
    <mergeCell ref="P37:R37"/>
    <mergeCell ref="P38:R38"/>
    <mergeCell ref="M56:O56"/>
    <mergeCell ref="D28:E28"/>
    <mergeCell ref="D34:E34"/>
    <mergeCell ref="D16:E18"/>
    <mergeCell ref="D20:E20"/>
    <mergeCell ref="O22:Q22"/>
    <mergeCell ref="O23:P23"/>
    <mergeCell ref="J35:O35"/>
    <mergeCell ref="F19:J19"/>
    <mergeCell ref="O25:P25"/>
    <mergeCell ref="O24:P24"/>
    <mergeCell ref="O26:P26"/>
    <mergeCell ref="D22:F22"/>
    <mergeCell ref="H22:M22"/>
    <mergeCell ref="D24:E24"/>
    <mergeCell ref="C46:C47"/>
    <mergeCell ref="D36:E38"/>
    <mergeCell ref="D46:E47"/>
  </mergeCells>
  <phoneticPr fontId="4"/>
  <conditionalFormatting sqref="AJ13">
    <cfRule type="containsBlanks" dxfId="417" priority="15">
      <formula>LEN(TRIM(AJ13))=0</formula>
    </cfRule>
  </conditionalFormatting>
  <conditionalFormatting sqref="D49:R49">
    <cfRule type="expression" dxfId="416" priority="2">
      <formula>$AI$14=1</formula>
    </cfRule>
  </conditionalFormatting>
  <conditionalFormatting sqref="K49">
    <cfRule type="expression" dxfId="415" priority="1">
      <formula>$AI$14=1</formula>
    </cfRule>
  </conditionalFormatting>
  <dataValidations disablePrompts="1" count="3">
    <dataValidation type="list" allowBlank="1" showInputMessage="1" showErrorMessage="1" sqref="K36">
      <formula1>$AH$38:$AH$42</formula1>
    </dataValidation>
    <dataValidation showInputMessage="1" showErrorMessage="1" errorTitle="物質種類の選択" error="プルダウンリストから選択して下さい" sqref="F21 H32:L34 H21:L21 F20:L20 AL23:AL34 G21:G22"/>
    <dataValidation type="decimal" allowBlank="1" showInputMessage="1" showErrorMessage="1" errorTitle="入力値確認" error="入力可能な厚さは、_x000a_0～10ｍの範囲です。" sqref="L38">
      <formula1>0</formula1>
      <formula2>10</formula2>
    </dataValidation>
  </dataValidations>
  <printOptions horizontalCentered="1"/>
  <pageMargins left="0.19685039370078741" right="0.19685039370078741" top="0" bottom="0" header="0" footer="0"/>
  <pageSetup paperSize="9" scale="51"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9" r:id="rId4" name="Option Button 9">
              <controlPr defaultSize="0" autoFill="0" autoLine="0" autoPict="0">
                <anchor moveWithCells="1">
                  <from>
                    <xdr:col>5</xdr:col>
                    <xdr:colOff>12700</xdr:colOff>
                    <xdr:row>15</xdr:row>
                    <xdr:rowOff>0</xdr:rowOff>
                  </from>
                  <to>
                    <xdr:col>6</xdr:col>
                    <xdr:colOff>69850</xdr:colOff>
                    <xdr:row>15</xdr:row>
                    <xdr:rowOff>0</xdr:rowOff>
                  </to>
                </anchor>
              </controlPr>
            </control>
          </mc:Choice>
        </mc:AlternateContent>
        <mc:AlternateContent xmlns:mc="http://schemas.openxmlformats.org/markup-compatibility/2006">
          <mc:Choice Requires="x14">
            <control shapeId="5130" r:id="rId5" name="Option Button 10">
              <controlPr defaultSize="0" autoFill="0" autoLine="0" autoPict="0">
                <anchor moveWithCells="1">
                  <from>
                    <xdr:col>5</xdr:col>
                    <xdr:colOff>12700</xdr:colOff>
                    <xdr:row>15</xdr:row>
                    <xdr:rowOff>0</xdr:rowOff>
                  </from>
                  <to>
                    <xdr:col>6</xdr:col>
                    <xdr:colOff>50800</xdr:colOff>
                    <xdr:row>15</xdr:row>
                    <xdr:rowOff>0</xdr:rowOff>
                  </to>
                </anchor>
              </controlPr>
            </control>
          </mc:Choice>
        </mc:AlternateContent>
        <mc:AlternateContent xmlns:mc="http://schemas.openxmlformats.org/markup-compatibility/2006">
          <mc:Choice Requires="x14">
            <control shapeId="5131" r:id="rId6" name="Option Button 11">
              <controlPr defaultSize="0" autoFill="0" autoLine="0" autoPict="0">
                <anchor moveWithCells="1">
                  <from>
                    <xdr:col>5</xdr:col>
                    <xdr:colOff>12700</xdr:colOff>
                    <xdr:row>15</xdr:row>
                    <xdr:rowOff>0</xdr:rowOff>
                  </from>
                  <to>
                    <xdr:col>6</xdr:col>
                    <xdr:colOff>69850</xdr:colOff>
                    <xdr:row>15</xdr:row>
                    <xdr:rowOff>0</xdr:rowOff>
                  </to>
                </anchor>
              </controlPr>
            </control>
          </mc:Choice>
        </mc:AlternateContent>
        <mc:AlternateContent xmlns:mc="http://schemas.openxmlformats.org/markup-compatibility/2006">
          <mc:Choice Requires="x14">
            <control shapeId="5160" r:id="rId7" name="Check Box 40">
              <controlPr defaultSize="0" autoFill="0" autoLine="0" autoPict="0">
                <anchor moveWithCells="1">
                  <from>
                    <xdr:col>5</xdr:col>
                    <xdr:colOff>31750</xdr:colOff>
                    <xdr:row>22</xdr:row>
                    <xdr:rowOff>12700</xdr:rowOff>
                  </from>
                  <to>
                    <xdr:col>5</xdr:col>
                    <xdr:colOff>323850</xdr:colOff>
                    <xdr:row>23</xdr:row>
                    <xdr:rowOff>0</xdr:rowOff>
                  </to>
                </anchor>
              </controlPr>
            </control>
          </mc:Choice>
        </mc:AlternateContent>
        <mc:AlternateContent xmlns:mc="http://schemas.openxmlformats.org/markup-compatibility/2006">
          <mc:Choice Requires="x14">
            <control shapeId="5161" r:id="rId8" name="Check Box 41">
              <controlPr defaultSize="0" autoFill="0" autoLine="0" autoPict="0">
                <anchor moveWithCells="1">
                  <from>
                    <xdr:col>5</xdr:col>
                    <xdr:colOff>31750</xdr:colOff>
                    <xdr:row>28</xdr:row>
                    <xdr:rowOff>12700</xdr:rowOff>
                  </from>
                  <to>
                    <xdr:col>5</xdr:col>
                    <xdr:colOff>323850</xdr:colOff>
                    <xdr:row>28</xdr:row>
                    <xdr:rowOff>222250</xdr:rowOff>
                  </to>
                </anchor>
              </controlPr>
            </control>
          </mc:Choice>
        </mc:AlternateContent>
        <mc:AlternateContent xmlns:mc="http://schemas.openxmlformats.org/markup-compatibility/2006">
          <mc:Choice Requires="x14">
            <control shapeId="5162" r:id="rId9" name="Check Box 42">
              <controlPr defaultSize="0" autoFill="0" autoLine="0" autoPict="0">
                <anchor moveWithCells="1">
                  <from>
                    <xdr:col>5</xdr:col>
                    <xdr:colOff>31750</xdr:colOff>
                    <xdr:row>23</xdr:row>
                    <xdr:rowOff>12700</xdr:rowOff>
                  </from>
                  <to>
                    <xdr:col>5</xdr:col>
                    <xdr:colOff>323850</xdr:colOff>
                    <xdr:row>24</xdr:row>
                    <xdr:rowOff>0</xdr:rowOff>
                  </to>
                </anchor>
              </controlPr>
            </control>
          </mc:Choice>
        </mc:AlternateContent>
        <mc:AlternateContent xmlns:mc="http://schemas.openxmlformats.org/markup-compatibility/2006">
          <mc:Choice Requires="x14">
            <control shapeId="5163" r:id="rId10" name="Check Box 43">
              <controlPr defaultSize="0" autoFill="0" autoLine="0" autoPict="0">
                <anchor moveWithCells="1">
                  <from>
                    <xdr:col>5</xdr:col>
                    <xdr:colOff>31750</xdr:colOff>
                    <xdr:row>24</xdr:row>
                    <xdr:rowOff>12700</xdr:rowOff>
                  </from>
                  <to>
                    <xdr:col>5</xdr:col>
                    <xdr:colOff>323850</xdr:colOff>
                    <xdr:row>25</xdr:row>
                    <xdr:rowOff>0</xdr:rowOff>
                  </to>
                </anchor>
              </controlPr>
            </control>
          </mc:Choice>
        </mc:AlternateContent>
        <mc:AlternateContent xmlns:mc="http://schemas.openxmlformats.org/markup-compatibility/2006">
          <mc:Choice Requires="x14">
            <control shapeId="5164" r:id="rId11" name="Check Box 44">
              <controlPr defaultSize="0" autoFill="0" autoLine="0" autoPict="0">
                <anchor moveWithCells="1">
                  <from>
                    <xdr:col>5</xdr:col>
                    <xdr:colOff>31750</xdr:colOff>
                    <xdr:row>25</xdr:row>
                    <xdr:rowOff>12700</xdr:rowOff>
                  </from>
                  <to>
                    <xdr:col>5</xdr:col>
                    <xdr:colOff>323850</xdr:colOff>
                    <xdr:row>25</xdr:row>
                    <xdr:rowOff>222250</xdr:rowOff>
                  </to>
                </anchor>
              </controlPr>
            </control>
          </mc:Choice>
        </mc:AlternateContent>
        <mc:AlternateContent xmlns:mc="http://schemas.openxmlformats.org/markup-compatibility/2006">
          <mc:Choice Requires="x14">
            <control shapeId="5165" r:id="rId12" name="Check Box 45">
              <controlPr defaultSize="0" autoFill="0" autoLine="0" autoPict="0">
                <anchor moveWithCells="1">
                  <from>
                    <xdr:col>5</xdr:col>
                    <xdr:colOff>31750</xdr:colOff>
                    <xdr:row>26</xdr:row>
                    <xdr:rowOff>12700</xdr:rowOff>
                  </from>
                  <to>
                    <xdr:col>5</xdr:col>
                    <xdr:colOff>323850</xdr:colOff>
                    <xdr:row>26</xdr:row>
                    <xdr:rowOff>222250</xdr:rowOff>
                  </to>
                </anchor>
              </controlPr>
            </control>
          </mc:Choice>
        </mc:AlternateContent>
        <mc:AlternateContent xmlns:mc="http://schemas.openxmlformats.org/markup-compatibility/2006">
          <mc:Choice Requires="x14">
            <control shapeId="5167" r:id="rId13" name="Check Box 47">
              <controlPr defaultSize="0" autoFill="0" autoLine="0" autoPict="0">
                <anchor moveWithCells="1">
                  <from>
                    <xdr:col>5</xdr:col>
                    <xdr:colOff>31750</xdr:colOff>
                    <xdr:row>30</xdr:row>
                    <xdr:rowOff>12700</xdr:rowOff>
                  </from>
                  <to>
                    <xdr:col>5</xdr:col>
                    <xdr:colOff>323850</xdr:colOff>
                    <xdr:row>31</xdr:row>
                    <xdr:rowOff>0</xdr:rowOff>
                  </to>
                </anchor>
              </controlPr>
            </control>
          </mc:Choice>
        </mc:AlternateContent>
        <mc:AlternateContent xmlns:mc="http://schemas.openxmlformats.org/markup-compatibility/2006">
          <mc:Choice Requires="x14">
            <control shapeId="5168" r:id="rId14" name="Check Box 48">
              <controlPr defaultSize="0" autoFill="0" autoLine="0" autoPict="0">
                <anchor moveWithCells="1">
                  <from>
                    <xdr:col>5</xdr:col>
                    <xdr:colOff>31750</xdr:colOff>
                    <xdr:row>31</xdr:row>
                    <xdr:rowOff>19050</xdr:rowOff>
                  </from>
                  <to>
                    <xdr:col>5</xdr:col>
                    <xdr:colOff>323850</xdr:colOff>
                    <xdr:row>32</xdr:row>
                    <xdr:rowOff>0</xdr:rowOff>
                  </to>
                </anchor>
              </controlPr>
            </control>
          </mc:Choice>
        </mc:AlternateContent>
        <mc:AlternateContent xmlns:mc="http://schemas.openxmlformats.org/markup-compatibility/2006">
          <mc:Choice Requires="x14">
            <control shapeId="5169" r:id="rId15" name="Check Box 49">
              <controlPr defaultSize="0" autoFill="0" autoLine="0" autoPict="0">
                <anchor moveWithCells="1">
                  <from>
                    <xdr:col>5</xdr:col>
                    <xdr:colOff>31750</xdr:colOff>
                    <xdr:row>32</xdr:row>
                    <xdr:rowOff>19050</xdr:rowOff>
                  </from>
                  <to>
                    <xdr:col>5</xdr:col>
                    <xdr:colOff>323850</xdr:colOff>
                    <xdr:row>33</xdr:row>
                    <xdr:rowOff>0</xdr:rowOff>
                  </to>
                </anchor>
              </controlPr>
            </control>
          </mc:Choice>
        </mc:AlternateContent>
        <mc:AlternateContent xmlns:mc="http://schemas.openxmlformats.org/markup-compatibility/2006">
          <mc:Choice Requires="x14">
            <control shapeId="5170" r:id="rId16" name="Check Box 50">
              <controlPr defaultSize="0" autoFill="0" autoLine="0" autoPict="0">
                <anchor moveWithCells="1">
                  <from>
                    <xdr:col>5</xdr:col>
                    <xdr:colOff>31750</xdr:colOff>
                    <xdr:row>29</xdr:row>
                    <xdr:rowOff>12700</xdr:rowOff>
                  </from>
                  <to>
                    <xdr:col>5</xdr:col>
                    <xdr:colOff>323850</xdr:colOff>
                    <xdr:row>29</xdr:row>
                    <xdr:rowOff>222250</xdr:rowOff>
                  </to>
                </anchor>
              </controlPr>
            </control>
          </mc:Choice>
        </mc:AlternateContent>
        <mc:AlternateContent xmlns:mc="http://schemas.openxmlformats.org/markup-compatibility/2006">
          <mc:Choice Requires="x14">
            <control shapeId="5171" r:id="rId17" name="Check Box 51">
              <controlPr defaultSize="0" autoFill="0" autoLine="0" autoPict="0">
                <anchor moveWithCells="1">
                  <from>
                    <xdr:col>5</xdr:col>
                    <xdr:colOff>31750</xdr:colOff>
                    <xdr:row>27</xdr:row>
                    <xdr:rowOff>12700</xdr:rowOff>
                  </from>
                  <to>
                    <xdr:col>5</xdr:col>
                    <xdr:colOff>323850</xdr:colOff>
                    <xdr:row>27</xdr:row>
                    <xdr:rowOff>222250</xdr:rowOff>
                  </to>
                </anchor>
              </controlPr>
            </control>
          </mc:Choice>
        </mc:AlternateContent>
        <mc:AlternateContent xmlns:mc="http://schemas.openxmlformats.org/markup-compatibility/2006">
          <mc:Choice Requires="x14">
            <control shapeId="5172" r:id="rId18" name="Check Box 52">
              <controlPr defaultSize="0" autoFill="0" autoLine="0" autoPict="0">
                <anchor moveWithCells="1">
                  <from>
                    <xdr:col>5</xdr:col>
                    <xdr:colOff>31750</xdr:colOff>
                    <xdr:row>33</xdr:row>
                    <xdr:rowOff>12700</xdr:rowOff>
                  </from>
                  <to>
                    <xdr:col>5</xdr:col>
                    <xdr:colOff>323850</xdr:colOff>
                    <xdr:row>33</xdr:row>
                    <xdr:rowOff>222250</xdr:rowOff>
                  </to>
                </anchor>
              </controlPr>
            </control>
          </mc:Choice>
        </mc:AlternateContent>
        <mc:AlternateContent xmlns:mc="http://schemas.openxmlformats.org/markup-compatibility/2006">
          <mc:Choice Requires="x14">
            <control shapeId="5173" r:id="rId19" name="Check Box 53">
              <controlPr defaultSize="0" autoFill="0" autoLine="0" autoPict="0">
                <anchor moveWithCells="1">
                  <from>
                    <xdr:col>12</xdr:col>
                    <xdr:colOff>50800</xdr:colOff>
                    <xdr:row>27</xdr:row>
                    <xdr:rowOff>19050</xdr:rowOff>
                  </from>
                  <to>
                    <xdr:col>12</xdr:col>
                    <xdr:colOff>336550</xdr:colOff>
                    <xdr:row>27</xdr:row>
                    <xdr:rowOff>222250</xdr:rowOff>
                  </to>
                </anchor>
              </controlPr>
            </control>
          </mc:Choice>
        </mc:AlternateContent>
        <mc:AlternateContent xmlns:mc="http://schemas.openxmlformats.org/markup-compatibility/2006">
          <mc:Choice Requires="x14">
            <control shapeId="5174" r:id="rId20" name="Check Box 54">
              <controlPr defaultSize="0" autoFill="0" autoLine="0" autoPict="0">
                <anchor moveWithCells="1">
                  <from>
                    <xdr:col>12</xdr:col>
                    <xdr:colOff>50800</xdr:colOff>
                    <xdr:row>22</xdr:row>
                    <xdr:rowOff>0</xdr:rowOff>
                  </from>
                  <to>
                    <xdr:col>12</xdr:col>
                    <xdr:colOff>336550</xdr:colOff>
                    <xdr:row>22</xdr:row>
                    <xdr:rowOff>222250</xdr:rowOff>
                  </to>
                </anchor>
              </controlPr>
            </control>
          </mc:Choice>
        </mc:AlternateContent>
        <mc:AlternateContent xmlns:mc="http://schemas.openxmlformats.org/markup-compatibility/2006">
          <mc:Choice Requires="x14">
            <control shapeId="5175" r:id="rId21" name="Check Box 55">
              <controlPr defaultSize="0" autoFill="0" autoLine="0" autoPict="0">
                <anchor moveWithCells="1">
                  <from>
                    <xdr:col>12</xdr:col>
                    <xdr:colOff>50800</xdr:colOff>
                    <xdr:row>25</xdr:row>
                    <xdr:rowOff>0</xdr:rowOff>
                  </from>
                  <to>
                    <xdr:col>12</xdr:col>
                    <xdr:colOff>336550</xdr:colOff>
                    <xdr:row>25</xdr:row>
                    <xdr:rowOff>222250</xdr:rowOff>
                  </to>
                </anchor>
              </controlPr>
            </control>
          </mc:Choice>
        </mc:AlternateContent>
        <mc:AlternateContent xmlns:mc="http://schemas.openxmlformats.org/markup-compatibility/2006">
          <mc:Choice Requires="x14">
            <control shapeId="5176" r:id="rId22" name="Check Box 56">
              <controlPr defaultSize="0" autoFill="0" autoLine="0" autoPict="0">
                <anchor moveWithCells="1">
                  <from>
                    <xdr:col>12</xdr:col>
                    <xdr:colOff>50800</xdr:colOff>
                    <xdr:row>28</xdr:row>
                    <xdr:rowOff>12700</xdr:rowOff>
                  </from>
                  <to>
                    <xdr:col>12</xdr:col>
                    <xdr:colOff>336550</xdr:colOff>
                    <xdr:row>28</xdr:row>
                    <xdr:rowOff>222250</xdr:rowOff>
                  </to>
                </anchor>
              </controlPr>
            </control>
          </mc:Choice>
        </mc:AlternateContent>
        <mc:AlternateContent xmlns:mc="http://schemas.openxmlformats.org/markup-compatibility/2006">
          <mc:Choice Requires="x14">
            <control shapeId="5177" r:id="rId23" name="Check Box 57">
              <controlPr defaultSize="0" autoFill="0" autoLine="0" autoPict="0">
                <anchor moveWithCells="1">
                  <from>
                    <xdr:col>12</xdr:col>
                    <xdr:colOff>50800</xdr:colOff>
                    <xdr:row>23</xdr:row>
                    <xdr:rowOff>0</xdr:rowOff>
                  </from>
                  <to>
                    <xdr:col>12</xdr:col>
                    <xdr:colOff>336550</xdr:colOff>
                    <xdr:row>23</xdr:row>
                    <xdr:rowOff>222250</xdr:rowOff>
                  </to>
                </anchor>
              </controlPr>
            </control>
          </mc:Choice>
        </mc:AlternateContent>
        <mc:AlternateContent xmlns:mc="http://schemas.openxmlformats.org/markup-compatibility/2006">
          <mc:Choice Requires="x14">
            <control shapeId="5178" r:id="rId24" name="Check Box 58">
              <controlPr defaultSize="0" autoFill="0" autoLine="0" autoPict="0">
                <anchor moveWithCells="1">
                  <from>
                    <xdr:col>12</xdr:col>
                    <xdr:colOff>50800</xdr:colOff>
                    <xdr:row>29</xdr:row>
                    <xdr:rowOff>12700</xdr:rowOff>
                  </from>
                  <to>
                    <xdr:col>12</xdr:col>
                    <xdr:colOff>336550</xdr:colOff>
                    <xdr:row>29</xdr:row>
                    <xdr:rowOff>222250</xdr:rowOff>
                  </to>
                </anchor>
              </controlPr>
            </control>
          </mc:Choice>
        </mc:AlternateContent>
        <mc:AlternateContent xmlns:mc="http://schemas.openxmlformats.org/markup-compatibility/2006">
          <mc:Choice Requires="x14">
            <control shapeId="5179" r:id="rId25" name="Check Box 59">
              <controlPr defaultSize="0" autoFill="0" autoLine="0" autoPict="0">
                <anchor moveWithCells="1">
                  <from>
                    <xdr:col>12</xdr:col>
                    <xdr:colOff>50800</xdr:colOff>
                    <xdr:row>30</xdr:row>
                    <xdr:rowOff>12700</xdr:rowOff>
                  </from>
                  <to>
                    <xdr:col>12</xdr:col>
                    <xdr:colOff>336550</xdr:colOff>
                    <xdr:row>30</xdr:row>
                    <xdr:rowOff>222250</xdr:rowOff>
                  </to>
                </anchor>
              </controlPr>
            </control>
          </mc:Choice>
        </mc:AlternateContent>
        <mc:AlternateContent xmlns:mc="http://schemas.openxmlformats.org/markup-compatibility/2006">
          <mc:Choice Requires="x14">
            <control shapeId="5180" r:id="rId26" name="Check Box 60">
              <controlPr defaultSize="0" autoFill="0" autoLine="0" autoPict="0">
                <anchor moveWithCells="1">
                  <from>
                    <xdr:col>12</xdr:col>
                    <xdr:colOff>50800</xdr:colOff>
                    <xdr:row>26</xdr:row>
                    <xdr:rowOff>0</xdr:rowOff>
                  </from>
                  <to>
                    <xdr:col>12</xdr:col>
                    <xdr:colOff>336550</xdr:colOff>
                    <xdr:row>26</xdr:row>
                    <xdr:rowOff>222250</xdr:rowOff>
                  </to>
                </anchor>
              </controlPr>
            </control>
          </mc:Choice>
        </mc:AlternateContent>
        <mc:AlternateContent xmlns:mc="http://schemas.openxmlformats.org/markup-compatibility/2006">
          <mc:Choice Requires="x14">
            <control shapeId="5181" r:id="rId27" name="Check Box 61">
              <controlPr defaultSize="0" autoFill="0" autoLine="0" autoPict="0">
                <anchor moveWithCells="1">
                  <from>
                    <xdr:col>12</xdr:col>
                    <xdr:colOff>50800</xdr:colOff>
                    <xdr:row>24</xdr:row>
                    <xdr:rowOff>0</xdr:rowOff>
                  </from>
                  <to>
                    <xdr:col>12</xdr:col>
                    <xdr:colOff>336550</xdr:colOff>
                    <xdr:row>24</xdr:row>
                    <xdr:rowOff>222250</xdr:rowOff>
                  </to>
                </anchor>
              </controlPr>
            </control>
          </mc:Choice>
        </mc:AlternateContent>
        <mc:AlternateContent xmlns:mc="http://schemas.openxmlformats.org/markup-compatibility/2006">
          <mc:Choice Requires="x14">
            <control shapeId="5182" r:id="rId28" name="Check Box 62">
              <controlPr defaultSize="0" autoFill="0" autoLine="0" autoPict="0">
                <anchor moveWithCells="1">
                  <from>
                    <xdr:col>16</xdr:col>
                    <xdr:colOff>57150</xdr:colOff>
                    <xdr:row>22</xdr:row>
                    <xdr:rowOff>12700</xdr:rowOff>
                  </from>
                  <to>
                    <xdr:col>16</xdr:col>
                    <xdr:colOff>355600</xdr:colOff>
                    <xdr:row>23</xdr:row>
                    <xdr:rowOff>0</xdr:rowOff>
                  </to>
                </anchor>
              </controlPr>
            </control>
          </mc:Choice>
        </mc:AlternateContent>
        <mc:AlternateContent xmlns:mc="http://schemas.openxmlformats.org/markup-compatibility/2006">
          <mc:Choice Requires="x14">
            <control shapeId="5183" r:id="rId29" name="Check Box 63">
              <controlPr defaultSize="0" autoFill="0" autoLine="0" autoPict="0">
                <anchor moveWithCells="1">
                  <from>
                    <xdr:col>16</xdr:col>
                    <xdr:colOff>57150</xdr:colOff>
                    <xdr:row>24</xdr:row>
                    <xdr:rowOff>0</xdr:rowOff>
                  </from>
                  <to>
                    <xdr:col>16</xdr:col>
                    <xdr:colOff>355600</xdr:colOff>
                    <xdr:row>24</xdr:row>
                    <xdr:rowOff>222250</xdr:rowOff>
                  </to>
                </anchor>
              </controlPr>
            </control>
          </mc:Choice>
        </mc:AlternateContent>
        <mc:AlternateContent xmlns:mc="http://schemas.openxmlformats.org/markup-compatibility/2006">
          <mc:Choice Requires="x14">
            <control shapeId="5184" r:id="rId30" name="Check Box 64">
              <controlPr defaultSize="0" autoFill="0" autoLine="0" autoPict="0">
                <anchor moveWithCells="1">
                  <from>
                    <xdr:col>16</xdr:col>
                    <xdr:colOff>57150</xdr:colOff>
                    <xdr:row>23</xdr:row>
                    <xdr:rowOff>0</xdr:rowOff>
                  </from>
                  <to>
                    <xdr:col>16</xdr:col>
                    <xdr:colOff>355600</xdr:colOff>
                    <xdr:row>23</xdr:row>
                    <xdr:rowOff>222250</xdr:rowOff>
                  </to>
                </anchor>
              </controlPr>
            </control>
          </mc:Choice>
        </mc:AlternateContent>
        <mc:AlternateContent xmlns:mc="http://schemas.openxmlformats.org/markup-compatibility/2006">
          <mc:Choice Requires="x14">
            <control shapeId="5185" r:id="rId31" name="Check Box 65">
              <controlPr defaultSize="0" autoFill="0" autoLine="0" autoPict="0">
                <anchor moveWithCells="1">
                  <from>
                    <xdr:col>16</xdr:col>
                    <xdr:colOff>57150</xdr:colOff>
                    <xdr:row>25</xdr:row>
                    <xdr:rowOff>19050</xdr:rowOff>
                  </from>
                  <to>
                    <xdr:col>16</xdr:col>
                    <xdr:colOff>355600</xdr:colOff>
                    <xdr:row>26</xdr:row>
                    <xdr:rowOff>12700</xdr:rowOff>
                  </to>
                </anchor>
              </controlPr>
            </control>
          </mc:Choice>
        </mc:AlternateContent>
        <mc:AlternateContent xmlns:mc="http://schemas.openxmlformats.org/markup-compatibility/2006">
          <mc:Choice Requires="x14">
            <control shapeId="5186" r:id="rId32" name="Check Box 66">
              <controlPr defaultSize="0" autoFill="0" autoLine="0" autoPict="0">
                <anchor moveWithCells="1">
                  <from>
                    <xdr:col>16</xdr:col>
                    <xdr:colOff>57150</xdr:colOff>
                    <xdr:row>26</xdr:row>
                    <xdr:rowOff>19050</xdr:rowOff>
                  </from>
                  <to>
                    <xdr:col>16</xdr:col>
                    <xdr:colOff>355600</xdr:colOff>
                    <xdr:row>27</xdr:row>
                    <xdr:rowOff>12700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+入力シート_1・3・ジクロロプロペン!F20</f>
        <v>1,3-ジクロロプロペン</v>
      </c>
      <c r="D6" s="721"/>
      <c r="E6" s="722"/>
      <c r="F6" s="17"/>
      <c r="G6" s="18" t="str">
        <f>$C$6</f>
        <v>1,3-ジクロロプロペン</v>
      </c>
      <c r="L6" s="102"/>
      <c r="M6" s="15"/>
      <c r="N6" s="15"/>
      <c r="O6" s="15"/>
      <c r="P6" s="15"/>
      <c r="Q6" s="15"/>
      <c r="R6" s="15"/>
      <c r="S6" s="15"/>
    </row>
    <row r="7" spans="2:19" ht="13.5" thickBot="1" x14ac:dyDescent="0.25">
      <c r="B7" s="19" t="s">
        <v>87</v>
      </c>
      <c r="C7" s="723" t="s">
        <v>88</v>
      </c>
      <c r="D7" s="724"/>
      <c r="E7" s="725"/>
      <c r="F7" s="20" t="s">
        <v>89</v>
      </c>
      <c r="G7" s="21">
        <f>+入力シート_1・3・ジクロロプロペン!R14</f>
        <v>2E-3</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++入力シート_1・3・ジクロロプロペン!J32</f>
        <v>30</v>
      </c>
      <c r="L9" s="102"/>
      <c r="M9" s="15"/>
      <c r="N9" s="15"/>
      <c r="O9" s="15"/>
      <c r="P9" s="15"/>
      <c r="Q9" s="15"/>
      <c r="R9" s="15"/>
      <c r="S9" s="15"/>
    </row>
    <row r="10" spans="2:19" ht="18" x14ac:dyDescent="0.2">
      <c r="B10" s="26" t="s">
        <v>91</v>
      </c>
      <c r="C10" s="686" t="s">
        <v>72</v>
      </c>
      <c r="D10" s="689"/>
      <c r="E10" s="687"/>
      <c r="F10" s="362" t="s">
        <v>43</v>
      </c>
      <c r="G10" s="28">
        <f>+入力シート_1・3・ジクロロプロペン!J33</f>
        <v>15</v>
      </c>
      <c r="L10" s="102"/>
      <c r="M10" s="15"/>
      <c r="N10" s="15"/>
      <c r="O10" s="15"/>
      <c r="P10" s="15"/>
      <c r="Q10" s="15"/>
      <c r="R10" s="15"/>
      <c r="S10" s="15"/>
    </row>
    <row r="11" spans="2:19" ht="18" x14ac:dyDescent="0.2">
      <c r="B11" s="26" t="s">
        <v>73</v>
      </c>
      <c r="C11" s="686" t="s">
        <v>74</v>
      </c>
      <c r="D11" s="689"/>
      <c r="E11" s="687"/>
      <c r="F11" s="362" t="s">
        <v>43</v>
      </c>
      <c r="G11" s="28">
        <f>+入力シート_1・3・ジクロロプロペン!J24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入力シート_1・3・ジクロロプロペン!J30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入力シート_1・3・ジクロロプロペン!R20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入力シート_1・3・ジクロロプロペン!F27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入力シート_1・3・ジクロロプロペン!R21</f>
        <v>0.3</v>
      </c>
      <c r="L23" s="70"/>
      <c r="M23" s="15"/>
      <c r="N23" s="15"/>
      <c r="O23" s="15"/>
      <c r="P23" s="15"/>
      <c r="Q23" s="15"/>
      <c r="R23" s="15"/>
      <c r="S23" s="15"/>
    </row>
    <row r="24" spans="1:19" ht="18" x14ac:dyDescent="0.2">
      <c r="A24" s="37"/>
      <c r="B24" s="26" t="s">
        <v>163</v>
      </c>
      <c r="C24" s="688" t="s">
        <v>177</v>
      </c>
      <c r="D24" s="689"/>
      <c r="E24" s="687"/>
      <c r="F24" s="362" t="s">
        <v>51</v>
      </c>
      <c r="G24" s="28">
        <f>入力シート_1・3・ジクロロプロペン!R22</f>
        <v>0.4</v>
      </c>
      <c r="L24" s="70"/>
      <c r="M24" s="15"/>
      <c r="N24" s="15"/>
      <c r="O24" s="15"/>
      <c r="P24" s="15"/>
      <c r="Q24" s="15"/>
      <c r="R24" s="15"/>
      <c r="S24" s="15"/>
    </row>
    <row r="25" spans="1:19" ht="21" x14ac:dyDescent="0.2">
      <c r="A25" s="37"/>
      <c r="B25" s="26" t="s">
        <v>101</v>
      </c>
      <c r="C25" s="686" t="s">
        <v>46</v>
      </c>
      <c r="D25" s="689"/>
      <c r="E25" s="687"/>
      <c r="F25" s="362" t="s">
        <v>43</v>
      </c>
      <c r="G25" s="43">
        <f>入力シート_1・3・ジクロロプロペン!R12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入力シート_1・3・ジクロロプロペン!R13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入力シート_1・3・ジクロロプロペン!R13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入力シート_1・3・ジクロロプロペン!R11</f>
        <v>0.03</v>
      </c>
      <c r="L29" s="70"/>
      <c r="M29" s="15"/>
      <c r="N29" s="15"/>
      <c r="O29" s="15"/>
      <c r="P29" s="15"/>
      <c r="Q29" s="15"/>
      <c r="R29" s="15"/>
      <c r="S29" s="15"/>
    </row>
    <row r="30" spans="1:19" ht="14" x14ac:dyDescent="0.3">
      <c r="A30" s="37"/>
      <c r="B30" s="49" t="s">
        <v>107</v>
      </c>
      <c r="C30" s="692" t="s">
        <v>53</v>
      </c>
      <c r="D30" s="692"/>
      <c r="E30" s="692"/>
      <c r="F30" s="364" t="s">
        <v>108</v>
      </c>
      <c r="G30" s="51">
        <f>入力シート_1・3・ジクロロプロペン!R9</f>
        <v>4.5999999999999999E-2</v>
      </c>
      <c r="L30" s="70"/>
      <c r="M30" s="15"/>
      <c r="N30" s="15"/>
      <c r="O30" s="15"/>
      <c r="P30" s="15"/>
      <c r="Q30" s="15"/>
      <c r="R30" s="15"/>
      <c r="S30" s="15"/>
    </row>
    <row r="31" spans="1:19" ht="18" x14ac:dyDescent="0.4">
      <c r="A31" s="37"/>
      <c r="B31" s="52" t="s">
        <v>109</v>
      </c>
      <c r="C31" s="692" t="s">
        <v>110</v>
      </c>
      <c r="D31" s="692"/>
      <c r="E31" s="692"/>
      <c r="F31" s="364" t="s">
        <v>111</v>
      </c>
      <c r="G31" s="51">
        <f>IF(A31="",入力シート_1・3・ジクロロプロペン!R10,A31)</f>
        <v>46</v>
      </c>
      <c r="L31" s="70"/>
      <c r="M31" s="15"/>
      <c r="N31" s="15"/>
      <c r="O31" s="15"/>
      <c r="P31" s="15"/>
      <c r="Q31" s="15"/>
      <c r="R31" s="15"/>
      <c r="S31" s="15"/>
    </row>
    <row r="32" spans="1:19" ht="18.5" thickBot="1" x14ac:dyDescent="0.45">
      <c r="A32" s="37"/>
      <c r="B32" s="53" t="s">
        <v>112</v>
      </c>
      <c r="C32" s="695" t="s">
        <v>113</v>
      </c>
      <c r="D32" s="695"/>
      <c r="E32" s="695"/>
      <c r="F32" s="365" t="s">
        <v>114</v>
      </c>
      <c r="G32" s="55">
        <f>入力シート_1・3・ジクロロプロペン!R25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入力シート_1・3・ジクロロプロペン!R24</f>
        <v>1.62</v>
      </c>
      <c r="L34" s="15"/>
      <c r="M34" s="15"/>
      <c r="N34" s="15"/>
      <c r="O34" s="15"/>
      <c r="P34" s="15"/>
      <c r="Q34" s="15"/>
      <c r="R34" s="15"/>
      <c r="S34" s="15"/>
    </row>
    <row r="35" spans="1:19" ht="18" x14ac:dyDescent="0.2">
      <c r="B35" s="26" t="s">
        <v>118</v>
      </c>
      <c r="C35" s="686" t="s">
        <v>119</v>
      </c>
      <c r="D35" s="689"/>
      <c r="E35" s="687"/>
      <c r="F35" s="362" t="s">
        <v>120</v>
      </c>
      <c r="G35" s="43">
        <f>+入力シート_1・3・ジクロロプロペン!J35*0.365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23.104906018664845</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1.2484</v>
      </c>
    </row>
    <row r="42" spans="1:19" ht="18.5" thickBot="1" x14ac:dyDescent="0.25">
      <c r="B42" s="61" t="s">
        <v>131</v>
      </c>
      <c r="R42" s="60"/>
    </row>
    <row r="43" spans="1:19" x14ac:dyDescent="0.2">
      <c r="B43" s="12"/>
      <c r="C43" s="697" t="s">
        <v>132</v>
      </c>
      <c r="D43" s="698"/>
      <c r="E43" s="698"/>
      <c r="F43" s="367"/>
      <c r="G43" s="125">
        <f>SQRT(1+4*$G38*G25/$G39)</f>
        <v>5.5050949625098839</v>
      </c>
      <c r="H43" s="122"/>
      <c r="I43" s="122"/>
      <c r="N43" s="60"/>
      <c r="R43" s="47"/>
    </row>
    <row r="44" spans="1:19" x14ac:dyDescent="0.2">
      <c r="B44" s="62" t="s">
        <v>133</v>
      </c>
      <c r="C44" s="687"/>
      <c r="D44" s="692"/>
      <c r="E44" s="692"/>
      <c r="F44" s="63"/>
      <c r="G44" s="126">
        <f>EXP(G14/(2*G25)*(1-G43))</f>
        <v>1.6493415000752282E-10</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1.5934373115179871E-10</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1.5934373115179871E-10</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1,3-ジクロロプロペン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1.5934373115179871E-10</v>
      </c>
      <c r="H63" s="139"/>
      <c r="I63" s="139"/>
      <c r="J63" s="79"/>
      <c r="K63" s="84"/>
      <c r="L63" s="691"/>
      <c r="M63" s="691"/>
      <c r="N63" s="691"/>
      <c r="O63" s="74"/>
      <c r="P63" s="85"/>
      <c r="Q63" s="47"/>
    </row>
    <row r="64" spans="1:17" ht="16.5" x14ac:dyDescent="0.2">
      <c r="B64" s="87"/>
      <c r="C64" s="693" t="s">
        <v>150</v>
      </c>
      <c r="D64" s="693"/>
      <c r="E64" s="693"/>
      <c r="F64" s="88">
        <f>+G64/G63*F63</f>
        <v>12551482.167156618</v>
      </c>
      <c r="G64" s="83">
        <f>+G7</f>
        <v>2E-3</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12551482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2.0139500903917938E-11</v>
      </c>
      <c r="H68" s="139"/>
      <c r="I68" s="139"/>
      <c r="J68" s="79"/>
    </row>
    <row r="69" spans="2:10" x14ac:dyDescent="0.2">
      <c r="B69" s="81"/>
      <c r="C69" s="686" t="s">
        <v>150</v>
      </c>
      <c r="D69" s="687"/>
      <c r="E69" s="364" t="s">
        <v>153</v>
      </c>
      <c r="F69" s="86">
        <f>+G69/G68*F68</f>
        <v>12551482.167156616</v>
      </c>
      <c r="G69" s="83">
        <f>+G64</f>
        <v>2E-3</v>
      </c>
      <c r="H69" s="139"/>
      <c r="I69" s="139"/>
      <c r="J69" s="79"/>
    </row>
    <row r="70" spans="2:10" x14ac:dyDescent="0.2">
      <c r="B70" s="81"/>
      <c r="C70" s="683" t="s">
        <v>154</v>
      </c>
      <c r="D70" s="683"/>
      <c r="E70" s="93">
        <f>+F69/F68*E68</f>
        <v>99307326.906543151</v>
      </c>
      <c r="F70" s="47"/>
      <c r="G70" s="47"/>
      <c r="H70" s="47"/>
      <c r="I70" s="47"/>
      <c r="J70" s="79"/>
    </row>
    <row r="71" spans="2:10" x14ac:dyDescent="0.2">
      <c r="B71" s="81"/>
      <c r="C71" s="683" t="s">
        <v>155</v>
      </c>
      <c r="D71" s="683"/>
      <c r="E71" s="83">
        <f>入力シート_1・3・ジクロロプロペン!R15</f>
        <v>0.02</v>
      </c>
      <c r="F71" s="47"/>
      <c r="G71" s="47"/>
      <c r="H71" s="47"/>
      <c r="I71" s="47"/>
      <c r="J71" s="79"/>
    </row>
    <row r="72" spans="2:10" ht="13.5" thickBot="1" x14ac:dyDescent="0.25">
      <c r="B72" s="81"/>
      <c r="C72" s="47"/>
      <c r="D72" s="47"/>
      <c r="E72" s="74">
        <f>IF(E70&gt;10,ROUNDDOWN(E70,0),IF(E70&gt;1,ROUNDDOWN(E70,1),IF(E70&gt;0.1,ROUNDDOWN(E70,2),IF(E70&gt;0.01,ROUNDDOWN(E70,3),ROUNDDOWN(E70,4)))))</f>
        <v>99307326</v>
      </c>
      <c r="F72" s="47"/>
      <c r="G72" s="47"/>
      <c r="H72" s="47"/>
      <c r="I72" s="47"/>
      <c r="J72" s="79"/>
    </row>
    <row r="73" spans="2:10" ht="13.5" thickBot="1" x14ac:dyDescent="0.25">
      <c r="B73" s="81"/>
      <c r="C73" s="684" t="s">
        <v>156</v>
      </c>
      <c r="D73" s="685"/>
      <c r="E73" s="109">
        <f>IF(E70&gt;E71,E71,E70)</f>
        <v>0.02</v>
      </c>
      <c r="F73" s="95" t="s">
        <v>157</v>
      </c>
      <c r="G73" s="47"/>
      <c r="H73" s="47"/>
      <c r="I73" s="47"/>
      <c r="J73" s="79"/>
    </row>
    <row r="74" spans="2:10" x14ac:dyDescent="0.2">
      <c r="B74" s="81"/>
      <c r="C74" s="47"/>
      <c r="D74" s="47"/>
      <c r="E74" s="74">
        <f>IF(E73&gt;10,ROUNDDOWN(E73,0),IF(E73&gt;1,ROUNDDOWN(E73,1),IF(E73&gt;0.1,ROUNDDOWN(E73,2),IF(E73&gt;0.01,ROUNDDOWN(E73,3),ROUNDDOWN(E73,4)))))</f>
        <v>0.02</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1.5934373115179871E-10</v>
      </c>
      <c r="H77" s="139"/>
      <c r="I77" s="139"/>
      <c r="J77" s="79"/>
    </row>
    <row r="78" spans="2:10" x14ac:dyDescent="0.2">
      <c r="B78" s="81"/>
      <c r="C78" s="686" t="s">
        <v>150</v>
      </c>
      <c r="D78" s="687"/>
      <c r="E78" s="364" t="s">
        <v>153</v>
      </c>
      <c r="F78" s="86">
        <f>+F64</f>
        <v>12551482.167156618</v>
      </c>
      <c r="G78" s="83">
        <f>+G69</f>
        <v>2E-3</v>
      </c>
      <c r="H78" s="139"/>
      <c r="I78" s="139"/>
      <c r="J78" s="79"/>
    </row>
    <row r="79" spans="2:10" x14ac:dyDescent="0.2">
      <c r="B79" s="81"/>
      <c r="C79" s="683" t="s">
        <v>154</v>
      </c>
      <c r="D79" s="683"/>
      <c r="E79" s="93">
        <f>+F78/F77*E77</f>
        <v>12551482.167156618</v>
      </c>
      <c r="F79" s="47"/>
      <c r="G79" s="47"/>
      <c r="H79" s="47"/>
      <c r="I79" s="47"/>
      <c r="J79" s="79"/>
    </row>
    <row r="80" spans="2:10" x14ac:dyDescent="0.2">
      <c r="B80" s="81"/>
      <c r="C80" s="683" t="s">
        <v>155</v>
      </c>
      <c r="D80" s="683"/>
      <c r="E80" s="83">
        <f>+E71</f>
        <v>0.02</v>
      </c>
      <c r="F80" s="47"/>
      <c r="G80" s="47"/>
      <c r="H80" s="47"/>
      <c r="I80" s="47"/>
      <c r="J80" s="79"/>
    </row>
    <row r="81" spans="2:10" ht="13.5" thickBot="1" x14ac:dyDescent="0.25">
      <c r="B81" s="81"/>
      <c r="C81" s="47"/>
      <c r="D81" s="47"/>
      <c r="E81" s="74">
        <f>IF(E79&gt;10,ROUNDDOWN(E79,0),IF(E79&gt;1,ROUNDDOWN(E79,1),IF(E79&gt;0.1,ROUNDDOWN(E79,2),IF(E79&gt;0.01,ROUNDDOWN(E79,3),ROUNDDOWN(E79,4)))))</f>
        <v>12551482</v>
      </c>
      <c r="F81" s="47"/>
      <c r="G81" s="47"/>
      <c r="H81" s="47"/>
      <c r="I81" s="47"/>
      <c r="J81" s="79"/>
    </row>
    <row r="82" spans="2:10" ht="13.5" thickBot="1" x14ac:dyDescent="0.25">
      <c r="B82" s="81"/>
      <c r="C82" s="684" t="s">
        <v>156</v>
      </c>
      <c r="D82" s="685"/>
      <c r="E82" s="109">
        <f>IF(E79&gt;E80,E80,E79)</f>
        <v>0.02</v>
      </c>
      <c r="F82" s="95" t="s">
        <v>157</v>
      </c>
      <c r="G82" s="47"/>
      <c r="H82" s="47"/>
      <c r="I82" s="47"/>
      <c r="J82" s="79"/>
    </row>
    <row r="83" spans="2:10" x14ac:dyDescent="0.2">
      <c r="B83" s="81"/>
      <c r="C83" s="47"/>
      <c r="D83" s="47"/>
      <c r="E83" s="74">
        <f>IF(E82&gt;10,ROUNDDOWN(E82,0),IF(E82&gt;1,ROUNDDOWN(E82,1),IF(E82&gt;0.1,ROUNDDOWN(E82,2),IF(E82&gt;0.01,ROUNDDOWN(E82,3),ROUNDDOWN(E82,4)))))</f>
        <v>0.02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236" priority="5">
      <formula>$A41&gt;0</formula>
    </cfRule>
  </conditionalFormatting>
  <conditionalFormatting sqref="G30">
    <cfRule type="expression" dxfId="235" priority="4">
      <formula>$A$29&gt;0</formula>
    </cfRule>
  </conditionalFormatting>
  <conditionalFormatting sqref="G31">
    <cfRule type="expression" dxfId="234" priority="3">
      <formula>$A$30&gt;0</formula>
    </cfRule>
  </conditionalFormatting>
  <conditionalFormatting sqref="G32">
    <cfRule type="expression" dxfId="233" priority="2">
      <formula>$A$31&gt;0</formula>
    </cfRule>
  </conditionalFormatting>
  <conditionalFormatting sqref="G9">
    <cfRule type="expression" dxfId="232" priority="6">
      <formula>#REF!&gt;0</formula>
    </cfRule>
  </conditionalFormatting>
  <conditionalFormatting sqref="G11 G25:I27">
    <cfRule type="expression" dxfId="231" priority="7">
      <formula>#REF!&gt;0</formula>
    </cfRule>
  </conditionalFormatting>
  <conditionalFormatting sqref="G18">
    <cfRule type="expression" dxfId="230" priority="8">
      <formula>#REF!&gt;0</formula>
    </cfRule>
  </conditionalFormatting>
  <conditionalFormatting sqref="G22:G24">
    <cfRule type="expression" dxfId="229" priority="9">
      <formula>$A$25&gt;0</formula>
    </cfRule>
  </conditionalFormatting>
  <conditionalFormatting sqref="G23:G24">
    <cfRule type="expression" dxfId="228" priority="10">
      <formula>#REF!&gt;0</formula>
    </cfRule>
  </conditionalFormatting>
  <conditionalFormatting sqref="G21">
    <cfRule type="expression" dxfId="227" priority="11">
      <formula>$A$23&gt;0</formula>
    </cfRule>
  </conditionalFormatting>
  <conditionalFormatting sqref="G12">
    <cfRule type="expression" dxfId="226" priority="1">
      <formula>#REF!&gt;0</formula>
    </cfRule>
  </conditionalFormatting>
  <conditionalFormatting sqref="G34">
    <cfRule type="expression" dxfId="225" priority="12">
      <formula>#REF!&gt;0</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5.9000000000000004E-2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59</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2</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0.1</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336</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113</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+計算シート_ベンゼン!G39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計算シート_ベンゼン!G41</f>
        <v>1.3186</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IF(入力シート_ベンゼン!$Y$14=1,"目標土壌溶出量濃度",IF(入力シート_ベンゼン!$Y$14=2,"目標土壌溶出量濃度",IF(入力シート_ベンゼン!$Y$14=3,"目標土壌溶出量濃度","PRB通過後の観測点における目標地下水濃度")))</f>
        <v>目標土壌溶出量濃度</v>
      </c>
      <c r="E41" s="527"/>
      <c r="F41" s="527"/>
      <c r="G41" s="528">
        <f>IF($X$14=1,IF(計算シート_ベンゼン!E83&gt;10000,"&gt;10,000",+計算シート_ベンゼン!E83),計算シート_ベンゼン!E74)</f>
        <v>2.8000000000000001E-2</v>
      </c>
      <c r="H41" s="528"/>
      <c r="I41" s="244" t="s">
        <v>28</v>
      </c>
      <c r="J41" s="155"/>
      <c r="K41" s="529">
        <f>+計算シート_ベンゼン!E83</f>
        <v>2.8000000000000001E-2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224" priority="3">
      <formula>LEN(TRIM(Y13))=0</formula>
    </cfRule>
  </conditionalFormatting>
  <conditionalFormatting sqref="D35:H35 J35:L35">
    <cfRule type="expression" dxfId="223" priority="2">
      <formula>$X$14=1</formula>
    </cfRule>
  </conditionalFormatting>
  <conditionalFormatting sqref="I35">
    <cfRule type="expression" dxfId="222"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19458"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19459"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+入力シート_ベンゼン!F20</f>
        <v>ベンゼン</v>
      </c>
      <c r="D6" s="721"/>
      <c r="E6" s="722"/>
      <c r="F6" s="17"/>
      <c r="G6" s="18" t="str">
        <f>$C$6</f>
        <v>ベンゼン</v>
      </c>
      <c r="L6" s="102"/>
      <c r="M6" s="15"/>
      <c r="N6" s="15"/>
      <c r="O6" s="15"/>
      <c r="P6" s="15"/>
      <c r="Q6" s="15"/>
      <c r="R6" s="15"/>
      <c r="S6" s="15"/>
    </row>
    <row r="7" spans="2:19" ht="13.5" thickBot="1" x14ac:dyDescent="0.25">
      <c r="B7" s="19" t="s">
        <v>87</v>
      </c>
      <c r="C7" s="723" t="s">
        <v>88</v>
      </c>
      <c r="D7" s="724"/>
      <c r="E7" s="725"/>
      <c r="F7" s="20" t="s">
        <v>89</v>
      </c>
      <c r="G7" s="21">
        <f>+入力シート_ベンゼン!R14</f>
        <v>0.01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++入力シート_ベンゼン!J32</f>
        <v>30</v>
      </c>
      <c r="L9" s="102"/>
      <c r="M9" s="15"/>
      <c r="N9" s="15"/>
      <c r="O9" s="15"/>
      <c r="P9" s="15"/>
      <c r="Q9" s="15"/>
      <c r="R9" s="15"/>
      <c r="S9" s="15"/>
    </row>
    <row r="10" spans="2:19" ht="18" x14ac:dyDescent="0.2">
      <c r="B10" s="26" t="s">
        <v>91</v>
      </c>
      <c r="C10" s="686" t="s">
        <v>72</v>
      </c>
      <c r="D10" s="689"/>
      <c r="E10" s="687"/>
      <c r="F10" s="362" t="s">
        <v>43</v>
      </c>
      <c r="G10" s="28">
        <f>+入力シート_ベンゼン!J33</f>
        <v>15</v>
      </c>
      <c r="L10" s="102"/>
      <c r="M10" s="15"/>
      <c r="N10" s="15"/>
      <c r="O10" s="15"/>
      <c r="P10" s="15"/>
      <c r="Q10" s="15"/>
      <c r="R10" s="15"/>
      <c r="S10" s="15"/>
    </row>
    <row r="11" spans="2:19" ht="18" x14ac:dyDescent="0.2">
      <c r="B11" s="26" t="s">
        <v>73</v>
      </c>
      <c r="C11" s="686" t="s">
        <v>74</v>
      </c>
      <c r="D11" s="689"/>
      <c r="E11" s="687"/>
      <c r="F11" s="362" t="s">
        <v>43</v>
      </c>
      <c r="G11" s="28">
        <f>+入力シート_ベンゼン!J24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入力シート_ベンゼン!J30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入力シート_ベンゼン!R20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入力シート_ベンゼン!F27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入力シート_ベンゼン!R21</f>
        <v>0.3</v>
      </c>
      <c r="L23" s="70"/>
      <c r="M23" s="15"/>
      <c r="N23" s="15"/>
      <c r="O23" s="15"/>
      <c r="P23" s="15"/>
      <c r="Q23" s="15"/>
      <c r="R23" s="15"/>
      <c r="S23" s="15"/>
    </row>
    <row r="24" spans="1:19" ht="18" x14ac:dyDescent="0.2">
      <c r="A24" s="37"/>
      <c r="B24" s="26" t="s">
        <v>163</v>
      </c>
      <c r="C24" s="688" t="s">
        <v>177</v>
      </c>
      <c r="D24" s="689"/>
      <c r="E24" s="687"/>
      <c r="F24" s="362" t="s">
        <v>51</v>
      </c>
      <c r="G24" s="28">
        <f>入力シート_ベンゼン!R22</f>
        <v>0.4</v>
      </c>
      <c r="L24" s="70"/>
      <c r="M24" s="15"/>
      <c r="N24" s="15"/>
      <c r="O24" s="15"/>
      <c r="P24" s="15"/>
      <c r="Q24" s="15"/>
      <c r="R24" s="15"/>
      <c r="S24" s="15"/>
    </row>
    <row r="25" spans="1:19" ht="21" x14ac:dyDescent="0.2">
      <c r="A25" s="37"/>
      <c r="B25" s="26" t="s">
        <v>101</v>
      </c>
      <c r="C25" s="686" t="s">
        <v>46</v>
      </c>
      <c r="D25" s="689"/>
      <c r="E25" s="687"/>
      <c r="F25" s="362" t="s">
        <v>43</v>
      </c>
      <c r="G25" s="43">
        <f>入力シート_ベンゼン!R12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入力シート_ベンゼン!R13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入力シート_ベンゼン!R13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入力シート_ベンゼン!R11</f>
        <v>2</v>
      </c>
      <c r="L29" s="70"/>
      <c r="M29" s="15"/>
      <c r="N29" s="15"/>
      <c r="O29" s="15"/>
      <c r="P29" s="15"/>
      <c r="Q29" s="15"/>
      <c r="R29" s="15"/>
      <c r="S29" s="15"/>
    </row>
    <row r="30" spans="1:19" ht="14" x14ac:dyDescent="0.3">
      <c r="A30" s="37"/>
      <c r="B30" s="49" t="s">
        <v>107</v>
      </c>
      <c r="C30" s="692" t="s">
        <v>53</v>
      </c>
      <c r="D30" s="692"/>
      <c r="E30" s="692"/>
      <c r="F30" s="364" t="s">
        <v>108</v>
      </c>
      <c r="G30" s="51">
        <f>入力シート_ベンゼン!R9</f>
        <v>5.9000000000000004E-2</v>
      </c>
      <c r="L30" s="70"/>
      <c r="M30" s="15"/>
      <c r="N30" s="15"/>
      <c r="O30" s="15"/>
      <c r="P30" s="15"/>
      <c r="Q30" s="15"/>
      <c r="R30" s="15"/>
      <c r="S30" s="15"/>
    </row>
    <row r="31" spans="1:19" ht="18" x14ac:dyDescent="0.4">
      <c r="A31" s="37"/>
      <c r="B31" s="52" t="s">
        <v>109</v>
      </c>
      <c r="C31" s="692" t="s">
        <v>110</v>
      </c>
      <c r="D31" s="692"/>
      <c r="E31" s="692"/>
      <c r="F31" s="364" t="s">
        <v>111</v>
      </c>
      <c r="G31" s="51">
        <f>IF(A31="",入力シート_ベンゼン!R10,A31)</f>
        <v>59</v>
      </c>
      <c r="L31" s="70"/>
      <c r="M31" s="15"/>
      <c r="N31" s="15"/>
      <c r="O31" s="15"/>
      <c r="P31" s="15"/>
      <c r="Q31" s="15"/>
      <c r="R31" s="15"/>
      <c r="S31" s="15"/>
    </row>
    <row r="32" spans="1:19" ht="18.5" thickBot="1" x14ac:dyDescent="0.45">
      <c r="A32" s="37"/>
      <c r="B32" s="53" t="s">
        <v>112</v>
      </c>
      <c r="C32" s="695" t="s">
        <v>113</v>
      </c>
      <c r="D32" s="695"/>
      <c r="E32" s="695"/>
      <c r="F32" s="365" t="s">
        <v>114</v>
      </c>
      <c r="G32" s="55">
        <f>入力シート_ベンゼン!R25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入力シート_ベンゼン!R24</f>
        <v>1.62</v>
      </c>
      <c r="L34" s="15"/>
      <c r="M34" s="15"/>
      <c r="N34" s="15"/>
      <c r="O34" s="15"/>
      <c r="P34" s="15"/>
      <c r="Q34" s="15"/>
      <c r="R34" s="15"/>
      <c r="S34" s="15"/>
    </row>
    <row r="35" spans="1:19" ht="18" x14ac:dyDescent="0.2">
      <c r="B35" s="26" t="s">
        <v>118</v>
      </c>
      <c r="C35" s="686" t="s">
        <v>119</v>
      </c>
      <c r="D35" s="689"/>
      <c r="E35" s="687"/>
      <c r="F35" s="362" t="s">
        <v>120</v>
      </c>
      <c r="G35" s="43">
        <f>+入力シート_ベンゼン!J35*0.365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0.34657359027997264</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1.3186</v>
      </c>
    </row>
    <row r="42" spans="1:19" ht="18.5" thickBot="1" x14ac:dyDescent="0.25">
      <c r="B42" s="61" t="s">
        <v>131</v>
      </c>
      <c r="R42" s="60"/>
    </row>
    <row r="43" spans="1:19" x14ac:dyDescent="0.2">
      <c r="B43" s="12"/>
      <c r="C43" s="697" t="s">
        <v>132</v>
      </c>
      <c r="D43" s="698"/>
      <c r="E43" s="698"/>
      <c r="F43" s="367"/>
      <c r="G43" s="125">
        <f>SQRT(1+4*$G38*G25/$G39)</f>
        <v>1.1998295954816982</v>
      </c>
      <c r="H43" s="122"/>
      <c r="I43" s="122"/>
      <c r="N43" s="60"/>
      <c r="R43" s="47"/>
    </row>
    <row r="44" spans="1:19" x14ac:dyDescent="0.2">
      <c r="B44" s="62" t="s">
        <v>133</v>
      </c>
      <c r="C44" s="687"/>
      <c r="D44" s="692"/>
      <c r="E44" s="692"/>
      <c r="F44" s="63"/>
      <c r="G44" s="126">
        <f>EXP(G14/(2*G25)*(1-G43))</f>
        <v>0.36819301633386353</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0.35571316797641372</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0.35571316797641372</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ベンゼン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0.35571316797641372</v>
      </c>
      <c r="H63" s="139"/>
      <c r="I63" s="139"/>
      <c r="J63" s="79"/>
      <c r="K63" s="84"/>
      <c r="L63" s="691"/>
      <c r="M63" s="691"/>
      <c r="N63" s="691"/>
      <c r="O63" s="74"/>
      <c r="P63" s="85"/>
      <c r="Q63" s="47"/>
    </row>
    <row r="64" spans="1:17" ht="16.5" x14ac:dyDescent="0.2">
      <c r="B64" s="87"/>
      <c r="C64" s="693" t="s">
        <v>150</v>
      </c>
      <c r="D64" s="693"/>
      <c r="E64" s="693"/>
      <c r="F64" s="88">
        <f>+G64/G63*F63</f>
        <v>2.8112538135397536E-2</v>
      </c>
      <c r="G64" s="83">
        <f>+G7</f>
        <v>0.01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2.8000000000000001E-2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4.4958691604703456E-2</v>
      </c>
      <c r="H68" s="139"/>
      <c r="I68" s="139"/>
      <c r="J68" s="79"/>
    </row>
    <row r="69" spans="2:10" x14ac:dyDescent="0.2">
      <c r="B69" s="81"/>
      <c r="C69" s="686" t="s">
        <v>150</v>
      </c>
      <c r="D69" s="687"/>
      <c r="E69" s="364" t="s">
        <v>153</v>
      </c>
      <c r="F69" s="86">
        <f>+G69/G68*F68</f>
        <v>2.8112538135397536E-2</v>
      </c>
      <c r="G69" s="83">
        <f>+G64</f>
        <v>0.01</v>
      </c>
      <c r="H69" s="139"/>
      <c r="I69" s="139"/>
      <c r="J69" s="79"/>
    </row>
    <row r="70" spans="2:10" x14ac:dyDescent="0.2">
      <c r="B70" s="81"/>
      <c r="C70" s="683" t="s">
        <v>154</v>
      </c>
      <c r="D70" s="683"/>
      <c r="E70" s="93">
        <f>+F69/F68*E68</f>
        <v>0.2224264017272653</v>
      </c>
      <c r="F70" s="47"/>
      <c r="G70" s="47"/>
      <c r="H70" s="47"/>
      <c r="I70" s="47"/>
      <c r="J70" s="79"/>
    </row>
    <row r="71" spans="2:10" x14ac:dyDescent="0.2">
      <c r="B71" s="81"/>
      <c r="C71" s="683" t="s">
        <v>155</v>
      </c>
      <c r="D71" s="683"/>
      <c r="E71" s="83">
        <f>入力シート_ベンゼン!R15</f>
        <v>0.1</v>
      </c>
      <c r="F71" s="47"/>
      <c r="G71" s="47"/>
      <c r="H71" s="47"/>
      <c r="I71" s="47"/>
      <c r="J71" s="79"/>
    </row>
    <row r="72" spans="2:10" ht="13.5" thickBot="1" x14ac:dyDescent="0.25">
      <c r="B72" s="81"/>
      <c r="C72" s="47"/>
      <c r="D72" s="47"/>
      <c r="E72" s="74">
        <f>IF(E70&gt;10,ROUNDDOWN(E70,0),IF(E70&gt;1,ROUNDDOWN(E70,1),IF(E70&gt;0.1,ROUNDDOWN(E70,2),IF(E70&gt;0.01,ROUNDDOWN(E70,3),ROUNDDOWN(E70,4)))))</f>
        <v>0.22</v>
      </c>
      <c r="F72" s="47"/>
      <c r="G72" s="47"/>
      <c r="H72" s="47"/>
      <c r="I72" s="47"/>
      <c r="J72" s="79"/>
    </row>
    <row r="73" spans="2:10" ht="13.5" thickBot="1" x14ac:dyDescent="0.25">
      <c r="B73" s="81"/>
      <c r="C73" s="684" t="s">
        <v>156</v>
      </c>
      <c r="D73" s="685"/>
      <c r="E73" s="109">
        <f>IF(E70&gt;E71,E71,E70)</f>
        <v>0.1</v>
      </c>
      <c r="F73" s="95" t="s">
        <v>157</v>
      </c>
      <c r="G73" s="47"/>
      <c r="H73" s="47"/>
      <c r="I73" s="47"/>
      <c r="J73" s="79"/>
    </row>
    <row r="74" spans="2:10" x14ac:dyDescent="0.2">
      <c r="B74" s="81"/>
      <c r="C74" s="47"/>
      <c r="D74" s="47"/>
      <c r="E74" s="74">
        <f>IF(E73&gt;10,ROUNDDOWN(E73,0),IF(E73&gt;1,ROUNDDOWN(E73,1),IF(E73&gt;0.1,ROUNDDOWN(E73,2),IF(E73&gt;0.01,ROUNDDOWN(E73,3),ROUNDDOWN(E73,4)))))</f>
        <v>0.1</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0.35571316797641372</v>
      </c>
      <c r="H77" s="139"/>
      <c r="I77" s="139"/>
      <c r="J77" s="79"/>
    </row>
    <row r="78" spans="2:10" x14ac:dyDescent="0.2">
      <c r="B78" s="81"/>
      <c r="C78" s="686" t="s">
        <v>150</v>
      </c>
      <c r="D78" s="687"/>
      <c r="E78" s="364" t="s">
        <v>153</v>
      </c>
      <c r="F78" s="86">
        <f>+F64</f>
        <v>2.8112538135397536E-2</v>
      </c>
      <c r="G78" s="83">
        <f>+G69</f>
        <v>0.01</v>
      </c>
      <c r="H78" s="139"/>
      <c r="I78" s="139"/>
      <c r="J78" s="79"/>
    </row>
    <row r="79" spans="2:10" x14ac:dyDescent="0.2">
      <c r="B79" s="81"/>
      <c r="C79" s="683" t="s">
        <v>154</v>
      </c>
      <c r="D79" s="683"/>
      <c r="E79" s="93">
        <f>+F78/F77*E77</f>
        <v>2.8112538135397536E-2</v>
      </c>
      <c r="F79" s="47"/>
      <c r="G79" s="47"/>
      <c r="H79" s="47"/>
      <c r="I79" s="47"/>
      <c r="J79" s="79"/>
    </row>
    <row r="80" spans="2:10" x14ac:dyDescent="0.2">
      <c r="B80" s="81"/>
      <c r="C80" s="683" t="s">
        <v>155</v>
      </c>
      <c r="D80" s="683"/>
      <c r="E80" s="83">
        <f>+E71</f>
        <v>0.1</v>
      </c>
      <c r="F80" s="47"/>
      <c r="G80" s="47"/>
      <c r="H80" s="47"/>
      <c r="I80" s="47"/>
      <c r="J80" s="79"/>
    </row>
    <row r="81" spans="2:10" ht="13.5" thickBot="1" x14ac:dyDescent="0.25">
      <c r="B81" s="81"/>
      <c r="C81" s="47"/>
      <c r="D81" s="47"/>
      <c r="E81" s="74">
        <f>IF(E79&gt;10,ROUNDDOWN(E79,0),IF(E79&gt;1,ROUNDDOWN(E79,1),IF(E79&gt;0.1,ROUNDDOWN(E79,2),IF(E79&gt;0.01,ROUNDDOWN(E79,3),ROUNDDOWN(E79,4)))))</f>
        <v>2.8000000000000001E-2</v>
      </c>
      <c r="F81" s="47"/>
      <c r="G81" s="47"/>
      <c r="H81" s="47"/>
      <c r="I81" s="47"/>
      <c r="J81" s="79"/>
    </row>
    <row r="82" spans="2:10" ht="13.5" thickBot="1" x14ac:dyDescent="0.25">
      <c r="B82" s="81"/>
      <c r="C82" s="684" t="s">
        <v>156</v>
      </c>
      <c r="D82" s="685"/>
      <c r="E82" s="109">
        <f>IF(E79&gt;E80,E80,E79)</f>
        <v>2.8112538135397536E-2</v>
      </c>
      <c r="F82" s="95" t="s">
        <v>157</v>
      </c>
      <c r="G82" s="47"/>
      <c r="H82" s="47"/>
      <c r="I82" s="47"/>
      <c r="J82" s="79"/>
    </row>
    <row r="83" spans="2:10" x14ac:dyDescent="0.2">
      <c r="B83" s="81"/>
      <c r="C83" s="47"/>
      <c r="D83" s="47"/>
      <c r="E83" s="74">
        <f>IF(E82&gt;10,ROUNDDOWN(E82,0),IF(E82&gt;1,ROUNDDOWN(E82,1),IF(E82&gt;0.1,ROUNDDOWN(E82,2),IF(E82&gt;0.01,ROUNDDOWN(E82,3),ROUNDDOWN(E82,4)))))</f>
        <v>2.8000000000000001E-2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221" priority="5">
      <formula>$A41&gt;0</formula>
    </cfRule>
  </conditionalFormatting>
  <conditionalFormatting sqref="G30">
    <cfRule type="expression" dxfId="220" priority="4">
      <formula>$A$29&gt;0</formula>
    </cfRule>
  </conditionalFormatting>
  <conditionalFormatting sqref="G31">
    <cfRule type="expression" dxfId="219" priority="3">
      <formula>$A$30&gt;0</formula>
    </cfRule>
  </conditionalFormatting>
  <conditionalFormatting sqref="G32">
    <cfRule type="expression" dxfId="218" priority="2">
      <formula>$A$31&gt;0</formula>
    </cfRule>
  </conditionalFormatting>
  <conditionalFormatting sqref="G9">
    <cfRule type="expression" dxfId="217" priority="6">
      <formula>#REF!&gt;0</formula>
    </cfRule>
  </conditionalFormatting>
  <conditionalFormatting sqref="G11 G25:I27">
    <cfRule type="expression" dxfId="216" priority="7">
      <formula>#REF!&gt;0</formula>
    </cfRule>
  </conditionalFormatting>
  <conditionalFormatting sqref="G18">
    <cfRule type="expression" dxfId="215" priority="8">
      <formula>#REF!&gt;0</formula>
    </cfRule>
  </conditionalFormatting>
  <conditionalFormatting sqref="G22:G24">
    <cfRule type="expression" dxfId="214" priority="9">
      <formula>$A$25&gt;0</formula>
    </cfRule>
  </conditionalFormatting>
  <conditionalFormatting sqref="G23:G24">
    <cfRule type="expression" dxfId="213" priority="10">
      <formula>#REF!&gt;0</formula>
    </cfRule>
  </conditionalFormatting>
  <conditionalFormatting sqref="G21">
    <cfRule type="expression" dxfId="212" priority="11">
      <formula>$A$23&gt;0</formula>
    </cfRule>
  </conditionalFormatting>
  <conditionalFormatting sqref="G12">
    <cfRule type="expression" dxfId="211" priority="1">
      <formula>#REF!&gt;0</formula>
    </cfRule>
  </conditionalFormatting>
  <conditionalFormatting sqref="G34">
    <cfRule type="expression" dxfId="210" priority="12">
      <formula>#REF!&gt;0</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10</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0.3</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337</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201</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+計算シート_鉛!G39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計算シート_鉛!G41</f>
        <v>55.000000000000014</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IF(入力シート_鉛!$Y$14=1,"目標土壌溶出量濃度",IF(入力シート_鉛!$Y$14=2,"目標土壌溶出量濃度",IF(入力シート_鉛!$Y$14=3,"目標土壌溶出量濃度","PRB通過後の観測点における目標地下水濃度")))</f>
        <v>目標土壌溶出量濃度</v>
      </c>
      <c r="E41" s="527"/>
      <c r="F41" s="527"/>
      <c r="G41" s="528">
        <f>IF($X$14=1,IF(計算シート_鉛!E83&gt;10000,"&gt;10,000",+計算シート_鉛!E83),計算シート_鉛!E74)</f>
        <v>9.9000000000000005E-2</v>
      </c>
      <c r="H41" s="528"/>
      <c r="I41" s="244" t="s">
        <v>28</v>
      </c>
      <c r="J41" s="155"/>
      <c r="K41" s="529">
        <f>+計算シート_鉛!E83</f>
        <v>9.9000000000000005E-2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209" priority="3">
      <formula>LEN(TRIM(Y13))=0</formula>
    </cfRule>
  </conditionalFormatting>
  <conditionalFormatting sqref="D35:H35 J35:L35">
    <cfRule type="expression" dxfId="208" priority="2">
      <formula>$X$14=1</formula>
    </cfRule>
  </conditionalFormatting>
  <conditionalFormatting sqref="I35">
    <cfRule type="expression" dxfId="207"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0482"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0483"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+入力シート_鉛!F20</f>
        <v>鉛</v>
      </c>
      <c r="D6" s="721"/>
      <c r="E6" s="722"/>
      <c r="F6" s="17"/>
      <c r="G6" s="18" t="str">
        <f>$C$6</f>
        <v>鉛</v>
      </c>
      <c r="L6" s="102"/>
      <c r="M6" s="15"/>
      <c r="N6" s="15"/>
      <c r="O6" s="15"/>
      <c r="P6" s="15"/>
      <c r="Q6" s="15"/>
      <c r="R6" s="15"/>
      <c r="S6" s="15"/>
    </row>
    <row r="7" spans="2:19" ht="13.5" thickBot="1" x14ac:dyDescent="0.25">
      <c r="B7" s="19" t="s">
        <v>87</v>
      </c>
      <c r="C7" s="723" t="s">
        <v>88</v>
      </c>
      <c r="D7" s="724"/>
      <c r="E7" s="725"/>
      <c r="F7" s="20" t="s">
        <v>89</v>
      </c>
      <c r="G7" s="21">
        <f>+入力シート_鉛!R14</f>
        <v>0.01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++入力シート_鉛!J32</f>
        <v>30</v>
      </c>
      <c r="L9" s="102"/>
      <c r="M9" s="15"/>
      <c r="N9" s="15"/>
      <c r="O9" s="15"/>
      <c r="P9" s="15"/>
      <c r="Q9" s="15"/>
      <c r="R9" s="15"/>
      <c r="S9" s="15"/>
    </row>
    <row r="10" spans="2:19" ht="18" x14ac:dyDescent="0.2">
      <c r="B10" s="26" t="s">
        <v>91</v>
      </c>
      <c r="C10" s="686" t="s">
        <v>72</v>
      </c>
      <c r="D10" s="689"/>
      <c r="E10" s="687"/>
      <c r="F10" s="362" t="s">
        <v>43</v>
      </c>
      <c r="G10" s="28">
        <f>+入力シート_鉛!J33</f>
        <v>15</v>
      </c>
      <c r="L10" s="102"/>
      <c r="M10" s="15"/>
      <c r="N10" s="15"/>
      <c r="O10" s="15"/>
      <c r="P10" s="15"/>
      <c r="Q10" s="15"/>
      <c r="R10" s="15"/>
      <c r="S10" s="15"/>
    </row>
    <row r="11" spans="2:19" ht="18" x14ac:dyDescent="0.2">
      <c r="B11" s="26" t="s">
        <v>73</v>
      </c>
      <c r="C11" s="686" t="s">
        <v>74</v>
      </c>
      <c r="D11" s="689"/>
      <c r="E11" s="687"/>
      <c r="F11" s="362" t="s">
        <v>43</v>
      </c>
      <c r="G11" s="28">
        <f>+入力シート_鉛!J24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入力シート_鉛!J30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入力シート_鉛!R20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入力シート_鉛!F27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入力シート_鉛!R21</f>
        <v>0.3</v>
      </c>
      <c r="L23" s="70"/>
      <c r="M23" s="15"/>
      <c r="N23" s="15"/>
      <c r="O23" s="15"/>
      <c r="P23" s="15"/>
      <c r="Q23" s="15"/>
      <c r="R23" s="15"/>
      <c r="S23" s="15"/>
    </row>
    <row r="24" spans="1:19" ht="18" x14ac:dyDescent="0.2">
      <c r="A24" s="37"/>
      <c r="B24" s="26" t="s">
        <v>163</v>
      </c>
      <c r="C24" s="688" t="s">
        <v>177</v>
      </c>
      <c r="D24" s="689"/>
      <c r="E24" s="687"/>
      <c r="F24" s="362" t="s">
        <v>51</v>
      </c>
      <c r="G24" s="28">
        <f>入力シート_鉛!R22</f>
        <v>0.4</v>
      </c>
      <c r="L24" s="70"/>
      <c r="M24" s="15"/>
      <c r="N24" s="15"/>
      <c r="O24" s="15"/>
      <c r="P24" s="15"/>
      <c r="Q24" s="15"/>
      <c r="R24" s="15"/>
      <c r="S24" s="15"/>
    </row>
    <row r="25" spans="1:19" ht="21" x14ac:dyDescent="0.2">
      <c r="A25" s="37"/>
      <c r="B25" s="26" t="s">
        <v>101</v>
      </c>
      <c r="C25" s="686" t="s">
        <v>46</v>
      </c>
      <c r="D25" s="689"/>
      <c r="E25" s="687"/>
      <c r="F25" s="362" t="s">
        <v>43</v>
      </c>
      <c r="G25" s="43">
        <f>入力シート_鉛!R12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入力シート_鉛!R13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入力シート_鉛!R13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入力シート_鉛!R11</f>
        <v>-</v>
      </c>
      <c r="L29" s="70"/>
      <c r="M29" s="15"/>
      <c r="N29" s="15"/>
      <c r="O29" s="15"/>
      <c r="P29" s="15"/>
      <c r="Q29" s="15"/>
      <c r="R29" s="15"/>
      <c r="S29" s="15"/>
    </row>
    <row r="30" spans="1:19" ht="14" x14ac:dyDescent="0.3">
      <c r="A30" s="37"/>
      <c r="B30" s="49" t="s">
        <v>107</v>
      </c>
      <c r="C30" s="692" t="s">
        <v>53</v>
      </c>
      <c r="D30" s="692"/>
      <c r="E30" s="692"/>
      <c r="F30" s="364" t="s">
        <v>108</v>
      </c>
      <c r="G30" s="51">
        <f>入力シート_鉛!R9</f>
        <v>10</v>
      </c>
      <c r="L30" s="70"/>
      <c r="M30" s="15"/>
      <c r="N30" s="15"/>
      <c r="O30" s="15"/>
      <c r="P30" s="15"/>
      <c r="Q30" s="15"/>
      <c r="R30" s="15"/>
      <c r="S30" s="15"/>
    </row>
    <row r="31" spans="1:19" ht="18" x14ac:dyDescent="0.4">
      <c r="A31" s="37"/>
      <c r="B31" s="52" t="s">
        <v>109</v>
      </c>
      <c r="C31" s="692" t="s">
        <v>110</v>
      </c>
      <c r="D31" s="692"/>
      <c r="E31" s="692"/>
      <c r="F31" s="364" t="s">
        <v>111</v>
      </c>
      <c r="G31" s="51" t="str">
        <f>IF(A31="",入力シート_鉛!R10,A31)</f>
        <v>-</v>
      </c>
      <c r="L31" s="70"/>
      <c r="M31" s="15"/>
      <c r="N31" s="15"/>
      <c r="O31" s="15"/>
      <c r="P31" s="15"/>
      <c r="Q31" s="15"/>
      <c r="R31" s="15"/>
      <c r="S31" s="15"/>
    </row>
    <row r="32" spans="1:19" ht="18.5" thickBot="1" x14ac:dyDescent="0.45">
      <c r="A32" s="37"/>
      <c r="B32" s="53" t="s">
        <v>112</v>
      </c>
      <c r="C32" s="695" t="s">
        <v>113</v>
      </c>
      <c r="D32" s="695"/>
      <c r="E32" s="695"/>
      <c r="F32" s="365" t="s">
        <v>114</v>
      </c>
      <c r="G32" s="55">
        <f>入力シート_鉛!R25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入力シート_鉛!R24</f>
        <v>1.62</v>
      </c>
      <c r="L34" s="15"/>
      <c r="M34" s="15"/>
      <c r="N34" s="15"/>
      <c r="O34" s="15"/>
      <c r="P34" s="15"/>
      <c r="Q34" s="15"/>
      <c r="R34" s="15"/>
      <c r="S34" s="15"/>
    </row>
    <row r="35" spans="1:19" ht="18" x14ac:dyDescent="0.2">
      <c r="B35" s="26" t="s">
        <v>118</v>
      </c>
      <c r="C35" s="686" t="s">
        <v>119</v>
      </c>
      <c r="D35" s="689"/>
      <c r="E35" s="687"/>
      <c r="F35" s="362" t="s">
        <v>120</v>
      </c>
      <c r="G35" s="43">
        <f>+入力シート_鉛!J35*0.365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55.000000000000014</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0.20774068252851294</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0.10034967126154501</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鉛</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0.10034967126154501</v>
      </c>
      <c r="H63" s="139"/>
      <c r="I63" s="139"/>
      <c r="J63" s="79"/>
      <c r="K63" s="84"/>
      <c r="L63" s="691"/>
      <c r="M63" s="691"/>
      <c r="N63" s="691"/>
      <c r="O63" s="74"/>
      <c r="P63" s="85"/>
      <c r="Q63" s="47"/>
    </row>
    <row r="64" spans="1:17" ht="16.5" x14ac:dyDescent="0.2">
      <c r="B64" s="87"/>
      <c r="C64" s="693" t="s">
        <v>150</v>
      </c>
      <c r="D64" s="693"/>
      <c r="E64" s="693"/>
      <c r="F64" s="88">
        <f>+G64/G63*F63</f>
        <v>9.9651547177834143E-2</v>
      </c>
      <c r="G64" s="83">
        <f>+G7</f>
        <v>0.01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9.9000000000000005E-2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1.2683224375827227E-2</v>
      </c>
      <c r="H68" s="139"/>
      <c r="I68" s="139"/>
      <c r="J68" s="79"/>
    </row>
    <row r="69" spans="2:10" x14ac:dyDescent="0.2">
      <c r="B69" s="81"/>
      <c r="C69" s="686" t="s">
        <v>150</v>
      </c>
      <c r="D69" s="687"/>
      <c r="E69" s="364" t="s">
        <v>153</v>
      </c>
      <c r="F69" s="86">
        <f>+G69/G68*F68</f>
        <v>9.9651547177834143E-2</v>
      </c>
      <c r="G69" s="83">
        <f>+G64</f>
        <v>0.01</v>
      </c>
      <c r="H69" s="139"/>
      <c r="I69" s="139"/>
      <c r="J69" s="79"/>
    </row>
    <row r="70" spans="2:10" x14ac:dyDescent="0.2">
      <c r="B70" s="81"/>
      <c r="C70" s="683" t="s">
        <v>154</v>
      </c>
      <c r="D70" s="683"/>
      <c r="E70" s="93">
        <f>+F69/F68*E68</f>
        <v>0.78844304127102371</v>
      </c>
      <c r="F70" s="47"/>
      <c r="G70" s="47"/>
      <c r="H70" s="47"/>
      <c r="I70" s="47"/>
      <c r="J70" s="79"/>
    </row>
    <row r="71" spans="2:10" x14ac:dyDescent="0.2">
      <c r="B71" s="81"/>
      <c r="C71" s="683" t="s">
        <v>155</v>
      </c>
      <c r="D71" s="683"/>
      <c r="E71" s="83">
        <f>入力シート_鉛!R15</f>
        <v>0.3</v>
      </c>
      <c r="F71" s="47"/>
      <c r="G71" s="47"/>
      <c r="H71" s="47"/>
      <c r="I71" s="47"/>
      <c r="J71" s="79"/>
    </row>
    <row r="72" spans="2:10" ht="13.5" thickBot="1" x14ac:dyDescent="0.25">
      <c r="B72" s="81"/>
      <c r="C72" s="47"/>
      <c r="D72" s="47"/>
      <c r="E72" s="74">
        <f>IF(E70&gt;10,ROUNDDOWN(E70,0),IF(E70&gt;1,ROUNDDOWN(E70,1),IF(E70&gt;0.1,ROUNDDOWN(E70,2),IF(E70&gt;0.01,ROUNDDOWN(E70,3),ROUNDDOWN(E70,4)))))</f>
        <v>0.78</v>
      </c>
      <c r="F72" s="47"/>
      <c r="G72" s="47"/>
      <c r="H72" s="47"/>
      <c r="I72" s="47"/>
      <c r="J72" s="79"/>
    </row>
    <row r="73" spans="2:10" ht="13.5" thickBot="1" x14ac:dyDescent="0.25">
      <c r="B73" s="81"/>
      <c r="C73" s="684" t="s">
        <v>156</v>
      </c>
      <c r="D73" s="685"/>
      <c r="E73" s="109">
        <f>IF(E70&gt;E71,E71,E70)</f>
        <v>0.3</v>
      </c>
      <c r="F73" s="95" t="s">
        <v>157</v>
      </c>
      <c r="G73" s="47"/>
      <c r="H73" s="47"/>
      <c r="I73" s="47"/>
      <c r="J73" s="79"/>
    </row>
    <row r="74" spans="2:10" x14ac:dyDescent="0.2">
      <c r="B74" s="81"/>
      <c r="C74" s="47"/>
      <c r="D74" s="47"/>
      <c r="E74" s="74">
        <f>IF(E73&gt;10,ROUNDDOWN(E73,0),IF(E73&gt;1,ROUNDDOWN(E73,1),IF(E73&gt;0.1,ROUNDDOWN(E73,2),IF(E73&gt;0.01,ROUNDDOWN(E73,3),ROUNDDOWN(E73,4)))))</f>
        <v>0.3</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0.10034967126154501</v>
      </c>
      <c r="H77" s="139"/>
      <c r="I77" s="139"/>
      <c r="J77" s="79"/>
    </row>
    <row r="78" spans="2:10" x14ac:dyDescent="0.2">
      <c r="B78" s="81"/>
      <c r="C78" s="686" t="s">
        <v>150</v>
      </c>
      <c r="D78" s="687"/>
      <c r="E78" s="364" t="s">
        <v>153</v>
      </c>
      <c r="F78" s="86">
        <f>+F64</f>
        <v>9.9651547177834143E-2</v>
      </c>
      <c r="G78" s="83">
        <f>+G69</f>
        <v>0.01</v>
      </c>
      <c r="H78" s="139"/>
      <c r="I78" s="139"/>
      <c r="J78" s="79"/>
    </row>
    <row r="79" spans="2:10" x14ac:dyDescent="0.2">
      <c r="B79" s="81"/>
      <c r="C79" s="683" t="s">
        <v>154</v>
      </c>
      <c r="D79" s="683"/>
      <c r="E79" s="93">
        <f>+F78/F77*E77</f>
        <v>9.9651547177834143E-2</v>
      </c>
      <c r="F79" s="47"/>
      <c r="G79" s="47"/>
      <c r="H79" s="47"/>
      <c r="I79" s="47"/>
      <c r="J79" s="79"/>
    </row>
    <row r="80" spans="2:10" x14ac:dyDescent="0.2">
      <c r="B80" s="81"/>
      <c r="C80" s="683" t="s">
        <v>155</v>
      </c>
      <c r="D80" s="683"/>
      <c r="E80" s="83">
        <f>+E71</f>
        <v>0.3</v>
      </c>
      <c r="F80" s="47"/>
      <c r="G80" s="47"/>
      <c r="H80" s="47"/>
      <c r="I80" s="47"/>
      <c r="J80" s="79"/>
    </row>
    <row r="81" spans="2:10" ht="13.5" thickBot="1" x14ac:dyDescent="0.25">
      <c r="B81" s="81"/>
      <c r="C81" s="47"/>
      <c r="D81" s="47"/>
      <c r="E81" s="74">
        <f>IF(E79&gt;10,ROUNDDOWN(E79,0),IF(E79&gt;1,ROUNDDOWN(E79,1),IF(E79&gt;0.1,ROUNDDOWN(E79,2),IF(E79&gt;0.01,ROUNDDOWN(E79,3),ROUNDDOWN(E79,4)))))</f>
        <v>9.9000000000000005E-2</v>
      </c>
      <c r="F81" s="47"/>
      <c r="G81" s="47"/>
      <c r="H81" s="47"/>
      <c r="I81" s="47"/>
      <c r="J81" s="79"/>
    </row>
    <row r="82" spans="2:10" ht="13.5" thickBot="1" x14ac:dyDescent="0.25">
      <c r="B82" s="81"/>
      <c r="C82" s="684" t="s">
        <v>156</v>
      </c>
      <c r="D82" s="685"/>
      <c r="E82" s="109">
        <f>IF(E79&gt;E80,E80,E79)</f>
        <v>9.9651547177834143E-2</v>
      </c>
      <c r="F82" s="95" t="s">
        <v>157</v>
      </c>
      <c r="G82" s="47"/>
      <c r="H82" s="47"/>
      <c r="I82" s="47"/>
      <c r="J82" s="79"/>
    </row>
    <row r="83" spans="2:10" x14ac:dyDescent="0.2">
      <c r="B83" s="81"/>
      <c r="C83" s="47"/>
      <c r="D83" s="47"/>
      <c r="E83" s="74">
        <f>IF(E82&gt;10,ROUNDDOWN(E82,0),IF(E82&gt;1,ROUNDDOWN(E82,1),IF(E82&gt;0.1,ROUNDDOWN(E82,2),IF(E82&gt;0.01,ROUNDDOWN(E82,3),ROUNDDOWN(E82,4)))))</f>
        <v>9.9000000000000005E-2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206" priority="5">
      <formula>$A41&gt;0</formula>
    </cfRule>
  </conditionalFormatting>
  <conditionalFormatting sqref="G30">
    <cfRule type="expression" dxfId="205" priority="4">
      <formula>$A$29&gt;0</formula>
    </cfRule>
  </conditionalFormatting>
  <conditionalFormatting sqref="G31">
    <cfRule type="expression" dxfId="204" priority="3">
      <formula>$A$30&gt;0</formula>
    </cfRule>
  </conditionalFormatting>
  <conditionalFormatting sqref="G32">
    <cfRule type="expression" dxfId="203" priority="2">
      <formula>$A$31&gt;0</formula>
    </cfRule>
  </conditionalFormatting>
  <conditionalFormatting sqref="G9">
    <cfRule type="expression" dxfId="202" priority="6">
      <formula>#REF!&gt;0</formula>
    </cfRule>
  </conditionalFormatting>
  <conditionalFormatting sqref="G11 G25:I27">
    <cfRule type="expression" dxfId="201" priority="7">
      <formula>#REF!&gt;0</formula>
    </cfRule>
  </conditionalFormatting>
  <conditionalFormatting sqref="G18">
    <cfRule type="expression" dxfId="200" priority="8">
      <formula>#REF!&gt;0</formula>
    </cfRule>
  </conditionalFormatting>
  <conditionalFormatting sqref="G22:G24">
    <cfRule type="expression" dxfId="199" priority="9">
      <formula>$A$25&gt;0</formula>
    </cfRule>
  </conditionalFormatting>
  <conditionalFormatting sqref="G23:G24">
    <cfRule type="expression" dxfId="198" priority="10">
      <formula>#REF!&gt;0</formula>
    </cfRule>
  </conditionalFormatting>
  <conditionalFormatting sqref="G21">
    <cfRule type="expression" dxfId="197" priority="11">
      <formula>$A$23&gt;0</formula>
    </cfRule>
  </conditionalFormatting>
  <conditionalFormatting sqref="G12">
    <cfRule type="expression" dxfId="196" priority="1">
      <formula>#REF!&gt;0</formula>
    </cfRule>
  </conditionalFormatting>
  <conditionalFormatting sqref="G34">
    <cfRule type="expression" dxfId="195" priority="12">
      <formula>#REF!&gt;0</formula>
    </cfRule>
  </conditionalFormatting>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11</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0.3</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338</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202</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+計算シート_カドミウム!G39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計算シート_カドミウム!G41</f>
        <v>60.400000000000006</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カドミウム!$Y$14=1,"目標土壌溶出量濃度",IF(入力シート_カドミウム!$Y$14=2,"目標土壌溶出量濃度",IF(入力シート_カドミウム!$Y$14=3,"目標土壌溶出量濃度","PRB通過後の観測点における目標地下水濃度")))</f>
        <v>目標土壌溶出量濃度</v>
      </c>
      <c r="E41" s="527"/>
      <c r="F41" s="527"/>
      <c r="G41" s="528">
        <f>IF($X$14=1,IF(計算シート_カドミウム!E83&gt;10000,"&gt;10,000",+計算シート_カドミウム!E83),計算シート_カドミウム!E74)</f>
        <v>0.14000000000000001</v>
      </c>
      <c r="H41" s="528"/>
      <c r="I41" s="244" t="s">
        <v>28</v>
      </c>
      <c r="J41" s="155"/>
      <c r="K41" s="529">
        <f>+計算シート_カドミウム!E83</f>
        <v>0.14000000000000001</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194" priority="3">
      <formula>LEN(TRIM(Y13))=0</formula>
    </cfRule>
  </conditionalFormatting>
  <conditionalFormatting sqref="D35:H35 J35:L35">
    <cfRule type="expression" dxfId="193" priority="2">
      <formula>$X$14=1</formula>
    </cfRule>
  </conditionalFormatting>
  <conditionalFormatting sqref="I35">
    <cfRule type="expression" dxfId="192"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1506"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1507"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+入力シート_カドミウム!F20</f>
        <v>カドミウム</v>
      </c>
      <c r="D6" s="721"/>
      <c r="E6" s="722"/>
      <c r="F6" s="17"/>
      <c r="G6" s="18" t="str">
        <f>$C$6</f>
        <v>カドミウム</v>
      </c>
      <c r="L6" s="102"/>
      <c r="M6" s="15"/>
      <c r="N6" s="15"/>
      <c r="O6" s="15"/>
      <c r="P6" s="15"/>
      <c r="Q6" s="15"/>
      <c r="R6" s="15"/>
      <c r="S6" s="15"/>
    </row>
    <row r="7" spans="2:19" ht="13.5" thickBot="1" x14ac:dyDescent="0.25">
      <c r="B7" s="19" t="s">
        <v>87</v>
      </c>
      <c r="C7" s="723" t="s">
        <v>88</v>
      </c>
      <c r="D7" s="724"/>
      <c r="E7" s="725"/>
      <c r="F7" s="20" t="s">
        <v>89</v>
      </c>
      <c r="G7" s="21">
        <f>+入力シート_カドミウム!R14</f>
        <v>0.01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++入力シート_カドミウム!J32</f>
        <v>30</v>
      </c>
      <c r="L9" s="102"/>
      <c r="M9" s="15"/>
      <c r="N9" s="15"/>
      <c r="O9" s="15"/>
      <c r="P9" s="15"/>
      <c r="Q9" s="15"/>
      <c r="R9" s="15"/>
      <c r="S9" s="15"/>
    </row>
    <row r="10" spans="2:19" ht="18" x14ac:dyDescent="0.2">
      <c r="B10" s="26" t="s">
        <v>91</v>
      </c>
      <c r="C10" s="686" t="s">
        <v>72</v>
      </c>
      <c r="D10" s="689"/>
      <c r="E10" s="687"/>
      <c r="F10" s="362" t="s">
        <v>43</v>
      </c>
      <c r="G10" s="28">
        <f>+入力シート_カドミウム!J33</f>
        <v>15</v>
      </c>
      <c r="L10" s="102"/>
      <c r="M10" s="15"/>
      <c r="N10" s="15"/>
      <c r="O10" s="15"/>
      <c r="P10" s="15"/>
      <c r="Q10" s="15"/>
      <c r="R10" s="15"/>
      <c r="S10" s="15"/>
    </row>
    <row r="11" spans="2:19" ht="18" x14ac:dyDescent="0.2">
      <c r="B11" s="26" t="s">
        <v>73</v>
      </c>
      <c r="C11" s="686" t="s">
        <v>74</v>
      </c>
      <c r="D11" s="689"/>
      <c r="E11" s="687"/>
      <c r="F11" s="362" t="s">
        <v>43</v>
      </c>
      <c r="G11" s="28">
        <f>+入力シート_カドミウム!J24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入力シート_カドミウム!J30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入力シート_カドミウム!R20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入力シート_カドミウム!F27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入力シート_カドミウム!R21</f>
        <v>0.3</v>
      </c>
      <c r="L23" s="70"/>
      <c r="M23" s="15"/>
      <c r="N23" s="15"/>
      <c r="O23" s="15"/>
      <c r="P23" s="15"/>
      <c r="Q23" s="15"/>
      <c r="R23" s="15"/>
      <c r="S23" s="15"/>
    </row>
    <row r="24" spans="1:19" ht="18" x14ac:dyDescent="0.2">
      <c r="A24" s="37"/>
      <c r="B24" s="26" t="s">
        <v>163</v>
      </c>
      <c r="C24" s="688" t="s">
        <v>177</v>
      </c>
      <c r="D24" s="689"/>
      <c r="E24" s="687"/>
      <c r="F24" s="362" t="s">
        <v>51</v>
      </c>
      <c r="G24" s="28">
        <f>入力シート_カドミウム!R22</f>
        <v>0.4</v>
      </c>
      <c r="L24" s="70"/>
      <c r="M24" s="15"/>
      <c r="N24" s="15"/>
      <c r="O24" s="15"/>
      <c r="P24" s="15"/>
      <c r="Q24" s="15"/>
      <c r="R24" s="15"/>
      <c r="S24" s="15"/>
    </row>
    <row r="25" spans="1:19" ht="21" x14ac:dyDescent="0.2">
      <c r="A25" s="37"/>
      <c r="B25" s="26" t="s">
        <v>101</v>
      </c>
      <c r="C25" s="686" t="s">
        <v>46</v>
      </c>
      <c r="D25" s="689"/>
      <c r="E25" s="687"/>
      <c r="F25" s="362" t="s">
        <v>43</v>
      </c>
      <c r="G25" s="43">
        <f>入力シート_カドミウム!R12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入力シート_カドミウム!R13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入力シート_カドミウム!R13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入力シート_カドミウム!R11</f>
        <v>-</v>
      </c>
      <c r="L29" s="70"/>
      <c r="M29" s="15"/>
      <c r="N29" s="15"/>
      <c r="O29" s="15"/>
      <c r="P29" s="15"/>
      <c r="Q29" s="15"/>
      <c r="R29" s="15"/>
      <c r="S29" s="15"/>
    </row>
    <row r="30" spans="1:19" ht="14" x14ac:dyDescent="0.3">
      <c r="A30" s="37"/>
      <c r="B30" s="49" t="s">
        <v>107</v>
      </c>
      <c r="C30" s="692" t="s">
        <v>53</v>
      </c>
      <c r="D30" s="692"/>
      <c r="E30" s="692"/>
      <c r="F30" s="364" t="s">
        <v>108</v>
      </c>
      <c r="G30" s="51">
        <f>入力シート_カドミウム!R9</f>
        <v>11</v>
      </c>
      <c r="L30" s="70"/>
      <c r="M30" s="15"/>
      <c r="N30" s="15"/>
      <c r="O30" s="15"/>
      <c r="P30" s="15"/>
      <c r="Q30" s="15"/>
      <c r="R30" s="15"/>
      <c r="S30" s="15"/>
    </row>
    <row r="31" spans="1:19" ht="18" x14ac:dyDescent="0.4">
      <c r="A31" s="37"/>
      <c r="B31" s="52" t="s">
        <v>109</v>
      </c>
      <c r="C31" s="692" t="s">
        <v>110</v>
      </c>
      <c r="D31" s="692"/>
      <c r="E31" s="692"/>
      <c r="F31" s="364" t="s">
        <v>111</v>
      </c>
      <c r="G31" s="51" t="str">
        <f>IF(A31="",入力シート_カドミウム!R10,A31)</f>
        <v>-</v>
      </c>
      <c r="L31" s="70"/>
      <c r="M31" s="15"/>
      <c r="N31" s="15"/>
      <c r="O31" s="15"/>
      <c r="P31" s="15"/>
      <c r="Q31" s="15"/>
      <c r="R31" s="15"/>
      <c r="S31" s="15"/>
    </row>
    <row r="32" spans="1:19" ht="18.5" thickBot="1" x14ac:dyDescent="0.45">
      <c r="A32" s="37"/>
      <c r="B32" s="53" t="s">
        <v>112</v>
      </c>
      <c r="C32" s="695" t="s">
        <v>113</v>
      </c>
      <c r="D32" s="695"/>
      <c r="E32" s="695"/>
      <c r="F32" s="365" t="s">
        <v>114</v>
      </c>
      <c r="G32" s="55">
        <f>入力シート_カドミウム!R25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入力シート_カドミウム!R24</f>
        <v>1.62</v>
      </c>
      <c r="L34" s="15"/>
      <c r="M34" s="15"/>
      <c r="N34" s="15"/>
      <c r="O34" s="15"/>
      <c r="P34" s="15"/>
      <c r="Q34" s="15"/>
      <c r="R34" s="15"/>
      <c r="S34" s="15"/>
    </row>
    <row r="35" spans="1:19" ht="18" x14ac:dyDescent="0.2">
      <c r="B35" s="26" t="s">
        <v>118</v>
      </c>
      <c r="C35" s="686" t="s">
        <v>119</v>
      </c>
      <c r="D35" s="689"/>
      <c r="E35" s="687"/>
      <c r="F35" s="362" t="s">
        <v>120</v>
      </c>
      <c r="G35" s="43">
        <f>+入力シート_カドミウム!J35*0.365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60.400000000000006</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0.13918439659076476</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6.723338092769926E-2</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カドミウム</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6.723338092769926E-2</v>
      </c>
      <c r="H63" s="139"/>
      <c r="I63" s="139"/>
      <c r="J63" s="79"/>
      <c r="K63" s="84"/>
      <c r="L63" s="691"/>
      <c r="M63" s="691"/>
      <c r="N63" s="691"/>
      <c r="O63" s="74"/>
      <c r="P63" s="85"/>
      <c r="Q63" s="47"/>
    </row>
    <row r="64" spans="1:17" ht="16.5" x14ac:dyDescent="0.2">
      <c r="B64" s="87"/>
      <c r="C64" s="693" t="s">
        <v>150</v>
      </c>
      <c r="D64" s="693"/>
      <c r="E64" s="693"/>
      <c r="F64" s="88">
        <f>+G64/G63*F63</f>
        <v>0.14873564086794472</v>
      </c>
      <c r="G64" s="83">
        <f>+G7</f>
        <v>0.01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0.14000000000000001</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8.4976467299923229E-3</v>
      </c>
      <c r="H68" s="139"/>
      <c r="I68" s="139"/>
      <c r="J68" s="79"/>
    </row>
    <row r="69" spans="2:10" x14ac:dyDescent="0.2">
      <c r="B69" s="81"/>
      <c r="C69" s="686" t="s">
        <v>150</v>
      </c>
      <c r="D69" s="687"/>
      <c r="E69" s="364" t="s">
        <v>153</v>
      </c>
      <c r="F69" s="86">
        <f>+G69/G68*F68</f>
        <v>0.14873564086794472</v>
      </c>
      <c r="G69" s="83">
        <f>+G64</f>
        <v>0.01</v>
      </c>
      <c r="H69" s="139"/>
      <c r="I69" s="139"/>
      <c r="J69" s="79"/>
    </row>
    <row r="70" spans="2:10" x14ac:dyDescent="0.2">
      <c r="B70" s="81"/>
      <c r="C70" s="683" t="s">
        <v>154</v>
      </c>
      <c r="D70" s="683"/>
      <c r="E70" s="93">
        <f>+F69/F68*E68</f>
        <v>1.1767963905471786</v>
      </c>
      <c r="F70" s="47"/>
      <c r="G70" s="47"/>
      <c r="H70" s="47"/>
      <c r="I70" s="47"/>
      <c r="J70" s="79"/>
    </row>
    <row r="71" spans="2:10" x14ac:dyDescent="0.2">
      <c r="B71" s="81"/>
      <c r="C71" s="683" t="s">
        <v>155</v>
      </c>
      <c r="D71" s="683"/>
      <c r="E71" s="83">
        <f>入力シート_カドミウム!R15</f>
        <v>0.3</v>
      </c>
      <c r="F71" s="47"/>
      <c r="G71" s="47"/>
      <c r="H71" s="47"/>
      <c r="I71" s="47"/>
      <c r="J71" s="79"/>
    </row>
    <row r="72" spans="2:10" ht="13.5" thickBot="1" x14ac:dyDescent="0.25">
      <c r="B72" s="81"/>
      <c r="C72" s="47"/>
      <c r="D72" s="47"/>
      <c r="E72" s="74">
        <f>IF(E70&gt;10,ROUNDDOWN(E70,0),IF(E70&gt;1,ROUNDDOWN(E70,1),IF(E70&gt;0.1,ROUNDDOWN(E70,2),IF(E70&gt;0.01,ROUNDDOWN(E70,3),ROUNDDOWN(E70,4)))))</f>
        <v>1.1000000000000001</v>
      </c>
      <c r="F72" s="47"/>
      <c r="G72" s="47"/>
      <c r="H72" s="47"/>
      <c r="I72" s="47"/>
      <c r="J72" s="79"/>
    </row>
    <row r="73" spans="2:10" ht="13.5" thickBot="1" x14ac:dyDescent="0.25">
      <c r="B73" s="81"/>
      <c r="C73" s="684" t="s">
        <v>156</v>
      </c>
      <c r="D73" s="685"/>
      <c r="E73" s="109">
        <f>IF(E70&gt;E71,E71,E70)</f>
        <v>0.3</v>
      </c>
      <c r="F73" s="95" t="s">
        <v>157</v>
      </c>
      <c r="G73" s="47"/>
      <c r="H73" s="47"/>
      <c r="I73" s="47"/>
      <c r="J73" s="79"/>
    </row>
    <row r="74" spans="2:10" x14ac:dyDescent="0.2">
      <c r="B74" s="81"/>
      <c r="C74" s="47"/>
      <c r="D74" s="47"/>
      <c r="E74" s="74">
        <f>IF(E73&gt;10,ROUNDDOWN(E73,0),IF(E73&gt;1,ROUNDDOWN(E73,1),IF(E73&gt;0.1,ROUNDDOWN(E73,2),IF(E73&gt;0.01,ROUNDDOWN(E73,3),ROUNDDOWN(E73,4)))))</f>
        <v>0.3</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6.723338092769926E-2</v>
      </c>
      <c r="H77" s="139"/>
      <c r="I77" s="139"/>
      <c r="J77" s="79"/>
    </row>
    <row r="78" spans="2:10" x14ac:dyDescent="0.2">
      <c r="B78" s="81"/>
      <c r="C78" s="686" t="s">
        <v>150</v>
      </c>
      <c r="D78" s="687"/>
      <c r="E78" s="364" t="s">
        <v>153</v>
      </c>
      <c r="F78" s="86">
        <f>+F64</f>
        <v>0.14873564086794472</v>
      </c>
      <c r="G78" s="83">
        <f>+G69</f>
        <v>0.01</v>
      </c>
      <c r="H78" s="139"/>
      <c r="I78" s="139"/>
      <c r="J78" s="79"/>
    </row>
    <row r="79" spans="2:10" x14ac:dyDescent="0.2">
      <c r="B79" s="81"/>
      <c r="C79" s="683" t="s">
        <v>154</v>
      </c>
      <c r="D79" s="683"/>
      <c r="E79" s="93">
        <f>+F78/F77*E77</f>
        <v>0.14873564086794472</v>
      </c>
      <c r="F79" s="47"/>
      <c r="G79" s="47"/>
      <c r="H79" s="47"/>
      <c r="I79" s="47"/>
      <c r="J79" s="79"/>
    </row>
    <row r="80" spans="2:10" x14ac:dyDescent="0.2">
      <c r="B80" s="81"/>
      <c r="C80" s="683" t="s">
        <v>155</v>
      </c>
      <c r="D80" s="683"/>
      <c r="E80" s="83">
        <f>+E71</f>
        <v>0.3</v>
      </c>
      <c r="F80" s="47"/>
      <c r="G80" s="47"/>
      <c r="H80" s="47"/>
      <c r="I80" s="47"/>
      <c r="J80" s="79"/>
    </row>
    <row r="81" spans="2:10" ht="13.5" thickBot="1" x14ac:dyDescent="0.25">
      <c r="B81" s="81"/>
      <c r="C81" s="47"/>
      <c r="D81" s="47"/>
      <c r="E81" s="74">
        <f>IF(E79&gt;10,ROUNDDOWN(E79,0),IF(E79&gt;1,ROUNDDOWN(E79,1),IF(E79&gt;0.1,ROUNDDOWN(E79,2),IF(E79&gt;0.01,ROUNDDOWN(E79,3),ROUNDDOWN(E79,4)))))</f>
        <v>0.14000000000000001</v>
      </c>
      <c r="F81" s="47"/>
      <c r="G81" s="47"/>
      <c r="H81" s="47"/>
      <c r="I81" s="47"/>
      <c r="J81" s="79"/>
    </row>
    <row r="82" spans="2:10" ht="13.5" thickBot="1" x14ac:dyDescent="0.25">
      <c r="B82" s="81"/>
      <c r="C82" s="684" t="s">
        <v>156</v>
      </c>
      <c r="D82" s="685"/>
      <c r="E82" s="109">
        <f>IF(E79&gt;E80,E80,E79)</f>
        <v>0.14873564086794472</v>
      </c>
      <c r="F82" s="95" t="s">
        <v>157</v>
      </c>
      <c r="G82" s="47"/>
      <c r="H82" s="47"/>
      <c r="I82" s="47"/>
      <c r="J82" s="79"/>
    </row>
    <row r="83" spans="2:10" x14ac:dyDescent="0.2">
      <c r="B83" s="81"/>
      <c r="C83" s="47"/>
      <c r="D83" s="47"/>
      <c r="E83" s="74">
        <f>IF(E82&gt;10,ROUNDDOWN(E82,0),IF(E82&gt;1,ROUNDDOWN(E82,1),IF(E82&gt;0.1,ROUNDDOWN(E82,2),IF(E82&gt;0.01,ROUNDDOWN(E82,3),ROUNDDOWN(E82,4)))))</f>
        <v>0.14000000000000001</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191" priority="5">
      <formula>$A41&gt;0</formula>
    </cfRule>
  </conditionalFormatting>
  <conditionalFormatting sqref="G30">
    <cfRule type="expression" dxfId="190" priority="4">
      <formula>$A$29&gt;0</formula>
    </cfRule>
  </conditionalFormatting>
  <conditionalFormatting sqref="G31">
    <cfRule type="expression" dxfId="189" priority="3">
      <formula>$A$30&gt;0</formula>
    </cfRule>
  </conditionalFormatting>
  <conditionalFormatting sqref="G32">
    <cfRule type="expression" dxfId="188" priority="2">
      <formula>$A$31&gt;0</formula>
    </cfRule>
  </conditionalFormatting>
  <conditionalFormatting sqref="G9">
    <cfRule type="expression" dxfId="187" priority="6">
      <formula>#REF!&gt;0</formula>
    </cfRule>
  </conditionalFormatting>
  <conditionalFormatting sqref="G11 G25:I27">
    <cfRule type="expression" dxfId="186" priority="7">
      <formula>#REF!&gt;0</formula>
    </cfRule>
  </conditionalFormatting>
  <conditionalFormatting sqref="G18">
    <cfRule type="expression" dxfId="185" priority="8">
      <formula>#REF!&gt;0</formula>
    </cfRule>
  </conditionalFormatting>
  <conditionalFormatting sqref="G22:G24">
    <cfRule type="expression" dxfId="184" priority="9">
      <formula>$A$25&gt;0</formula>
    </cfRule>
  </conditionalFormatting>
  <conditionalFormatting sqref="G23:G24">
    <cfRule type="expression" dxfId="183" priority="10">
      <formula>#REF!&gt;0</formula>
    </cfRule>
  </conditionalFormatting>
  <conditionalFormatting sqref="G21">
    <cfRule type="expression" dxfId="182" priority="11">
      <formula>$A$23&gt;0</formula>
    </cfRule>
  </conditionalFormatting>
  <conditionalFormatting sqref="G12">
    <cfRule type="expression" dxfId="181" priority="1">
      <formula>#REF!&gt;0</formula>
    </cfRule>
  </conditionalFormatting>
  <conditionalFormatting sqref="G34">
    <cfRule type="expression" dxfId="180" priority="12">
      <formula>#REF!&gt;0</formula>
    </cfRule>
  </conditionalFormatting>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7.9</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5.0000000000000001E-4</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5.0000000000000001E-3</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339</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203</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+計算シート_水銀!G39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計算シート_水銀!G41</f>
        <v>43.660000000000011</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IF(入力シート_水銀!$Y$14=1,"目標土壌溶出量濃度",IF(入力シート_水銀!$Y$14=2,"目標土壌溶出量濃度",IF(入力シート_水銀!$Y$14=3,"目標土壌溶出量濃度","PRB通過後の観測点における目標地下水濃度")))</f>
        <v>目標土壌溶出量濃度</v>
      </c>
      <c r="E41" s="527"/>
      <c r="F41" s="527"/>
      <c r="G41" s="528">
        <f>IF($X$14=1,IF(計算シート_水銀!E83&gt;10000,"&gt;10,000",+計算シート_水銀!E83),計算シート_水銀!E74)</f>
        <v>2.2000000000000001E-3</v>
      </c>
      <c r="H41" s="528"/>
      <c r="I41" s="244" t="s">
        <v>28</v>
      </c>
      <c r="J41" s="155"/>
      <c r="K41" s="529">
        <f>+計算シート_水銀!E83</f>
        <v>2.2000000000000001E-3</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179" priority="3">
      <formula>LEN(TRIM(Y13))=0</formula>
    </cfRule>
  </conditionalFormatting>
  <conditionalFormatting sqref="D35:H35 J35:L35">
    <cfRule type="expression" dxfId="178" priority="2">
      <formula>$X$14=1</formula>
    </cfRule>
  </conditionalFormatting>
  <conditionalFormatting sqref="I35">
    <cfRule type="expression" dxfId="177"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2530"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2531"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+入力シート_水銀!F20</f>
        <v>水銀</v>
      </c>
      <c r="D6" s="721"/>
      <c r="E6" s="722"/>
      <c r="F6" s="17"/>
      <c r="G6" s="18" t="str">
        <f>$C$6</f>
        <v>水銀</v>
      </c>
      <c r="L6" s="102"/>
      <c r="M6" s="15"/>
      <c r="N6" s="15"/>
      <c r="O6" s="15"/>
      <c r="P6" s="15"/>
      <c r="Q6" s="15"/>
      <c r="R6" s="15"/>
      <c r="S6" s="15"/>
    </row>
    <row r="7" spans="2:19" ht="13.5" thickBot="1" x14ac:dyDescent="0.25">
      <c r="B7" s="19" t="s">
        <v>87</v>
      </c>
      <c r="C7" s="723" t="s">
        <v>88</v>
      </c>
      <c r="D7" s="724"/>
      <c r="E7" s="725"/>
      <c r="F7" s="20" t="s">
        <v>89</v>
      </c>
      <c r="G7" s="21">
        <f>+入力シート_水銀!R14</f>
        <v>5.0000000000000001E-4</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++入力シート_水銀!J32</f>
        <v>30</v>
      </c>
      <c r="L9" s="102"/>
      <c r="M9" s="15"/>
      <c r="N9" s="15"/>
      <c r="O9" s="15"/>
      <c r="P9" s="15"/>
      <c r="Q9" s="15"/>
      <c r="R9" s="15"/>
      <c r="S9" s="15"/>
    </row>
    <row r="10" spans="2:19" ht="18" x14ac:dyDescent="0.2">
      <c r="B10" s="26" t="s">
        <v>91</v>
      </c>
      <c r="C10" s="686" t="s">
        <v>72</v>
      </c>
      <c r="D10" s="689"/>
      <c r="E10" s="687"/>
      <c r="F10" s="362" t="s">
        <v>43</v>
      </c>
      <c r="G10" s="28">
        <f>+入力シート_水銀!J33</f>
        <v>15</v>
      </c>
      <c r="L10" s="102"/>
      <c r="M10" s="15"/>
      <c r="N10" s="15"/>
      <c r="O10" s="15"/>
      <c r="P10" s="15"/>
      <c r="Q10" s="15"/>
      <c r="R10" s="15"/>
      <c r="S10" s="15"/>
    </row>
    <row r="11" spans="2:19" ht="18" x14ac:dyDescent="0.2">
      <c r="B11" s="26" t="s">
        <v>73</v>
      </c>
      <c r="C11" s="686" t="s">
        <v>74</v>
      </c>
      <c r="D11" s="689"/>
      <c r="E11" s="687"/>
      <c r="F11" s="362" t="s">
        <v>43</v>
      </c>
      <c r="G11" s="28">
        <f>+入力シート_水銀!J24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入力シート_水銀!J30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入力シート_水銀!R20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入力シート_水銀!F27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入力シート_水銀!R21</f>
        <v>0.3</v>
      </c>
      <c r="L23" s="70"/>
      <c r="M23" s="15"/>
      <c r="N23" s="15"/>
      <c r="O23" s="15"/>
      <c r="P23" s="15"/>
      <c r="Q23" s="15"/>
      <c r="R23" s="15"/>
      <c r="S23" s="15"/>
    </row>
    <row r="24" spans="1:19" ht="18" x14ac:dyDescent="0.2">
      <c r="A24" s="37"/>
      <c r="B24" s="26" t="s">
        <v>163</v>
      </c>
      <c r="C24" s="688" t="s">
        <v>177</v>
      </c>
      <c r="D24" s="689"/>
      <c r="E24" s="687"/>
      <c r="F24" s="362" t="s">
        <v>51</v>
      </c>
      <c r="G24" s="28">
        <f>入力シート_水銀!R22</f>
        <v>0.4</v>
      </c>
      <c r="L24" s="70"/>
      <c r="M24" s="15"/>
      <c r="N24" s="15"/>
      <c r="O24" s="15"/>
      <c r="P24" s="15"/>
      <c r="Q24" s="15"/>
      <c r="R24" s="15"/>
      <c r="S24" s="15"/>
    </row>
    <row r="25" spans="1:19" ht="21" x14ac:dyDescent="0.2">
      <c r="A25" s="37"/>
      <c r="B25" s="26" t="s">
        <v>101</v>
      </c>
      <c r="C25" s="686" t="s">
        <v>46</v>
      </c>
      <c r="D25" s="689"/>
      <c r="E25" s="687"/>
      <c r="F25" s="362" t="s">
        <v>43</v>
      </c>
      <c r="G25" s="43">
        <f>入力シート_水銀!R12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入力シート_水銀!R13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入力シート_水銀!R13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入力シート_水銀!R11</f>
        <v>-</v>
      </c>
      <c r="L29" s="70"/>
      <c r="M29" s="15"/>
      <c r="N29" s="15"/>
      <c r="O29" s="15"/>
      <c r="P29" s="15"/>
      <c r="Q29" s="15"/>
      <c r="R29" s="15"/>
      <c r="S29" s="15"/>
    </row>
    <row r="30" spans="1:19" ht="14" x14ac:dyDescent="0.3">
      <c r="A30" s="37"/>
      <c r="B30" s="49" t="s">
        <v>107</v>
      </c>
      <c r="C30" s="692" t="s">
        <v>53</v>
      </c>
      <c r="D30" s="692"/>
      <c r="E30" s="692"/>
      <c r="F30" s="364" t="s">
        <v>108</v>
      </c>
      <c r="G30" s="51">
        <f>入力シート_水銀!R9</f>
        <v>7.9</v>
      </c>
      <c r="L30" s="70"/>
      <c r="M30" s="15"/>
      <c r="N30" s="15"/>
      <c r="O30" s="15"/>
      <c r="P30" s="15"/>
      <c r="Q30" s="15"/>
      <c r="R30" s="15"/>
      <c r="S30" s="15"/>
    </row>
    <row r="31" spans="1:19" ht="18" x14ac:dyDescent="0.4">
      <c r="A31" s="37"/>
      <c r="B31" s="52" t="s">
        <v>109</v>
      </c>
      <c r="C31" s="692" t="s">
        <v>110</v>
      </c>
      <c r="D31" s="692"/>
      <c r="E31" s="692"/>
      <c r="F31" s="364" t="s">
        <v>111</v>
      </c>
      <c r="G31" s="51" t="str">
        <f>IF(A31="",入力シート_水銀!R10,A31)</f>
        <v>-</v>
      </c>
      <c r="L31" s="70"/>
      <c r="M31" s="15"/>
      <c r="N31" s="15"/>
      <c r="O31" s="15"/>
      <c r="P31" s="15"/>
      <c r="Q31" s="15"/>
      <c r="R31" s="15"/>
      <c r="S31" s="15"/>
    </row>
    <row r="32" spans="1:19" ht="18.5" thickBot="1" x14ac:dyDescent="0.45">
      <c r="A32" s="37"/>
      <c r="B32" s="53" t="s">
        <v>112</v>
      </c>
      <c r="C32" s="695" t="s">
        <v>113</v>
      </c>
      <c r="D32" s="695"/>
      <c r="E32" s="695"/>
      <c r="F32" s="365" t="s">
        <v>114</v>
      </c>
      <c r="G32" s="55">
        <f>入力シート_水銀!R25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入力シート_水銀!R24</f>
        <v>1.62</v>
      </c>
      <c r="L34" s="15"/>
      <c r="M34" s="15"/>
      <c r="N34" s="15"/>
      <c r="O34" s="15"/>
      <c r="P34" s="15"/>
      <c r="Q34" s="15"/>
      <c r="R34" s="15"/>
      <c r="S34" s="15"/>
    </row>
    <row r="35" spans="1:19" ht="18" x14ac:dyDescent="0.2">
      <c r="B35" s="26" t="s">
        <v>118</v>
      </c>
      <c r="C35" s="686" t="s">
        <v>119</v>
      </c>
      <c r="D35" s="689"/>
      <c r="E35" s="687"/>
      <c r="F35" s="362" t="s">
        <v>120</v>
      </c>
      <c r="G35" s="43">
        <f>+入力シート_水銀!J35*0.365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43.660000000000011</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0.46501724953397633</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0.22462777898728417</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水銀</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0.22462777898728417</v>
      </c>
      <c r="H63" s="139"/>
      <c r="I63" s="139"/>
      <c r="J63" s="79"/>
      <c r="K63" s="84"/>
      <c r="L63" s="691"/>
      <c r="M63" s="691"/>
      <c r="N63" s="691"/>
      <c r="O63" s="74"/>
      <c r="P63" s="85"/>
      <c r="Q63" s="47"/>
    </row>
    <row r="64" spans="1:17" ht="16.5" x14ac:dyDescent="0.2">
      <c r="B64" s="87"/>
      <c r="C64" s="693" t="s">
        <v>150</v>
      </c>
      <c r="D64" s="693"/>
      <c r="E64" s="693"/>
      <c r="F64" s="88">
        <f>+G64/G63*F63</f>
        <v>2.2259045709048489E-3</v>
      </c>
      <c r="G64" s="83">
        <f>+G7</f>
        <v>5.0000000000000001E-4</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2.2000000000000001E-3</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2.8390770852791226E-2</v>
      </c>
      <c r="H68" s="139"/>
      <c r="I68" s="139"/>
      <c r="J68" s="79"/>
    </row>
    <row r="69" spans="2:10" x14ac:dyDescent="0.2">
      <c r="B69" s="81"/>
      <c r="C69" s="686" t="s">
        <v>150</v>
      </c>
      <c r="D69" s="687"/>
      <c r="E69" s="364" t="s">
        <v>153</v>
      </c>
      <c r="F69" s="86">
        <f>+G69/G68*F68</f>
        <v>2.2259045709048489E-3</v>
      </c>
      <c r="G69" s="83">
        <f>+G64</f>
        <v>5.0000000000000001E-4</v>
      </c>
      <c r="H69" s="139"/>
      <c r="I69" s="139"/>
      <c r="J69" s="79"/>
    </row>
    <row r="70" spans="2:10" x14ac:dyDescent="0.2">
      <c r="B70" s="81"/>
      <c r="C70" s="683" t="s">
        <v>154</v>
      </c>
      <c r="D70" s="683"/>
      <c r="E70" s="93">
        <f>+F69/F68*E68</f>
        <v>1.7611356964999166E-2</v>
      </c>
      <c r="F70" s="47"/>
      <c r="G70" s="47"/>
      <c r="H70" s="47"/>
      <c r="I70" s="47"/>
      <c r="J70" s="79"/>
    </row>
    <row r="71" spans="2:10" x14ac:dyDescent="0.2">
      <c r="B71" s="81"/>
      <c r="C71" s="683" t="s">
        <v>155</v>
      </c>
      <c r="D71" s="683"/>
      <c r="E71" s="83">
        <f>入力シート_水銀!R15</f>
        <v>5.0000000000000001E-3</v>
      </c>
      <c r="F71" s="47"/>
      <c r="G71" s="47"/>
      <c r="H71" s="47"/>
      <c r="I71" s="47"/>
      <c r="J71" s="79"/>
    </row>
    <row r="72" spans="2:10" ht="13.5" thickBot="1" x14ac:dyDescent="0.25">
      <c r="B72" s="81"/>
      <c r="C72" s="47"/>
      <c r="D72" s="47"/>
      <c r="E72" s="74">
        <f>IF(E70&gt;10,ROUNDDOWN(E70,0),IF(E70&gt;1,ROUNDDOWN(E70,1),IF(E70&gt;0.1,ROUNDDOWN(E70,2),IF(E70&gt;0.01,ROUNDDOWN(E70,3),ROUNDDOWN(E70,4)))))</f>
        <v>1.7000000000000001E-2</v>
      </c>
      <c r="F72" s="47"/>
      <c r="G72" s="47"/>
      <c r="H72" s="47"/>
      <c r="I72" s="47"/>
      <c r="J72" s="79"/>
    </row>
    <row r="73" spans="2:10" ht="13.5" thickBot="1" x14ac:dyDescent="0.25">
      <c r="B73" s="81"/>
      <c r="C73" s="684" t="s">
        <v>156</v>
      </c>
      <c r="D73" s="685"/>
      <c r="E73" s="109">
        <f>IF(E70&gt;E71,E71,E70)</f>
        <v>5.0000000000000001E-3</v>
      </c>
      <c r="F73" s="95" t="s">
        <v>157</v>
      </c>
      <c r="G73" s="47"/>
      <c r="H73" s="47"/>
      <c r="I73" s="47"/>
      <c r="J73" s="79"/>
    </row>
    <row r="74" spans="2:10" x14ac:dyDescent="0.2">
      <c r="B74" s="81"/>
      <c r="C74" s="47"/>
      <c r="D74" s="47"/>
      <c r="E74" s="74">
        <f>IF(E73&gt;10,ROUNDDOWN(E73,0),IF(E73&gt;1,ROUNDDOWN(E73,1),IF(E73&gt;0.1,ROUNDDOWN(E73,2),IF(E73&gt;0.01,ROUNDDOWN(E73,3),ROUNDDOWN(E73,4)))))</f>
        <v>5.0000000000000001E-3</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0.22462777898728417</v>
      </c>
      <c r="H77" s="139"/>
      <c r="I77" s="139"/>
      <c r="J77" s="79"/>
    </row>
    <row r="78" spans="2:10" x14ac:dyDescent="0.2">
      <c r="B78" s="81"/>
      <c r="C78" s="686" t="s">
        <v>150</v>
      </c>
      <c r="D78" s="687"/>
      <c r="E78" s="364" t="s">
        <v>153</v>
      </c>
      <c r="F78" s="86">
        <f>+F64</f>
        <v>2.2259045709048489E-3</v>
      </c>
      <c r="G78" s="83">
        <f>+G69</f>
        <v>5.0000000000000001E-4</v>
      </c>
      <c r="H78" s="139"/>
      <c r="I78" s="139"/>
      <c r="J78" s="79"/>
    </row>
    <row r="79" spans="2:10" x14ac:dyDescent="0.2">
      <c r="B79" s="81"/>
      <c r="C79" s="683" t="s">
        <v>154</v>
      </c>
      <c r="D79" s="683"/>
      <c r="E79" s="93">
        <f>+F78/F77*E77</f>
        <v>2.2259045709048489E-3</v>
      </c>
      <c r="F79" s="47"/>
      <c r="G79" s="47"/>
      <c r="H79" s="47"/>
      <c r="I79" s="47"/>
      <c r="J79" s="79"/>
    </row>
    <row r="80" spans="2:10" x14ac:dyDescent="0.2">
      <c r="B80" s="81"/>
      <c r="C80" s="683" t="s">
        <v>155</v>
      </c>
      <c r="D80" s="683"/>
      <c r="E80" s="83">
        <f>+E71</f>
        <v>5.0000000000000001E-3</v>
      </c>
      <c r="F80" s="47"/>
      <c r="G80" s="47"/>
      <c r="H80" s="47"/>
      <c r="I80" s="47"/>
      <c r="J80" s="79"/>
    </row>
    <row r="81" spans="2:10" ht="13.5" thickBot="1" x14ac:dyDescent="0.25">
      <c r="B81" s="81"/>
      <c r="C81" s="47"/>
      <c r="D81" s="47"/>
      <c r="E81" s="74">
        <f>IF(E79&gt;10,ROUNDDOWN(E79,0),IF(E79&gt;1,ROUNDDOWN(E79,1),IF(E79&gt;0.1,ROUNDDOWN(E79,2),IF(E79&gt;0.01,ROUNDDOWN(E79,3),ROUNDDOWN(E79,4)))))</f>
        <v>2.2000000000000001E-3</v>
      </c>
      <c r="F81" s="47"/>
      <c r="G81" s="47"/>
      <c r="H81" s="47"/>
      <c r="I81" s="47"/>
      <c r="J81" s="79"/>
    </row>
    <row r="82" spans="2:10" ht="13.5" thickBot="1" x14ac:dyDescent="0.25">
      <c r="B82" s="81"/>
      <c r="C82" s="684" t="s">
        <v>156</v>
      </c>
      <c r="D82" s="685"/>
      <c r="E82" s="109">
        <f>IF(E79&gt;E80,E80,E79)</f>
        <v>2.2259045709048489E-3</v>
      </c>
      <c r="F82" s="95" t="s">
        <v>157</v>
      </c>
      <c r="G82" s="47"/>
      <c r="H82" s="47"/>
      <c r="I82" s="47"/>
      <c r="J82" s="79"/>
    </row>
    <row r="83" spans="2:10" x14ac:dyDescent="0.2">
      <c r="B83" s="81"/>
      <c r="C83" s="47"/>
      <c r="D83" s="47"/>
      <c r="E83" s="74">
        <f>IF(E82&gt;10,ROUNDDOWN(E82,0),IF(E82&gt;1,ROUNDDOWN(E82,1),IF(E82&gt;0.1,ROUNDDOWN(E82,2),IF(E82&gt;0.01,ROUNDDOWN(E82,3),ROUNDDOWN(E82,4)))))</f>
        <v>2.2000000000000001E-3</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176" priority="5">
      <formula>$A41&gt;0</formula>
    </cfRule>
  </conditionalFormatting>
  <conditionalFormatting sqref="G30">
    <cfRule type="expression" dxfId="175" priority="4">
      <formula>$A$29&gt;0</formula>
    </cfRule>
  </conditionalFormatting>
  <conditionalFormatting sqref="G31">
    <cfRule type="expression" dxfId="174" priority="3">
      <formula>$A$30&gt;0</formula>
    </cfRule>
  </conditionalFormatting>
  <conditionalFormatting sqref="G32">
    <cfRule type="expression" dxfId="173" priority="2">
      <formula>$A$31&gt;0</formula>
    </cfRule>
  </conditionalFormatting>
  <conditionalFormatting sqref="G9">
    <cfRule type="expression" dxfId="172" priority="6">
      <formula>#REF!&gt;0</formula>
    </cfRule>
  </conditionalFormatting>
  <conditionalFormatting sqref="G11 G25:I27">
    <cfRule type="expression" dxfId="171" priority="7">
      <formula>#REF!&gt;0</formula>
    </cfRule>
  </conditionalFormatting>
  <conditionalFormatting sqref="G18">
    <cfRule type="expression" dxfId="170" priority="8">
      <formula>#REF!&gt;0</formula>
    </cfRule>
  </conditionalFormatting>
  <conditionalFormatting sqref="G22:G24">
    <cfRule type="expression" dxfId="169" priority="9">
      <formula>$A$25&gt;0</formula>
    </cfRule>
  </conditionalFormatting>
  <conditionalFormatting sqref="G23:G24">
    <cfRule type="expression" dxfId="168" priority="10">
      <formula>#REF!&gt;0</formula>
    </cfRule>
  </conditionalFormatting>
  <conditionalFormatting sqref="G21">
    <cfRule type="expression" dxfId="167" priority="11">
      <formula>$A$23&gt;0</formula>
    </cfRule>
  </conditionalFormatting>
  <conditionalFormatting sqref="G12">
    <cfRule type="expression" dxfId="166" priority="1">
      <formula>#REF!&gt;0</formula>
    </cfRule>
  </conditionalFormatting>
  <conditionalFormatting sqref="G34">
    <cfRule type="expression" dxfId="165" priority="12">
      <formula>#REF!&gt;0</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4</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0.3</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340</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204</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+計算シート_砒素!G39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計算シート_砒素!G41</f>
        <v>22.6</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IF(入力シート_砒素!$Y$14=1,"目標土壌溶出量濃度",IF(入力シート_砒素!$Y$14=2,"目標土壌溶出量濃度",IF(入力シート_砒素!$Y$14=3,"目標土壌溶出量濃度","PRB通過後の観測点における目標地下水濃度")))</f>
        <v>目標土壌溶出量濃度</v>
      </c>
      <c r="E41" s="527"/>
      <c r="F41" s="527"/>
      <c r="G41" s="528">
        <f>IF($X$14=1,IF(計算シート_砒素!E83&gt;10000,"&gt;10,000",+計算シート_砒素!E83),計算シート_砒素!E74)</f>
        <v>1.2999999999999999E-2</v>
      </c>
      <c r="H41" s="528"/>
      <c r="I41" s="244" t="s">
        <v>28</v>
      </c>
      <c r="J41" s="155"/>
      <c r="K41" s="529">
        <f>+計算シート_砒素!E83</f>
        <v>1.2999999999999999E-2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164" priority="3">
      <formula>LEN(TRIM(Y13))=0</formula>
    </cfRule>
  </conditionalFormatting>
  <conditionalFormatting sqref="D35:H35 J35:L35">
    <cfRule type="expression" dxfId="163" priority="2">
      <formula>$X$14=1</formula>
    </cfRule>
  </conditionalFormatting>
  <conditionalFormatting sqref="I35">
    <cfRule type="expression" dxfId="162"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3554"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3555"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V84"/>
  <sheetViews>
    <sheetView showGridLines="0" showRowColHeaders="0" zoomScale="80" zoomScaleNormal="80" workbookViewId="0">
      <selection activeCell="D3" sqref="D3:K3"/>
    </sheetView>
  </sheetViews>
  <sheetFormatPr defaultRowHeight="13" x14ac:dyDescent="0.2"/>
  <cols>
    <col min="1" max="1" width="3.6328125" customWidth="1"/>
    <col min="2" max="2" width="10.7265625" customWidth="1"/>
    <col min="3" max="3" width="3.6328125" customWidth="1"/>
    <col min="4" max="4" width="12.6328125" customWidth="1"/>
    <col min="5" max="5" width="15.7265625" customWidth="1"/>
    <col min="6" max="6" width="13.26953125" customWidth="1"/>
    <col min="7" max="7" width="13.453125" customWidth="1"/>
    <col min="9" max="9" width="14.26953125" customWidth="1"/>
    <col min="10" max="10" width="9" customWidth="1"/>
    <col min="11" max="11" width="18.6328125" customWidth="1"/>
    <col min="12" max="12" width="3.6328125" customWidth="1"/>
  </cols>
  <sheetData>
    <row r="1" spans="1:22" x14ac:dyDescent="0.2">
      <c r="A1" s="162"/>
      <c r="B1" s="157"/>
      <c r="C1" s="424"/>
      <c r="D1" s="157"/>
      <c r="E1" s="157"/>
      <c r="F1" s="157"/>
      <c r="G1" s="157"/>
      <c r="H1" s="157"/>
      <c r="I1" s="157"/>
      <c r="J1" s="157"/>
      <c r="K1" s="157"/>
      <c r="L1" s="163" t="str">
        <f>'入力シート (複数物質)'!AF3</f>
        <v xml:space="preserve">措置完了条件（目標土壌溶出量・目標地下水濃度の計算）の計算ツール　Ver 1.0 </v>
      </c>
    </row>
    <row r="2" spans="1:22" x14ac:dyDescent="0.2">
      <c r="A2" s="164"/>
      <c r="B2" s="155"/>
      <c r="C2" s="425"/>
      <c r="D2" s="155"/>
      <c r="E2" s="155"/>
      <c r="F2" s="155"/>
      <c r="G2" s="155"/>
      <c r="H2" s="155"/>
      <c r="I2" s="155"/>
      <c r="J2" s="155"/>
      <c r="K2" s="155"/>
      <c r="L2" s="165"/>
    </row>
    <row r="3" spans="1:22" ht="28" x14ac:dyDescent="0.2">
      <c r="A3" s="164"/>
      <c r="B3" s="155"/>
      <c r="C3" s="425"/>
      <c r="D3" s="542" t="s">
        <v>315</v>
      </c>
      <c r="E3" s="543"/>
      <c r="F3" s="543"/>
      <c r="G3" s="543"/>
      <c r="H3" s="543"/>
      <c r="I3" s="543"/>
      <c r="J3" s="543"/>
      <c r="K3" s="543"/>
      <c r="L3" s="170"/>
    </row>
    <row r="4" spans="1:22" ht="11.25" customHeight="1" x14ac:dyDescent="0.2">
      <c r="A4" s="164"/>
      <c r="B4" s="155"/>
      <c r="C4" s="425"/>
      <c r="D4" s="166"/>
      <c r="E4" s="166"/>
      <c r="F4" s="166"/>
      <c r="G4" s="166"/>
      <c r="H4" s="166"/>
      <c r="I4" s="166"/>
      <c r="J4" s="166"/>
      <c r="K4" s="166"/>
      <c r="L4" s="158"/>
    </row>
    <row r="5" spans="1:22" ht="20.149999999999999" customHeight="1" x14ac:dyDescent="0.2">
      <c r="A5" s="164"/>
      <c r="B5" s="155"/>
      <c r="C5" s="425"/>
      <c r="D5" s="674" t="str">
        <f>'入力シート (複数物質)'!C8</f>
        <v>文書番号</v>
      </c>
      <c r="E5" s="674"/>
      <c r="F5" s="675" t="str">
        <f>'入力シート (複数物質)'!E8</f>
        <v>文書－１２３－４５６－７８９</v>
      </c>
      <c r="G5" s="675"/>
      <c r="H5" s="675"/>
      <c r="I5" s="390"/>
      <c r="L5" s="307"/>
    </row>
    <row r="6" spans="1:22" ht="20.149999999999999" customHeight="1" x14ac:dyDescent="0.2">
      <c r="A6" s="164"/>
      <c r="B6" s="155"/>
      <c r="C6" s="425"/>
      <c r="D6" s="674" t="str">
        <f>'入力シート (複数物質)'!C9</f>
        <v>状況調査報告書提出日</v>
      </c>
      <c r="E6" s="674"/>
      <c r="F6" s="676">
        <f>'入力シート (複数物質)'!E9</f>
        <v>43586</v>
      </c>
      <c r="G6" s="676"/>
      <c r="H6" s="676"/>
      <c r="I6" s="390"/>
      <c r="L6" s="307"/>
    </row>
    <row r="7" spans="1:22" ht="20.149999999999999" customHeight="1" x14ac:dyDescent="0.2">
      <c r="A7" s="164"/>
      <c r="B7" s="155"/>
      <c r="C7" s="425"/>
      <c r="D7" s="674" t="str">
        <f>'入力シート (複数物質)'!C10</f>
        <v>計算実施日</v>
      </c>
      <c r="E7" s="674"/>
      <c r="F7" s="676">
        <f>'入力シート (複数物質)'!E10</f>
        <v>43595</v>
      </c>
      <c r="G7" s="676"/>
      <c r="H7" s="676"/>
      <c r="I7" s="390"/>
      <c r="L7" s="307"/>
    </row>
    <row r="8" spans="1:22" ht="20.149999999999999" customHeight="1" x14ac:dyDescent="0.2">
      <c r="A8" s="164"/>
      <c r="B8" s="155"/>
      <c r="C8" s="425"/>
      <c r="D8" s="674" t="str">
        <f>'入力シート (複数物質)'!C11</f>
        <v>所在地</v>
      </c>
      <c r="E8" s="674"/>
      <c r="F8" s="677" t="str">
        <f>'入力シート (複数物質)'!E11</f>
        <v>東京都 千代田区 霞が関 １－２－２</v>
      </c>
      <c r="G8" s="677"/>
      <c r="H8" s="677"/>
      <c r="I8" s="677"/>
      <c r="J8" s="677"/>
      <c r="K8" s="677"/>
      <c r="L8" s="307"/>
    </row>
    <row r="9" spans="1:22" ht="20.149999999999999" customHeight="1" x14ac:dyDescent="0.2">
      <c r="A9" s="164"/>
      <c r="B9" s="155"/>
      <c r="C9" s="425"/>
      <c r="D9" s="674" t="str">
        <f>'入力シート (複数物質)'!C12</f>
        <v>自由設定項目</v>
      </c>
      <c r="E9" s="674"/>
      <c r="F9" s="677" t="str">
        <f>'入力シート (複数物質)'!E12</f>
        <v>※ この項目は項目タイトルを自由に設定することができます。</v>
      </c>
      <c r="G9" s="677"/>
      <c r="H9" s="677"/>
      <c r="I9" s="677"/>
      <c r="J9" s="677"/>
      <c r="K9" s="677"/>
      <c r="L9" s="307"/>
    </row>
    <row r="10" spans="1:22" ht="15.75" customHeight="1" x14ac:dyDescent="0.2">
      <c r="A10" s="164"/>
      <c r="B10" s="155"/>
      <c r="C10" s="425"/>
      <c r="D10" s="167"/>
      <c r="E10" s="167"/>
      <c r="F10" s="167"/>
      <c r="G10" s="167"/>
      <c r="H10" s="167"/>
      <c r="I10" s="167"/>
      <c r="J10" s="167"/>
      <c r="K10" s="167"/>
      <c r="L10" s="307"/>
    </row>
    <row r="11" spans="1:22" ht="20.149999999999999" customHeight="1" x14ac:dyDescent="0.2">
      <c r="A11" s="164"/>
      <c r="B11" s="155"/>
      <c r="C11" s="425"/>
      <c r="D11" s="335" t="s">
        <v>18</v>
      </c>
      <c r="E11" s="337"/>
      <c r="F11" s="679" t="str">
        <f>'入力シート (複数物質)'!F20</f>
        <v>複数物質選択</v>
      </c>
      <c r="G11" s="679"/>
      <c r="H11" s="372"/>
      <c r="I11" s="372"/>
      <c r="L11" s="307"/>
    </row>
    <row r="12" spans="1:22" ht="20.149999999999999" customHeight="1" x14ac:dyDescent="0.2">
      <c r="A12" s="164"/>
      <c r="B12" s="155"/>
      <c r="C12" s="425"/>
      <c r="D12" s="336" t="s">
        <v>302</v>
      </c>
      <c r="E12" s="459" t="s">
        <v>305</v>
      </c>
      <c r="F12" s="679" t="str">
        <f>'入力シート (複数物質)'!K36</f>
        <v>砂</v>
      </c>
      <c r="G12" s="679"/>
      <c r="H12" s="372"/>
      <c r="I12" s="372"/>
      <c r="L12" s="307"/>
    </row>
    <row r="13" spans="1:22" ht="20.149999999999999" customHeight="1" x14ac:dyDescent="0.2">
      <c r="A13" s="164"/>
      <c r="B13" s="155"/>
      <c r="C13" s="425"/>
      <c r="D13" s="343"/>
      <c r="E13" s="460" t="s">
        <v>308</v>
      </c>
      <c r="F13" s="474">
        <f>'入力シート (複数物質)'!L38</f>
        <v>8</v>
      </c>
      <c r="G13" s="167" t="s">
        <v>17</v>
      </c>
      <c r="K13" s="167"/>
      <c r="L13" s="307"/>
    </row>
    <row r="14" spans="1:22" ht="8.15" customHeight="1" x14ac:dyDescent="0.2">
      <c r="A14" s="164"/>
      <c r="B14" s="155"/>
      <c r="C14" s="425"/>
      <c r="D14" s="343"/>
      <c r="E14" s="343"/>
      <c r="F14" s="370"/>
      <c r="G14" s="345"/>
      <c r="I14" s="156"/>
      <c r="J14" s="156"/>
      <c r="K14" s="167"/>
      <c r="L14" s="307"/>
    </row>
    <row r="15" spans="1:22" ht="20.149999999999999" customHeight="1" x14ac:dyDescent="0.2">
      <c r="A15" s="164"/>
      <c r="B15" s="155"/>
      <c r="C15" s="425"/>
      <c r="D15" s="336" t="s">
        <v>304</v>
      </c>
      <c r="E15" s="337"/>
      <c r="F15" s="371">
        <f>'入力シート (複数物質)'!F41</f>
        <v>5.0000000000000001E-3</v>
      </c>
      <c r="G15" s="205" t="s">
        <v>16</v>
      </c>
      <c r="K15" s="167"/>
      <c r="L15" s="307"/>
      <c r="P15" s="337"/>
      <c r="Q15" s="167"/>
      <c r="R15" s="167"/>
      <c r="S15" s="167"/>
      <c r="T15" s="167"/>
      <c r="U15" s="167"/>
      <c r="V15" s="167"/>
    </row>
    <row r="16" spans="1:22" ht="20.149999999999999" customHeight="1" x14ac:dyDescent="0.2">
      <c r="A16" s="164"/>
      <c r="B16" s="155"/>
      <c r="C16" s="425"/>
      <c r="D16" s="336" t="s">
        <v>281</v>
      </c>
      <c r="E16" s="337"/>
      <c r="F16" s="371">
        <f>'入力シート (複数物質)'!L44</f>
        <v>50</v>
      </c>
      <c r="G16" s="167" t="s">
        <v>17</v>
      </c>
      <c r="K16" s="167"/>
      <c r="L16" s="307"/>
    </row>
    <row r="17" spans="1:19" ht="20.149999999999999" customHeight="1" x14ac:dyDescent="0.2">
      <c r="A17" s="164"/>
      <c r="B17" s="155"/>
      <c r="C17" s="425"/>
      <c r="D17" s="334" t="s">
        <v>299</v>
      </c>
      <c r="E17" s="369"/>
      <c r="K17" s="167"/>
      <c r="L17" s="307"/>
    </row>
    <row r="18" spans="1:19" ht="20.149999999999999" customHeight="1" x14ac:dyDescent="0.2">
      <c r="A18" s="164"/>
      <c r="B18" s="155"/>
      <c r="C18" s="425"/>
      <c r="D18" s="678" t="s">
        <v>430</v>
      </c>
      <c r="E18" s="678"/>
      <c r="F18" s="330">
        <f>'入力シート (複数物質)'!L46</f>
        <v>30</v>
      </c>
      <c r="G18" s="167" t="s">
        <v>17</v>
      </c>
      <c r="K18" s="167"/>
      <c r="L18" s="307"/>
    </row>
    <row r="19" spans="1:19" ht="20.149999999999999" customHeight="1" x14ac:dyDescent="0.2">
      <c r="A19" s="164"/>
      <c r="B19" s="425"/>
      <c r="C19" s="425"/>
      <c r="D19" s="678" t="s">
        <v>431</v>
      </c>
      <c r="E19" s="678"/>
      <c r="F19" s="330">
        <f>'入力シート (複数物質)'!L47</f>
        <v>15</v>
      </c>
      <c r="G19" s="167" t="s">
        <v>17</v>
      </c>
      <c r="I19" s="330"/>
      <c r="J19" s="167"/>
      <c r="K19" s="167"/>
      <c r="L19" s="307"/>
    </row>
    <row r="20" spans="1:19" ht="20.149999999999999" hidden="1" customHeight="1" x14ac:dyDescent="0.2">
      <c r="A20" s="164"/>
      <c r="B20" s="155"/>
      <c r="C20" s="425"/>
      <c r="D20" s="334" t="s">
        <v>358</v>
      </c>
      <c r="E20" s="374"/>
      <c r="F20" s="567" t="str">
        <f>VLOOKUP('入力シート (複数物質)'!AJ14,'入力シート (複数物質)'!AI15:AJ17,2)</f>
        <v>地下水位より深い位置</v>
      </c>
      <c r="G20" s="567"/>
      <c r="H20" s="479"/>
      <c r="I20" s="479"/>
      <c r="J20" s="479"/>
      <c r="K20" s="479"/>
      <c r="L20" s="307"/>
    </row>
    <row r="21" spans="1:19" ht="20.149999999999999" hidden="1" customHeight="1" x14ac:dyDescent="0.2">
      <c r="A21" s="164"/>
      <c r="B21" s="155"/>
      <c r="C21" s="425"/>
      <c r="D21" s="336" t="str">
        <f>IF('入力シート (複数物質)'!AI14=1,"","かん養量")</f>
        <v/>
      </c>
      <c r="E21" s="167"/>
      <c r="F21" s="371" t="str">
        <f>IF('入力シート (複数物質)'!AI14=1,"",'入力シート (複数物質)'!L49)</f>
        <v/>
      </c>
      <c r="G21" s="167" t="str">
        <f>IF('入力シート (複数物質)'!AI14=1,"","mm/day")</f>
        <v/>
      </c>
      <c r="K21" s="167"/>
      <c r="L21" s="307"/>
      <c r="P21" s="305"/>
      <c r="Q21" s="205"/>
      <c r="R21" s="555"/>
      <c r="S21" s="555"/>
    </row>
    <row r="22" spans="1:19" ht="12.75" customHeight="1" thickBot="1" x14ac:dyDescent="0.25">
      <c r="A22" s="164"/>
      <c r="B22" s="155"/>
      <c r="C22" s="425"/>
      <c r="D22" s="336"/>
      <c r="E22" s="167"/>
      <c r="F22" s="167"/>
      <c r="G22" s="167"/>
      <c r="H22" s="156"/>
      <c r="I22" s="372"/>
      <c r="J22" s="167"/>
      <c r="K22" s="167"/>
      <c r="L22" s="307"/>
      <c r="P22" s="305"/>
      <c r="Q22" s="205"/>
      <c r="R22" s="373"/>
      <c r="S22" s="373"/>
    </row>
    <row r="23" spans="1:19" ht="25" customHeight="1" thickBot="1" x14ac:dyDescent="0.25">
      <c r="A23" s="164"/>
      <c r="C23" s="667" t="s">
        <v>362</v>
      </c>
      <c r="D23" s="668"/>
      <c r="E23" s="668"/>
      <c r="F23" s="669"/>
      <c r="G23" s="670" t="s">
        <v>369</v>
      </c>
      <c r="H23" s="671"/>
      <c r="I23" s="672" t="s">
        <v>386</v>
      </c>
      <c r="J23" s="673"/>
      <c r="K23" s="167"/>
      <c r="L23" s="307"/>
    </row>
    <row r="24" spans="1:19" ht="25" customHeight="1" x14ac:dyDescent="0.2">
      <c r="A24" s="164"/>
      <c r="C24" s="661" t="s">
        <v>221</v>
      </c>
      <c r="D24" s="405" t="s">
        <v>224</v>
      </c>
      <c r="E24" s="411"/>
      <c r="F24" s="391"/>
      <c r="G24" s="416">
        <f>IF('入力シート (複数物質)'!$AI$37=999,IF('入力シート (複数物質)'!$AL23=TRUE,入力シート_クロロエチレン!$G$41,"－"),"－")</f>
        <v>2.7000000000000001E-3</v>
      </c>
      <c r="H24" s="392" t="str">
        <f>IF('入力シート (複数物質)'!$AI$37=999,IF('入力シート (複数物質)'!$AL23=TRUE,"mg/L",""),"")</f>
        <v>mg/L</v>
      </c>
      <c r="I24" s="419">
        <f>IF('入力シート (複数物質)'!$AI$37=999,IF('入力シート (複数物質)'!$AL23=TRUE,入力シート_クロロエチレン!$K$41,"－"),"－")</f>
        <v>2.7000000000000001E-3</v>
      </c>
      <c r="J24" s="392" t="str">
        <f>IF('入力シート (複数物質)'!$AI$37=999,IF('入力シート (複数物質)'!$AL23=TRUE,"mg/L",""),"")</f>
        <v>mg/L</v>
      </c>
      <c r="K24" s="167"/>
      <c r="L24" s="307"/>
    </row>
    <row r="25" spans="1:19" ht="25" customHeight="1" x14ac:dyDescent="0.2">
      <c r="A25" s="164"/>
      <c r="C25" s="662"/>
      <c r="D25" s="406" t="s">
        <v>227</v>
      </c>
      <c r="E25" s="412"/>
      <c r="F25" s="395"/>
      <c r="G25" s="414">
        <f>IF('入力シート (複数物質)'!$AI$37=999,IF('入力シート (複数物質)'!$AL25=TRUE,入力シート_四塩化炭素!$G$41,"－"),"－")</f>
        <v>3.3E-3</v>
      </c>
      <c r="H25" s="394" t="str">
        <f>IF('入力シート (複数物質)'!$AI$37=999,IF('入力シート (複数物質)'!$AL25=TRUE,"mg/L",""),"")</f>
        <v>mg/L</v>
      </c>
      <c r="I25" s="417">
        <f>IF('入力シート (複数物質)'!$AI$37=999,IF('入力シート (複数物質)'!$AL25=TRUE,入力シート_四塩化炭素!$K$41,"－"),"－")</f>
        <v>3.3E-3</v>
      </c>
      <c r="J25" s="394" t="str">
        <f>IF('入力シート (複数物質)'!$AI$37=999,IF('入力シート (複数物質)'!$AL25=TRUE,"mg/L",""),"")</f>
        <v>mg/L</v>
      </c>
      <c r="K25" s="167"/>
      <c r="L25" s="307"/>
    </row>
    <row r="26" spans="1:19" ht="25" customHeight="1" x14ac:dyDescent="0.2">
      <c r="A26" s="164"/>
      <c r="C26" s="662"/>
      <c r="D26" s="406" t="s">
        <v>326</v>
      </c>
      <c r="E26" s="412"/>
      <c r="F26" s="395"/>
      <c r="G26" s="414">
        <f>IF('入力シート (複数物質)'!$AI$37=999,IF('入力シート (複数物質)'!$AL26=TRUE,入力シート_1・2・ジクロロエタン!$G$41,"－"),"－")</f>
        <v>1.0999999999999999E-2</v>
      </c>
      <c r="H26" s="394" t="str">
        <f>IF('入力シート (複数物質)'!$AI$37=999,IF('入力シート (複数物質)'!$AL26=TRUE,"mg/L",""),"")</f>
        <v>mg/L</v>
      </c>
      <c r="I26" s="417">
        <f>IF('入力シート (複数物質)'!$AI$37=999,IF('入力シート (複数物質)'!$AL26=TRUE,入力シート_1・2・ジクロロエタン!$K$41,"－"),"－")</f>
        <v>1.0999999999999999E-2</v>
      </c>
      <c r="J26" s="394" t="str">
        <f>IF('入力シート (複数物質)'!$AI$37=999,IF('入力シート (複数物質)'!$AL26=TRUE,"mg/L",""),"")</f>
        <v>mg/L</v>
      </c>
      <c r="K26" s="167"/>
      <c r="L26" s="307"/>
    </row>
    <row r="27" spans="1:19" ht="25" customHeight="1" x14ac:dyDescent="0.2">
      <c r="A27" s="164"/>
      <c r="C27" s="662"/>
      <c r="D27" s="406" t="s">
        <v>229</v>
      </c>
      <c r="E27" s="412"/>
      <c r="F27" s="395"/>
      <c r="G27" s="414">
        <f>IF('入力シート (複数物質)'!$AI$37=999,IF('入力シート (複数物質)'!$AL27=TRUE,入力シート_1・1・ジクロロエチレン!$G$41,"－"),"－")</f>
        <v>0.13</v>
      </c>
      <c r="H27" s="394" t="str">
        <f>IF('入力シート (複数物質)'!$AI$37=999,IF('入力シート (複数物質)'!$AL27=TRUE,"mg/L",""),"")</f>
        <v>mg/L</v>
      </c>
      <c r="I27" s="417">
        <f>IF('入力シート (複数物質)'!$AI$37=999,IF('入力シート (複数物質)'!$AL27=TRUE,入力シート_1・1・ジクロロエチレン!$K$41,"－"),"－")</f>
        <v>0.13</v>
      </c>
      <c r="J27" s="394" t="str">
        <f>IF('入力シート (複数物質)'!$AI$37=999,IF('入力シート (複数物質)'!$AL27=TRUE,"mg/L",""),"")</f>
        <v>mg/L</v>
      </c>
      <c r="K27" s="167"/>
      <c r="L27" s="307"/>
    </row>
    <row r="28" spans="1:19" ht="25" customHeight="1" x14ac:dyDescent="0.2">
      <c r="A28" s="164"/>
      <c r="C28" s="662"/>
      <c r="D28" s="406" t="s">
        <v>359</v>
      </c>
      <c r="E28" s="412"/>
      <c r="F28" s="395"/>
      <c r="G28" s="414">
        <f>IF('入力シート (複数物質)'!$AI$37=999,IF('入力シート (複数物質)'!$AL28=TRUE,入力シート_1・2・ジクロロエチレン!$G$41,"－"),"－")</f>
        <v>5.3999999999999999E-2</v>
      </c>
      <c r="H28" s="394" t="str">
        <f>IF('入力シート (複数物質)'!$AI$37=999,IF('入力シート (複数物質)'!$AL28=TRUE,"mg/L",""),"")</f>
        <v>mg/L</v>
      </c>
      <c r="I28" s="417">
        <f>IF('入力シート (複数物質)'!$AI$37=999,IF('入力シート (複数物質)'!$AL28=TRUE,入力シート_1・2・ジクロロエチレン!$K$41,"－"),"－")</f>
        <v>5.3999999999999999E-2</v>
      </c>
      <c r="J28" s="394" t="str">
        <f>IF('入力シート (複数物質)'!$AI$37=999,IF('入力シート (複数物質)'!$AL28=TRUE,"mg/L",""),"")</f>
        <v>mg/L</v>
      </c>
      <c r="K28" s="167"/>
      <c r="L28" s="307"/>
    </row>
    <row r="29" spans="1:19" ht="25" customHeight="1" x14ac:dyDescent="0.2">
      <c r="A29" s="164"/>
      <c r="C29" s="662"/>
      <c r="D29" s="406" t="s">
        <v>242</v>
      </c>
      <c r="E29" s="412"/>
      <c r="F29" s="395"/>
      <c r="G29" s="414">
        <f>IF('入力シート (複数物質)'!$AI$37=999,IF('入力シート (複数物質)'!$AL33=TRUE,入力シート_1・3・ジクロロプロペン!$G$41,"－"),"－")</f>
        <v>0.02</v>
      </c>
      <c r="H29" s="394" t="str">
        <f>IF('入力シート (複数物質)'!$AI$37=999,IF('入力シート (複数物質)'!$AL33=TRUE,"mg/L",""),"")</f>
        <v>mg/L</v>
      </c>
      <c r="I29" s="417">
        <f>IF('入力シート (複数物質)'!$AI$37=999,IF('入力シート (複数物質)'!$AL33=TRUE,入力シート_1・3・ジクロロプロペン!$K$41,"－"),"－")</f>
        <v>0.02</v>
      </c>
      <c r="J29" s="394" t="str">
        <f>IF('入力シート (複数物質)'!$AI$37=999,IF('入力シート (複数物質)'!$AL33=TRUE,"mg/L",""),"")</f>
        <v>mg/L</v>
      </c>
      <c r="K29" s="167"/>
      <c r="L29" s="307"/>
    </row>
    <row r="30" spans="1:19" ht="25" customHeight="1" x14ac:dyDescent="0.2">
      <c r="A30" s="164"/>
      <c r="C30" s="662"/>
      <c r="D30" s="406" t="s">
        <v>322</v>
      </c>
      <c r="E30" s="412"/>
      <c r="F30" s="393"/>
      <c r="G30" s="414">
        <f>IF('入力シート (複数物質)'!$AI$37=999,IF('入力シート (複数物質)'!$AL24=TRUE,入力シート_ジクロロメタン!$G$41,"－"),"－")</f>
        <v>3.3000000000000002E-2</v>
      </c>
      <c r="H30" s="394" t="str">
        <f>IF('入力シート (複数物質)'!$AI$37=999,IF('入力シート (複数物質)'!$AL24=TRUE,"mg/L",""),"")</f>
        <v>mg/L</v>
      </c>
      <c r="I30" s="417">
        <f>IF('入力シート (複数物質)'!$AI$37=999,IF('入力シート (複数物質)'!$AL24=TRUE,入力シート_ジクロロメタン!$K$41,"－"),"－")</f>
        <v>3.3000000000000002E-2</v>
      </c>
      <c r="J30" s="394" t="str">
        <f>IF('入力シート (複数物質)'!$AI$37=999,IF('入力シート (複数物質)'!$AL24=TRUE,"mg/L",""),"")</f>
        <v>mg/L</v>
      </c>
      <c r="K30" s="167"/>
      <c r="L30" s="307"/>
    </row>
    <row r="31" spans="1:19" ht="25" customHeight="1" x14ac:dyDescent="0.2">
      <c r="A31" s="164"/>
      <c r="C31" s="662"/>
      <c r="D31" s="406" t="s">
        <v>240</v>
      </c>
      <c r="E31" s="412"/>
      <c r="F31" s="395"/>
      <c r="G31" s="414">
        <f>IF('入力シート (複数物質)'!$AI$37=999,IF('入力シート (複数物質)'!$AL32=TRUE,入力シート_テトラクロロエチレン!$G$41,"－"),"－")</f>
        <v>1.2999999999999999E-2</v>
      </c>
      <c r="H31" s="394" t="str">
        <f>IF('入力シート (複数物質)'!$AI$37=999,IF('入力シート (複数物質)'!$AL32=TRUE,"mg/L",""),"")</f>
        <v>mg/L</v>
      </c>
      <c r="I31" s="417">
        <f>IF('入力シート (複数物質)'!$AI$37=999,IF('入力シート (複数物質)'!$AL32=TRUE,入力シート_テトラクロロエチレン!$K$41,"－"),"－")</f>
        <v>1.2999999999999999E-2</v>
      </c>
      <c r="J31" s="394" t="str">
        <f>IF('入力シート (複数物質)'!$AI$37=999,IF('入力シート (複数物質)'!$AL32=TRUE,"mg/L",""),"")</f>
        <v>mg/L</v>
      </c>
      <c r="K31" s="167"/>
      <c r="L31" s="307"/>
    </row>
    <row r="32" spans="1:19" ht="25" customHeight="1" x14ac:dyDescent="0.2">
      <c r="A32" s="164"/>
      <c r="C32" s="662"/>
      <c r="D32" s="406" t="s">
        <v>234</v>
      </c>
      <c r="E32" s="412"/>
      <c r="F32" s="395"/>
      <c r="G32" s="414">
        <f>IF('入力シート (複数物質)'!$AI$37=999,IF('入力シート (複数物質)'!$AL29=TRUE,入力シート_1・1・1・トリクロロエタン!$G$41,"－"),"－")</f>
        <v>2.8</v>
      </c>
      <c r="H32" s="394" t="str">
        <f>IF('入力シート (複数物質)'!$AI$37=999,IF('入力シート (複数物質)'!$AL29=TRUE,"mg/L",""),"")</f>
        <v>mg/L</v>
      </c>
      <c r="I32" s="417">
        <f>IF('入力シート (複数物質)'!$AI$37=999,IF('入力シート (複数物質)'!$AL29=TRUE,入力シート_1・1・1・トリクロロエタン!$K$41,"－"),"－")</f>
        <v>2.8</v>
      </c>
      <c r="J32" s="394" t="str">
        <f>IF('入力シート (複数物質)'!$AI$37=999,IF('入力シート (複数物質)'!$AL29=TRUE,"mg/L",""),"")</f>
        <v>mg/L</v>
      </c>
      <c r="K32" s="167"/>
      <c r="L32" s="307"/>
    </row>
    <row r="33" spans="1:12" ht="25" customHeight="1" x14ac:dyDescent="0.2">
      <c r="A33" s="164"/>
      <c r="C33" s="662"/>
      <c r="D33" s="406" t="s">
        <v>236</v>
      </c>
      <c r="E33" s="412"/>
      <c r="F33" s="395"/>
      <c r="G33" s="414">
        <f>IF('入力シート (複数物質)'!$AI$37=999,IF('入力シート (複数物質)'!$AL30=TRUE,入力シート_1・1・2・トリクロロエタン!$G$41,"－"),"－")</f>
        <v>1.6E-2</v>
      </c>
      <c r="H33" s="394" t="str">
        <f>IF('入力シート (複数物質)'!$AI$37=999,IF('入力シート (複数物質)'!$AL30=TRUE,"mg/L",""),"")</f>
        <v>mg/L</v>
      </c>
      <c r="I33" s="417">
        <f>IF('入力シート (複数物質)'!$AI$37=999,IF('入力シート (複数物質)'!$AL30=TRUE,入力シート_1・1・2・トリクロロエタン!$K$41,"－"),"－")</f>
        <v>1.6E-2</v>
      </c>
      <c r="J33" s="394" t="str">
        <f>IF('入力シート (複数物質)'!$AI$37=999,IF('入力シート (複数物質)'!$AL30=TRUE,"mg/L",""),"")</f>
        <v>mg/L</v>
      </c>
      <c r="K33" s="167"/>
      <c r="L33" s="307"/>
    </row>
    <row r="34" spans="1:12" ht="25" customHeight="1" x14ac:dyDescent="0.2">
      <c r="A34" s="164"/>
      <c r="C34" s="662"/>
      <c r="D34" s="406" t="s">
        <v>238</v>
      </c>
      <c r="E34" s="412"/>
      <c r="F34" s="395"/>
      <c r="G34" s="414">
        <f>IF('入力シート (複数物質)'!$AI$37=999,IF('入力シート (複数物質)'!$AL31=TRUE,入力シート_トリクロロエチレン!$G$41,"－"),"－")</f>
        <v>0.04</v>
      </c>
      <c r="H34" s="394" t="str">
        <f>IF('入力シート (複数物質)'!$AI$37=999,IF('入力シート (複数物質)'!$AL31=TRUE,"mg/L",""),"")</f>
        <v>mg/L</v>
      </c>
      <c r="I34" s="417">
        <f>IF('入力シート (複数物質)'!$AI$37=999,IF('入力シート (複数物質)'!$AL31=TRUE,入力シート_トリクロロエチレン!$K$41,"－"),"－")</f>
        <v>0.04</v>
      </c>
      <c r="J34" s="394" t="str">
        <f>IF('入力シート (複数物質)'!$AI$37=999,IF('入力シート (複数物質)'!$AL31=TRUE,"mg/L",""),"")</f>
        <v>mg/L</v>
      </c>
      <c r="K34" s="167"/>
      <c r="L34" s="307"/>
    </row>
    <row r="35" spans="1:12" ht="25" customHeight="1" thickBot="1" x14ac:dyDescent="0.25">
      <c r="A35" s="164"/>
      <c r="C35" s="663"/>
      <c r="D35" s="407" t="s">
        <v>244</v>
      </c>
      <c r="E35" s="413"/>
      <c r="F35" s="396"/>
      <c r="G35" s="415">
        <f>IF('入力シート (複数物質)'!$AI$37=999,IF('入力シート (複数物質)'!$AL34=TRUE,入力シート_ベンゼン!$G$41,"－"),"－")</f>
        <v>2.8000000000000001E-2</v>
      </c>
      <c r="H35" s="397" t="str">
        <f>IF('入力シート (複数物質)'!$AI$37=999,IF('入力シート (複数物質)'!$AL34=TRUE,"mg/L",""),"")</f>
        <v>mg/L</v>
      </c>
      <c r="I35" s="418">
        <f>IF('入力シート (複数物質)'!$AI$37=999,IF('入力シート (複数物質)'!$AL34=TRUE,入力シート_ベンゼン!$K$41,"－"),"－")</f>
        <v>2.8000000000000001E-2</v>
      </c>
      <c r="J35" s="397" t="str">
        <f>IF('入力シート (複数物質)'!$AI$37=999,IF('入力シート (複数物質)'!$AL34=TRUE,"mg/L",""),"")</f>
        <v>mg/L</v>
      </c>
      <c r="K35" s="167"/>
      <c r="L35" s="307"/>
    </row>
    <row r="36" spans="1:12" ht="25" customHeight="1" x14ac:dyDescent="0.2">
      <c r="A36" s="164"/>
      <c r="C36" s="661" t="s">
        <v>222</v>
      </c>
      <c r="D36" s="408" t="s">
        <v>392</v>
      </c>
      <c r="E36" s="412"/>
      <c r="F36" s="398"/>
      <c r="G36" s="414">
        <f>IF('入力シート (複数物質)'!$AI$37=999,IF('入力シート (複数物質)'!$AL36=TRUE,入力シート_カドミウム!$G$41,"－"),"－")</f>
        <v>0.14000000000000001</v>
      </c>
      <c r="H36" s="394" t="str">
        <f>IF('入力シート (複数物質)'!$AI$37=999,IF('入力シート (複数物質)'!$AL36=TRUE,"mg/L",""),"")</f>
        <v>mg/L</v>
      </c>
      <c r="I36" s="417">
        <f>IF('入力シート (複数物質)'!$AI$37=999,IF('入力シート (複数物質)'!$AL36=TRUE,入力シート_カドミウム!$K$41,"－"),"－")</f>
        <v>0.14000000000000001</v>
      </c>
      <c r="J36" s="394" t="str">
        <f>IF('入力シート (複数物質)'!$AI$37=999,IF('入力シート (複数物質)'!$AL36=TRUE,"mg/L",""),"")</f>
        <v>mg/L</v>
      </c>
      <c r="K36" s="167"/>
      <c r="L36" s="307"/>
    </row>
    <row r="37" spans="1:12" ht="25" customHeight="1" x14ac:dyDescent="0.2">
      <c r="A37" s="164"/>
      <c r="C37" s="662"/>
      <c r="D37" s="406" t="s">
        <v>396</v>
      </c>
      <c r="E37" s="412"/>
      <c r="F37" s="398"/>
      <c r="G37" s="414">
        <f>IF('入力シート (複数物質)'!$AI$37=999,IF('入力シート (複数物質)'!$AL39=TRUE,入力シート_六価クロム!$G$41,"－"),"－")</f>
        <v>5.0999999999999997E-2</v>
      </c>
      <c r="H37" s="394" t="str">
        <f>IF('入力シート (複数物質)'!$AI$37=999,IF('入力シート (複数物質)'!$AL39=TRUE,"mg/L",""),"")</f>
        <v>mg/L</v>
      </c>
      <c r="I37" s="417">
        <f>IF('入力シート (複数物質)'!$AI$37=999,IF('入力シート (複数物質)'!$AL39=TRUE,入力シート_六価クロム!$K$41,"－"),"－")</f>
        <v>5.0999999999999997E-2</v>
      </c>
      <c r="J37" s="394" t="str">
        <f>IF('入力シート (複数物質)'!$AI$37=999,IF('入力シート (複数物質)'!$AL39=TRUE,"mg/L",""),"")</f>
        <v>mg/L</v>
      </c>
      <c r="K37" s="167"/>
      <c r="L37" s="307"/>
    </row>
    <row r="38" spans="1:12" ht="25" customHeight="1" x14ac:dyDescent="0.2">
      <c r="A38" s="164"/>
      <c r="C38" s="662"/>
      <c r="D38" s="447" t="s">
        <v>398</v>
      </c>
      <c r="E38" s="448"/>
      <c r="F38" s="449"/>
      <c r="G38" s="450">
        <f>IF('入力シート (複数物質)'!$AI$37=999,IF('入力シート (複数物質)'!$AL43=TRUE,入力シート_シアン!$G$41,"－"),"－")</f>
        <v>0.95</v>
      </c>
      <c r="H38" s="451" t="str">
        <f>IF('入力シート (複数物質)'!$AI$37=999,IF('入力シート (複数物質)'!$AL43=TRUE,"mg/L",""),"")</f>
        <v>mg/L</v>
      </c>
      <c r="I38" s="452">
        <f>IF('入力シート (複数物質)'!$AI$37=999,IF('入力シート (複数物質)'!$AL43=TRUE,入力シート_シアン!$K$41,"－"),"－")</f>
        <v>0.95</v>
      </c>
      <c r="J38" s="451" t="str">
        <f>IF('入力シート (複数物質)'!$AI$37=999,IF('入力シート (複数物質)'!$AL43=TRUE,"mg/L",""),"")</f>
        <v>mg/L</v>
      </c>
      <c r="K38" s="167"/>
      <c r="L38" s="307"/>
    </row>
    <row r="39" spans="1:12" ht="25" customHeight="1" x14ac:dyDescent="0.2">
      <c r="A39" s="164"/>
      <c r="C39" s="662"/>
      <c r="D39" s="406" t="s">
        <v>402</v>
      </c>
      <c r="E39" s="412"/>
      <c r="F39" s="395"/>
      <c r="G39" s="414">
        <f>IF('入力シート (複数物質)'!$AI$37=999,IF('入力シート (複数物質)'!$AL37=TRUE,入力シート_水銀!$G$41,"－"),"－")</f>
        <v>2.2000000000000001E-3</v>
      </c>
      <c r="H39" s="394" t="str">
        <f>IF('入力シート (複数物質)'!$AI$37=999,IF('入力シート (複数物質)'!$AL37=TRUE,"mg/L",""),"")</f>
        <v>mg/L</v>
      </c>
      <c r="I39" s="417">
        <f>IF('入力シート (複数物質)'!$AI$37=999,IF('入力シート (複数物質)'!$AL37=TRUE,入力シート_水銀!$K$41,"－"),"－")</f>
        <v>2.2000000000000001E-3</v>
      </c>
      <c r="J39" s="394" t="str">
        <f>IF('入力シート (複数物質)'!$AI$37=999,IF('入力シート (複数物質)'!$AL37=TRUE,"mg/L",""),"")</f>
        <v>mg/L</v>
      </c>
      <c r="K39" s="167"/>
      <c r="L39" s="307"/>
    </row>
    <row r="40" spans="1:12" ht="25" customHeight="1" x14ac:dyDescent="0.2">
      <c r="A40" s="164"/>
      <c r="C40" s="662"/>
      <c r="D40" s="406" t="s">
        <v>404</v>
      </c>
      <c r="E40" s="412"/>
      <c r="F40" s="398"/>
      <c r="G40" s="414">
        <f>IF('入力シート (複数物質)'!$AI$37=999,IF('入力シート (複数物質)'!$AL42=TRUE,入力シート_セレン!$G$41,"－"),"－")</f>
        <v>1.7000000000000001E-2</v>
      </c>
      <c r="H40" s="394" t="str">
        <f>IF('入力シート (複数物質)'!$AI$37=999,IF('入力シート (複数物質)'!$AL42=TRUE,"mg/L",""),"")</f>
        <v>mg/L</v>
      </c>
      <c r="I40" s="417">
        <f>IF('入力シート (複数物質)'!$AI$37=999,IF('入力シート (複数物質)'!$AL42=TRUE,入力シート_セレン!$K$41,"－"),"－")</f>
        <v>1.7000000000000001E-2</v>
      </c>
      <c r="J40" s="394" t="str">
        <f>IF('入力シート (複数物質)'!$AI$37=999,IF('入力シート (複数物質)'!$AL42=TRUE,"mg/L",""),"")</f>
        <v>mg/L</v>
      </c>
      <c r="K40" s="167"/>
      <c r="L40" s="307"/>
    </row>
    <row r="41" spans="1:12" ht="25" customHeight="1" x14ac:dyDescent="0.2">
      <c r="A41" s="164"/>
      <c r="C41" s="662"/>
      <c r="D41" s="453" t="s">
        <v>407</v>
      </c>
      <c r="E41" s="454"/>
      <c r="F41" s="455"/>
      <c r="G41" s="456">
        <f>IF('入力シート (複数物質)'!$AI$37=999,IF('入力シート (複数物質)'!$AL35=TRUE,入力シート_鉛!$G$41,"－"),"－")</f>
        <v>9.9000000000000005E-2</v>
      </c>
      <c r="H41" s="457" t="str">
        <f>IF('入力シート (複数物質)'!$AI$37=999,IF('入力シート (複数物質)'!$AL35=TRUE,"mg/L",""),"")</f>
        <v>mg/L</v>
      </c>
      <c r="I41" s="458">
        <f>IF('入力シート (複数物質)'!$AI$37=999,IF('入力シート (複数物質)'!$AL35=TRUE,入力シート_鉛!$K$41,"－"),"－")</f>
        <v>9.9000000000000005E-2</v>
      </c>
      <c r="J41" s="457" t="str">
        <f>IF('入力シート (複数物質)'!$AI$37=999,IF('入力シート (複数物質)'!$AL35=TRUE,"mg/L",""),"")</f>
        <v>mg/L</v>
      </c>
      <c r="K41" s="167"/>
      <c r="L41" s="307"/>
    </row>
    <row r="42" spans="1:12" ht="25" customHeight="1" x14ac:dyDescent="0.2">
      <c r="A42" s="164"/>
      <c r="C42" s="662"/>
      <c r="D42" s="406" t="s">
        <v>413</v>
      </c>
      <c r="E42" s="412"/>
      <c r="F42" s="398"/>
      <c r="G42" s="414">
        <f>IF('入力シート (複数物質)'!$AI$37=999,IF('入力シート (複数物質)'!$AL38=TRUE,入力シート_砒素!$G$41,"－"),"－")</f>
        <v>1.2999999999999999E-2</v>
      </c>
      <c r="H42" s="394" t="str">
        <f>IF('入力シート (複数物質)'!$AI$37=999,IF('入力シート (複数物質)'!$AL38=TRUE,"mg/L",""),"")</f>
        <v>mg/L</v>
      </c>
      <c r="I42" s="417">
        <f>IF('入力シート (複数物質)'!$AI$37=999,IF('入力シート (複数物質)'!$AL38=TRUE,入力シート_砒素!$K$41,"－"),"－")</f>
        <v>1.2999999999999999E-2</v>
      </c>
      <c r="J42" s="394" t="str">
        <f>IF('入力シート (複数物質)'!$AI$37=999,IF('入力シート (複数物質)'!$AL38=TRUE,"mg/L",""),"")</f>
        <v>mg/L</v>
      </c>
      <c r="K42" s="167"/>
      <c r="L42" s="307"/>
    </row>
    <row r="43" spans="1:12" ht="25" customHeight="1" x14ac:dyDescent="0.2">
      <c r="A43" s="164"/>
      <c r="C43" s="662"/>
      <c r="D43" s="406" t="s">
        <v>418</v>
      </c>
      <c r="E43" s="412"/>
      <c r="F43" s="398"/>
      <c r="G43" s="414">
        <f>IF('入力シート (複数物質)'!$AI$37=999,IF('入力シート (複数物質)'!$AL40=TRUE,入力シート_ふっ素!$G$41,"－"),"－")</f>
        <v>0.82</v>
      </c>
      <c r="H43" s="394" t="str">
        <f>IF('入力シート (複数物質)'!$AI$37=999,IF('入力シート (複数物質)'!$AL40=TRUE,"mg/L",""),"")</f>
        <v>mg/L</v>
      </c>
      <c r="I43" s="417">
        <f>IF('入力シート (複数物質)'!$AI$37=999,IF('入力シート (複数物質)'!$AL40=TRUE,入力シート_ふっ素!$K$41,"－"),"－")</f>
        <v>0.82</v>
      </c>
      <c r="J43" s="394" t="str">
        <f>IF('入力シート (複数物質)'!$AI$37=999,IF('入力シート (複数物質)'!$AL40=TRUE,"mg/L",""),"")</f>
        <v>mg/L</v>
      </c>
      <c r="K43" s="167"/>
      <c r="L43" s="307"/>
    </row>
    <row r="44" spans="1:12" ht="25" customHeight="1" thickBot="1" x14ac:dyDescent="0.25">
      <c r="A44" s="164"/>
      <c r="C44" s="663"/>
      <c r="D44" s="406" t="s">
        <v>423</v>
      </c>
      <c r="E44" s="412"/>
      <c r="F44" s="398"/>
      <c r="G44" s="414">
        <f>IF('入力シート (複数物質)'!$AI$37=999,IF('入力シート (複数物質)'!$AL41=TRUE,入力シート_ほう素!$G$41,"－"),"－")</f>
        <v>1</v>
      </c>
      <c r="H44" s="394" t="str">
        <f>IF('入力シート (複数物質)'!$AI$37=999,IF('入力シート (複数物質)'!$AL41=TRUE,"mg/L",""),"")</f>
        <v>mg/L</v>
      </c>
      <c r="I44" s="417">
        <f>IF('入力シート (複数物質)'!$AI$37=999,IF('入力シート (複数物質)'!$AL41=TRUE,入力シート_ほう素!$K$41,"－"),"－")</f>
        <v>1</v>
      </c>
      <c r="J44" s="394" t="str">
        <f>IF('入力シート (複数物質)'!$AI$37=999,IF('入力シート (複数物質)'!$AL41=TRUE,"mg/L",""),"")</f>
        <v>mg/L</v>
      </c>
      <c r="K44" s="167"/>
      <c r="L44" s="307"/>
    </row>
    <row r="45" spans="1:12" ht="25" customHeight="1" x14ac:dyDescent="0.2">
      <c r="A45" s="164"/>
      <c r="C45" s="664" t="s">
        <v>223</v>
      </c>
      <c r="D45" s="409" t="s">
        <v>255</v>
      </c>
      <c r="E45" s="411"/>
      <c r="F45" s="400"/>
      <c r="G45" s="416">
        <f>IF('入力シート (複数物質)'!$AI$37=999,IF('入力シート (複数物質)'!$AL44=TRUE,入力シート_シマジン!$G$41,"－"),"－")</f>
        <v>0.03</v>
      </c>
      <c r="H45" s="401" t="str">
        <f>IF('入力シート (複数物質)'!$AI$37=999,IF('入力シート (複数物質)'!$AL44=TRUE,"mg/L",""),"")</f>
        <v>mg/L</v>
      </c>
      <c r="I45" s="419">
        <f>IF('入力シート (複数物質)'!$AI$37=999,IF('入力シート (複数物質)'!$AL44=TRUE,入力シート_シマジン!$K$41,"－"),"－")</f>
        <v>0.03</v>
      </c>
      <c r="J45" s="401" t="str">
        <f>IF('入力シート (複数物質)'!$AI$37=999,IF('入力シート (複数物質)'!$AL44=TRUE,"mg/L",""),"")</f>
        <v>mg/L</v>
      </c>
      <c r="K45" s="167"/>
      <c r="L45" s="307"/>
    </row>
    <row r="46" spans="1:12" ht="25" customHeight="1" x14ac:dyDescent="0.2">
      <c r="A46" s="164"/>
      <c r="C46" s="665"/>
      <c r="D46" s="408" t="s">
        <v>259</v>
      </c>
      <c r="E46" s="412"/>
      <c r="F46" s="398"/>
      <c r="G46" s="414">
        <f>IF('入力シート (複数物質)'!$AI$37=999,IF('入力シート (複数物質)'!$AL46=TRUE,入力シート_チオベンカルブ!$G$41,"－"),"－")</f>
        <v>0.2</v>
      </c>
      <c r="H46" s="403" t="str">
        <f>IF('入力シート (複数物質)'!$AI$37=999,IF('入力シート (複数物質)'!$AL46=TRUE,"mg/L",""),"")</f>
        <v>mg/L</v>
      </c>
      <c r="I46" s="417">
        <f>IF('入力シート (複数物質)'!$AI$37=999,IF('入力シート (複数物質)'!$AL46=TRUE,入力シート_チオベンカルブ!$K$41,"－"),"－")</f>
        <v>0.2</v>
      </c>
      <c r="J46" s="403" t="str">
        <f>IF('入力シート (複数物質)'!$AI$37=999,IF('入力シート (複数物質)'!$AL46=TRUE,"mg/L",""),"")</f>
        <v>mg/L</v>
      </c>
      <c r="K46" s="167"/>
      <c r="L46" s="307"/>
    </row>
    <row r="47" spans="1:12" ht="25" customHeight="1" x14ac:dyDescent="0.2">
      <c r="A47" s="164"/>
      <c r="C47" s="665"/>
      <c r="D47" s="408" t="s">
        <v>257</v>
      </c>
      <c r="E47" s="412"/>
      <c r="F47" s="402"/>
      <c r="G47" s="414">
        <f>IF('入力シート (複数物質)'!$AI$37=999,IF('入力シート (複数物質)'!$AL45=TRUE,入力シート_チウラム!$G$41,"－"),"－")</f>
        <v>0.06</v>
      </c>
      <c r="H47" s="403" t="str">
        <f>IF('入力シート (複数物質)'!$AI$37=999,IF('入力シート (複数物質)'!$AL45=TRUE,"mg/L",""),"")</f>
        <v>mg/L</v>
      </c>
      <c r="I47" s="417">
        <f>IF('入力シート (複数物質)'!$AI$37=999,IF('入力シート (複数物質)'!$AL45=TRUE,入力シート_チウラム!$K$41,"－"),"－")</f>
        <v>0.06</v>
      </c>
      <c r="J47" s="403" t="str">
        <f>IF('入力シート (複数物質)'!$AI$37=999,IF('入力シート (複数物質)'!$AL45=TRUE,"mg/L",""),"")</f>
        <v>mg/L</v>
      </c>
      <c r="K47" s="167"/>
      <c r="L47" s="307"/>
    </row>
    <row r="48" spans="1:12" ht="25" customHeight="1" x14ac:dyDescent="0.2">
      <c r="A48" s="164"/>
      <c r="C48" s="665"/>
      <c r="D48" s="408" t="s">
        <v>376</v>
      </c>
      <c r="E48" s="412"/>
      <c r="F48" s="398"/>
      <c r="G48" s="414">
        <f>IF('入力シート (複数物質)'!$AI$37=999,IF('入力シート (複数物質)'!$AL47=TRUE,入力シート_PCB!$G$41,"－"),"－")</f>
        <v>3.0000000000000001E-3</v>
      </c>
      <c r="H48" s="403" t="str">
        <f>IF('入力シート (複数物質)'!$AI$37=999,IF('入力シート (複数物質)'!$AL47=TRUE,"mg/L",""),"")</f>
        <v>mg/L</v>
      </c>
      <c r="I48" s="417">
        <f>IF('入力シート (複数物質)'!$AI$37=999,IF('入力シート (複数物質)'!$AL47=TRUE,入力シート_PCB!$K$41,"－"),"－")</f>
        <v>3.0000000000000001E-3</v>
      </c>
      <c r="J48" s="403" t="str">
        <f>IF('入力シート (複数物質)'!$AI$37=999,IF('入力シート (複数物質)'!$AL47=TRUE,"mg/L",""),"")</f>
        <v>mg/L</v>
      </c>
      <c r="K48" s="167"/>
      <c r="L48" s="307"/>
    </row>
    <row r="49" spans="1:12" ht="24.75" customHeight="1" thickBot="1" x14ac:dyDescent="0.25">
      <c r="A49" s="164"/>
      <c r="C49" s="666"/>
      <c r="D49" s="410" t="s">
        <v>429</v>
      </c>
      <c r="E49" s="413"/>
      <c r="F49" s="399"/>
      <c r="G49" s="415">
        <f>IF('入力シート (複数物質)'!$AI$37=999,IF('入力シート (複数物質)'!$AL48=TRUE,入力シート_有機リン!$G$41,"－"),"－")</f>
        <v>1</v>
      </c>
      <c r="H49" s="404" t="str">
        <f>IF('入力シート (複数物質)'!$AI$37=999,IF('入力シート (複数物質)'!$AL48=TRUE,"mg/L",""),"")</f>
        <v>mg/L</v>
      </c>
      <c r="I49" s="418">
        <f>IF('入力シート (複数物質)'!$AI$37=999,IF('入力シート (複数物質)'!$AL48=TRUE,入力シート_有機リン!$K$41,"－"),"－")</f>
        <v>1</v>
      </c>
      <c r="J49" s="404" t="str">
        <f>IF('入力シート (複数物質)'!$AI$37=999,IF('入力シート (複数物質)'!$AL48=TRUE,"mg/L",""),"")</f>
        <v>mg/L</v>
      </c>
      <c r="K49" s="167"/>
      <c r="L49" s="307"/>
    </row>
    <row r="50" spans="1:12" ht="23.25" customHeight="1" thickBot="1" x14ac:dyDescent="0.25">
      <c r="A50" s="164"/>
      <c r="B50" s="166" t="s">
        <v>199</v>
      </c>
      <c r="C50" s="425"/>
      <c r="E50" s="155"/>
      <c r="F50" s="155"/>
      <c r="G50" s="155"/>
      <c r="H50" s="155"/>
      <c r="I50" s="155"/>
      <c r="J50" s="155"/>
      <c r="K50" s="155"/>
      <c r="L50" s="158"/>
    </row>
    <row r="51" spans="1:12" ht="25" customHeight="1" x14ac:dyDescent="0.2">
      <c r="A51" s="164"/>
      <c r="B51" s="652" t="s">
        <v>380</v>
      </c>
      <c r="C51" s="653"/>
      <c r="D51" s="653"/>
      <c r="E51" s="653"/>
      <c r="F51" s="653"/>
      <c r="G51" s="653"/>
      <c r="H51" s="653"/>
      <c r="I51" s="653"/>
      <c r="J51" s="653"/>
      <c r="K51" s="654"/>
      <c r="L51" s="158"/>
    </row>
    <row r="52" spans="1:12" ht="25" customHeight="1" x14ac:dyDescent="0.2">
      <c r="A52" s="164"/>
      <c r="B52" s="655"/>
      <c r="C52" s="656"/>
      <c r="D52" s="656"/>
      <c r="E52" s="656"/>
      <c r="F52" s="656"/>
      <c r="G52" s="656"/>
      <c r="H52" s="656"/>
      <c r="I52" s="656"/>
      <c r="J52" s="656"/>
      <c r="K52" s="657"/>
      <c r="L52" s="158"/>
    </row>
    <row r="53" spans="1:12" ht="25" customHeight="1" x14ac:dyDescent="0.2">
      <c r="A53" s="164"/>
      <c r="B53" s="655"/>
      <c r="C53" s="656"/>
      <c r="D53" s="656"/>
      <c r="E53" s="656"/>
      <c r="F53" s="656"/>
      <c r="G53" s="656"/>
      <c r="H53" s="656"/>
      <c r="I53" s="656"/>
      <c r="J53" s="656"/>
      <c r="K53" s="657"/>
      <c r="L53" s="158"/>
    </row>
    <row r="54" spans="1:12" ht="25" customHeight="1" x14ac:dyDescent="0.2">
      <c r="A54" s="164"/>
      <c r="B54" s="655"/>
      <c r="C54" s="656"/>
      <c r="D54" s="656"/>
      <c r="E54" s="656"/>
      <c r="F54" s="656"/>
      <c r="G54" s="656"/>
      <c r="H54" s="656"/>
      <c r="I54" s="656"/>
      <c r="J54" s="656"/>
      <c r="K54" s="657"/>
      <c r="L54" s="158"/>
    </row>
    <row r="55" spans="1:12" ht="25" customHeight="1" x14ac:dyDescent="0.2">
      <c r="A55" s="164"/>
      <c r="B55" s="655"/>
      <c r="C55" s="656"/>
      <c r="D55" s="656"/>
      <c r="E55" s="656"/>
      <c r="F55" s="656"/>
      <c r="G55" s="656"/>
      <c r="H55" s="656"/>
      <c r="I55" s="656"/>
      <c r="J55" s="656"/>
      <c r="K55" s="657"/>
      <c r="L55" s="158"/>
    </row>
    <row r="56" spans="1:12" ht="25" customHeight="1" thickBot="1" x14ac:dyDescent="0.25">
      <c r="A56" s="164"/>
      <c r="B56" s="658"/>
      <c r="C56" s="659"/>
      <c r="D56" s="659"/>
      <c r="E56" s="659"/>
      <c r="F56" s="659"/>
      <c r="G56" s="659"/>
      <c r="H56" s="659"/>
      <c r="I56" s="659"/>
      <c r="J56" s="659"/>
      <c r="K56" s="660"/>
      <c r="L56" s="158"/>
    </row>
    <row r="57" spans="1:12" ht="17.25" customHeight="1" thickBot="1" x14ac:dyDescent="0.25">
      <c r="A57" s="168"/>
      <c r="B57" s="160"/>
      <c r="C57" s="426"/>
      <c r="D57" s="160"/>
      <c r="E57" s="160"/>
      <c r="F57" s="160"/>
      <c r="G57" s="160"/>
      <c r="H57" s="160"/>
      <c r="I57" s="160"/>
      <c r="J57" s="160"/>
      <c r="K57" s="160"/>
      <c r="L57" s="161"/>
    </row>
    <row r="58" spans="1:12" ht="25" customHeight="1" x14ac:dyDescent="0.2"/>
    <row r="59" spans="1:12" ht="25" customHeight="1" x14ac:dyDescent="0.2"/>
    <row r="60" spans="1:12" ht="25" customHeight="1" x14ac:dyDescent="0.2"/>
    <row r="61" spans="1:12" ht="25" customHeight="1" x14ac:dyDescent="0.2"/>
    <row r="62" spans="1:12" ht="25" customHeight="1" x14ac:dyDescent="0.2"/>
    <row r="63" spans="1:12" ht="25" customHeight="1" x14ac:dyDescent="0.2"/>
    <row r="64" spans="1:12" ht="25" customHeight="1" x14ac:dyDescent="0.2">
      <c r="A64" s="181"/>
    </row>
    <row r="65" spans="1:12" ht="25" customHeight="1" x14ac:dyDescent="0.2">
      <c r="A65" s="155"/>
      <c r="B65" s="155"/>
      <c r="C65" s="425"/>
      <c r="D65" s="156"/>
      <c r="E65" s="156"/>
      <c r="F65" s="156"/>
      <c r="G65" s="156"/>
      <c r="H65" s="156"/>
      <c r="I65" s="156"/>
      <c r="J65" s="156"/>
      <c r="K65" s="156"/>
      <c r="L65" s="156"/>
    </row>
    <row r="66" spans="1:12" ht="25" customHeight="1" x14ac:dyDescent="0.2">
      <c r="A66" s="155"/>
      <c r="B66" s="155"/>
      <c r="C66" s="425"/>
    </row>
    <row r="67" spans="1:12" ht="25" customHeight="1" x14ac:dyDescent="0.2">
      <c r="A67" s="181"/>
      <c r="B67" s="181"/>
      <c r="C67" s="181"/>
    </row>
    <row r="68" spans="1:12" ht="25" customHeight="1" x14ac:dyDescent="0.2">
      <c r="A68" s="181"/>
      <c r="B68" s="181"/>
      <c r="C68" s="181"/>
    </row>
    <row r="69" spans="1:12" ht="25" customHeight="1" x14ac:dyDescent="0.2">
      <c r="A69" s="181"/>
      <c r="B69" s="181"/>
      <c r="C69" s="181"/>
    </row>
    <row r="70" spans="1:12" ht="25" customHeight="1" x14ac:dyDescent="0.2"/>
    <row r="71" spans="1:12" ht="25" customHeight="1" x14ac:dyDescent="0.2"/>
    <row r="72" spans="1:12" ht="25" customHeight="1" x14ac:dyDescent="0.2"/>
    <row r="73" spans="1:12" ht="25" customHeight="1" x14ac:dyDescent="0.2"/>
    <row r="74" spans="1:12" ht="25" customHeight="1" x14ac:dyDescent="0.2"/>
    <row r="75" spans="1:12" ht="25" customHeight="1" x14ac:dyDescent="0.2"/>
    <row r="76" spans="1:12" ht="25" customHeight="1" x14ac:dyDescent="0.2"/>
    <row r="77" spans="1:12" ht="25" customHeight="1" x14ac:dyDescent="0.2"/>
    <row r="78" spans="1:12" ht="25" customHeight="1" x14ac:dyDescent="0.2"/>
    <row r="79" spans="1:12" ht="25" customHeight="1" x14ac:dyDescent="0.2"/>
    <row r="80" spans="1:12" ht="25" customHeight="1" x14ac:dyDescent="0.2"/>
    <row r="81" ht="25" customHeight="1" x14ac:dyDescent="0.2"/>
    <row r="82" ht="25" customHeight="1" x14ac:dyDescent="0.2"/>
    <row r="83" ht="25" customHeight="1" x14ac:dyDescent="0.2"/>
    <row r="84" ht="25" customHeight="1" x14ac:dyDescent="0.2"/>
  </sheetData>
  <sheetProtection password="CC6D" sheet="1" objects="1" scenarios="1"/>
  <mergeCells count="24">
    <mergeCell ref="R21:S21"/>
    <mergeCell ref="D7:E7"/>
    <mergeCell ref="D8:E8"/>
    <mergeCell ref="F8:K8"/>
    <mergeCell ref="D9:E9"/>
    <mergeCell ref="F9:K9"/>
    <mergeCell ref="D18:E18"/>
    <mergeCell ref="D19:E19"/>
    <mergeCell ref="F7:H7"/>
    <mergeCell ref="F12:G12"/>
    <mergeCell ref="F11:G11"/>
    <mergeCell ref="F20:G20"/>
    <mergeCell ref="D3:K3"/>
    <mergeCell ref="D5:E5"/>
    <mergeCell ref="D6:E6"/>
    <mergeCell ref="F5:H5"/>
    <mergeCell ref="F6:H6"/>
    <mergeCell ref="B51:K56"/>
    <mergeCell ref="C24:C35"/>
    <mergeCell ref="C36:C44"/>
    <mergeCell ref="C45:C49"/>
    <mergeCell ref="C23:F23"/>
    <mergeCell ref="G23:H23"/>
    <mergeCell ref="I23:J23"/>
  </mergeCells>
  <phoneticPr fontId="4"/>
  <printOptions horizontalCentered="1" verticalCentered="1"/>
  <pageMargins left="0.70866141732283472" right="0.70866141732283472" top="0.74803149606299213" bottom="0.74803149606299213" header="0.31496062992125984" footer="0.31496062992125984"/>
  <pageSetup paperSize="9" scale="64" orientation="portrait" r:id="rId1"/>
  <ignoredErrors>
    <ignoredError sqref="I24 I45 I48:I49" formula="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+入力シート_砒素!F20</f>
        <v>砒素</v>
      </c>
      <c r="D6" s="721"/>
      <c r="E6" s="722"/>
      <c r="F6" s="17"/>
      <c r="G6" s="18" t="str">
        <f>$C$6</f>
        <v>砒素</v>
      </c>
      <c r="L6" s="102"/>
      <c r="M6" s="15"/>
      <c r="N6" s="15"/>
      <c r="O6" s="15"/>
      <c r="P6" s="15"/>
      <c r="Q6" s="15"/>
      <c r="R6" s="15"/>
      <c r="S6" s="15"/>
    </row>
    <row r="7" spans="2:19" ht="13.5" thickBot="1" x14ac:dyDescent="0.25">
      <c r="B7" s="19" t="s">
        <v>87</v>
      </c>
      <c r="C7" s="723" t="s">
        <v>88</v>
      </c>
      <c r="D7" s="724"/>
      <c r="E7" s="725"/>
      <c r="F7" s="20" t="s">
        <v>89</v>
      </c>
      <c r="G7" s="21">
        <f>+入力シート_砒素!R14</f>
        <v>0.01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++入力シート_砒素!J32</f>
        <v>30</v>
      </c>
      <c r="L9" s="102"/>
      <c r="M9" s="15"/>
      <c r="N9" s="15"/>
      <c r="O9" s="15"/>
      <c r="P9" s="15"/>
      <c r="Q9" s="15"/>
      <c r="R9" s="15"/>
      <c r="S9" s="15"/>
    </row>
    <row r="10" spans="2:19" ht="18" x14ac:dyDescent="0.2">
      <c r="B10" s="26" t="s">
        <v>91</v>
      </c>
      <c r="C10" s="686" t="s">
        <v>72</v>
      </c>
      <c r="D10" s="689"/>
      <c r="E10" s="687"/>
      <c r="F10" s="362" t="s">
        <v>43</v>
      </c>
      <c r="G10" s="28">
        <f>+入力シート_砒素!J33</f>
        <v>15</v>
      </c>
      <c r="L10" s="102"/>
      <c r="M10" s="15"/>
      <c r="N10" s="15"/>
      <c r="O10" s="15"/>
      <c r="P10" s="15"/>
      <c r="Q10" s="15"/>
      <c r="R10" s="15"/>
      <c r="S10" s="15"/>
    </row>
    <row r="11" spans="2:19" ht="18" x14ac:dyDescent="0.2">
      <c r="B11" s="26" t="s">
        <v>73</v>
      </c>
      <c r="C11" s="686" t="s">
        <v>74</v>
      </c>
      <c r="D11" s="689"/>
      <c r="E11" s="687"/>
      <c r="F11" s="362" t="s">
        <v>43</v>
      </c>
      <c r="G11" s="28">
        <f>+入力シート_砒素!J24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入力シート_砒素!J30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入力シート_砒素!R20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入力シート_砒素!F27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入力シート_砒素!R21</f>
        <v>0.3</v>
      </c>
      <c r="L23" s="70"/>
      <c r="M23" s="15"/>
      <c r="N23" s="15"/>
      <c r="O23" s="15"/>
      <c r="P23" s="15"/>
      <c r="Q23" s="15"/>
      <c r="R23" s="15"/>
      <c r="S23" s="15"/>
    </row>
    <row r="24" spans="1:19" ht="18" x14ac:dyDescent="0.2">
      <c r="A24" s="37"/>
      <c r="B24" s="26" t="s">
        <v>163</v>
      </c>
      <c r="C24" s="688" t="s">
        <v>177</v>
      </c>
      <c r="D24" s="689"/>
      <c r="E24" s="687"/>
      <c r="F24" s="362" t="s">
        <v>51</v>
      </c>
      <c r="G24" s="28">
        <f>入力シート_砒素!R22</f>
        <v>0.4</v>
      </c>
      <c r="L24" s="70"/>
      <c r="M24" s="15"/>
      <c r="N24" s="15"/>
      <c r="O24" s="15"/>
      <c r="P24" s="15"/>
      <c r="Q24" s="15"/>
      <c r="R24" s="15"/>
      <c r="S24" s="15"/>
    </row>
    <row r="25" spans="1:19" ht="21" x14ac:dyDescent="0.2">
      <c r="A25" s="37"/>
      <c r="B25" s="26" t="s">
        <v>101</v>
      </c>
      <c r="C25" s="686" t="s">
        <v>46</v>
      </c>
      <c r="D25" s="689"/>
      <c r="E25" s="687"/>
      <c r="F25" s="362" t="s">
        <v>43</v>
      </c>
      <c r="G25" s="43">
        <f>入力シート_砒素!R12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入力シート_砒素!R13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入力シート_砒素!R13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入力シート_砒素!R11</f>
        <v>-</v>
      </c>
      <c r="L29" s="70"/>
      <c r="M29" s="15"/>
      <c r="N29" s="15"/>
      <c r="O29" s="15"/>
      <c r="P29" s="15"/>
      <c r="Q29" s="15"/>
      <c r="R29" s="15"/>
      <c r="S29" s="15"/>
    </row>
    <row r="30" spans="1:19" ht="14" x14ac:dyDescent="0.3">
      <c r="A30" s="37"/>
      <c r="B30" s="49" t="s">
        <v>107</v>
      </c>
      <c r="C30" s="692" t="s">
        <v>53</v>
      </c>
      <c r="D30" s="692"/>
      <c r="E30" s="692"/>
      <c r="F30" s="364" t="s">
        <v>108</v>
      </c>
      <c r="G30" s="51">
        <f>入力シート_砒素!R9</f>
        <v>4</v>
      </c>
      <c r="L30" s="70"/>
      <c r="M30" s="15"/>
      <c r="N30" s="15"/>
      <c r="O30" s="15"/>
      <c r="P30" s="15"/>
      <c r="Q30" s="15"/>
      <c r="R30" s="15"/>
      <c r="S30" s="15"/>
    </row>
    <row r="31" spans="1:19" ht="18" x14ac:dyDescent="0.4">
      <c r="A31" s="37"/>
      <c r="B31" s="52" t="s">
        <v>109</v>
      </c>
      <c r="C31" s="692" t="s">
        <v>110</v>
      </c>
      <c r="D31" s="692"/>
      <c r="E31" s="692"/>
      <c r="F31" s="364" t="s">
        <v>111</v>
      </c>
      <c r="G31" s="51" t="str">
        <f>IF(A31="",入力シート_砒素!R10,A31)</f>
        <v>-</v>
      </c>
      <c r="L31" s="70"/>
      <c r="M31" s="15"/>
      <c r="N31" s="15"/>
      <c r="O31" s="15"/>
      <c r="P31" s="15"/>
      <c r="Q31" s="15"/>
      <c r="R31" s="15"/>
      <c r="S31" s="15"/>
    </row>
    <row r="32" spans="1:19" ht="18.5" thickBot="1" x14ac:dyDescent="0.45">
      <c r="A32" s="37"/>
      <c r="B32" s="53" t="s">
        <v>112</v>
      </c>
      <c r="C32" s="695" t="s">
        <v>113</v>
      </c>
      <c r="D32" s="695"/>
      <c r="E32" s="695"/>
      <c r="F32" s="365" t="s">
        <v>114</v>
      </c>
      <c r="G32" s="55">
        <f>入力シート_砒素!R25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入力シート_砒素!R24</f>
        <v>1.62</v>
      </c>
      <c r="L34" s="15"/>
      <c r="M34" s="15"/>
      <c r="N34" s="15"/>
      <c r="O34" s="15"/>
      <c r="P34" s="15"/>
      <c r="Q34" s="15"/>
      <c r="R34" s="15"/>
      <c r="S34" s="15"/>
    </row>
    <row r="35" spans="1:19" ht="18" x14ac:dyDescent="0.2">
      <c r="B35" s="26" t="s">
        <v>118</v>
      </c>
      <c r="C35" s="686" t="s">
        <v>119</v>
      </c>
      <c r="D35" s="689"/>
      <c r="E35" s="687"/>
      <c r="F35" s="362" t="s">
        <v>120</v>
      </c>
      <c r="G35" s="43">
        <f>+入力シート_砒素!J35*0.365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22.6</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1.5458193804805545</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0.74671202950177007</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砒素</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0.74671202950177007</v>
      </c>
      <c r="H63" s="139"/>
      <c r="I63" s="139"/>
      <c r="J63" s="79"/>
      <c r="K63" s="84"/>
      <c r="L63" s="691"/>
      <c r="M63" s="691"/>
      <c r="N63" s="691"/>
      <c r="O63" s="74"/>
      <c r="P63" s="85"/>
      <c r="Q63" s="47"/>
    </row>
    <row r="64" spans="1:17" ht="16.5" x14ac:dyDescent="0.2">
      <c r="B64" s="87"/>
      <c r="C64" s="693" t="s">
        <v>150</v>
      </c>
      <c r="D64" s="693"/>
      <c r="E64" s="693"/>
      <c r="F64" s="88">
        <f>+G64/G63*F63</f>
        <v>1.3392043525363207E-2</v>
      </c>
      <c r="G64" s="83">
        <f>+G7</f>
        <v>0.01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1.2999999999999999E-2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9.4377152363722211E-2</v>
      </c>
      <c r="H68" s="139"/>
      <c r="I68" s="139"/>
      <c r="J68" s="79"/>
    </row>
    <row r="69" spans="2:10" x14ac:dyDescent="0.2">
      <c r="B69" s="81"/>
      <c r="C69" s="686" t="s">
        <v>150</v>
      </c>
      <c r="D69" s="687"/>
      <c r="E69" s="364" t="s">
        <v>153</v>
      </c>
      <c r="F69" s="86">
        <f>+G69/G68*F68</f>
        <v>1.3392043525363207E-2</v>
      </c>
      <c r="G69" s="83">
        <f>+G64</f>
        <v>0.01</v>
      </c>
      <c r="H69" s="139"/>
      <c r="I69" s="139"/>
      <c r="J69" s="79"/>
    </row>
    <row r="70" spans="2:10" x14ac:dyDescent="0.2">
      <c r="B70" s="81"/>
      <c r="C70" s="683" t="s">
        <v>154</v>
      </c>
      <c r="D70" s="683"/>
      <c r="E70" s="93">
        <f>+F69/F68*E68</f>
        <v>0.10595784837267369</v>
      </c>
      <c r="F70" s="47"/>
      <c r="G70" s="47"/>
      <c r="H70" s="47"/>
      <c r="I70" s="47"/>
      <c r="J70" s="79"/>
    </row>
    <row r="71" spans="2:10" x14ac:dyDescent="0.2">
      <c r="B71" s="81"/>
      <c r="C71" s="683" t="s">
        <v>155</v>
      </c>
      <c r="D71" s="683"/>
      <c r="E71" s="83">
        <f>入力シート_砒素!R15</f>
        <v>0.3</v>
      </c>
      <c r="F71" s="47"/>
      <c r="G71" s="47"/>
      <c r="H71" s="47"/>
      <c r="I71" s="47"/>
      <c r="J71" s="79"/>
    </row>
    <row r="72" spans="2:10" ht="13.5" thickBot="1" x14ac:dyDescent="0.25">
      <c r="B72" s="81"/>
      <c r="C72" s="47"/>
      <c r="D72" s="47"/>
      <c r="E72" s="74">
        <f>IF(E70&gt;10,ROUNDDOWN(E70,0),IF(E70&gt;1,ROUNDDOWN(E70,1),IF(E70&gt;0.1,ROUNDDOWN(E70,2),IF(E70&gt;0.01,ROUNDDOWN(E70,3),ROUNDDOWN(E70,4)))))</f>
        <v>0.1</v>
      </c>
      <c r="F72" s="47"/>
      <c r="G72" s="47"/>
      <c r="H72" s="47"/>
      <c r="I72" s="47"/>
      <c r="J72" s="79"/>
    </row>
    <row r="73" spans="2:10" ht="13.5" thickBot="1" x14ac:dyDescent="0.25">
      <c r="B73" s="81"/>
      <c r="C73" s="684" t="s">
        <v>156</v>
      </c>
      <c r="D73" s="685"/>
      <c r="E73" s="109">
        <f>IF(E70&gt;E71,E71,E70)</f>
        <v>0.10595784837267369</v>
      </c>
      <c r="F73" s="95" t="s">
        <v>157</v>
      </c>
      <c r="G73" s="47"/>
      <c r="H73" s="47"/>
      <c r="I73" s="47"/>
      <c r="J73" s="79"/>
    </row>
    <row r="74" spans="2:10" x14ac:dyDescent="0.2">
      <c r="B74" s="81"/>
      <c r="C74" s="47"/>
      <c r="D74" s="47"/>
      <c r="E74" s="74">
        <f>IF(E73&gt;10,ROUNDDOWN(E73,0),IF(E73&gt;1,ROUNDDOWN(E73,1),IF(E73&gt;0.1,ROUNDDOWN(E73,2),IF(E73&gt;0.01,ROUNDDOWN(E73,3),ROUNDDOWN(E73,4)))))</f>
        <v>0.1</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0.74671202950177007</v>
      </c>
      <c r="H77" s="139"/>
      <c r="I77" s="139"/>
      <c r="J77" s="79"/>
    </row>
    <row r="78" spans="2:10" x14ac:dyDescent="0.2">
      <c r="B78" s="81"/>
      <c r="C78" s="686" t="s">
        <v>150</v>
      </c>
      <c r="D78" s="687"/>
      <c r="E78" s="364" t="s">
        <v>153</v>
      </c>
      <c r="F78" s="86">
        <f>+F64</f>
        <v>1.3392043525363207E-2</v>
      </c>
      <c r="G78" s="83">
        <f>+G69</f>
        <v>0.01</v>
      </c>
      <c r="H78" s="139"/>
      <c r="I78" s="139"/>
      <c r="J78" s="79"/>
    </row>
    <row r="79" spans="2:10" x14ac:dyDescent="0.2">
      <c r="B79" s="81"/>
      <c r="C79" s="683" t="s">
        <v>154</v>
      </c>
      <c r="D79" s="683"/>
      <c r="E79" s="93">
        <f>+F78/F77*E77</f>
        <v>1.3392043525363207E-2</v>
      </c>
      <c r="F79" s="47"/>
      <c r="G79" s="47"/>
      <c r="H79" s="47"/>
      <c r="I79" s="47"/>
      <c r="J79" s="79"/>
    </row>
    <row r="80" spans="2:10" x14ac:dyDescent="0.2">
      <c r="B80" s="81"/>
      <c r="C80" s="683" t="s">
        <v>155</v>
      </c>
      <c r="D80" s="683"/>
      <c r="E80" s="83">
        <f>+E71</f>
        <v>0.3</v>
      </c>
      <c r="F80" s="47"/>
      <c r="G80" s="47"/>
      <c r="H80" s="47"/>
      <c r="I80" s="47"/>
      <c r="J80" s="79"/>
    </row>
    <row r="81" spans="2:10" ht="13.5" thickBot="1" x14ac:dyDescent="0.25">
      <c r="B81" s="81"/>
      <c r="C81" s="47"/>
      <c r="D81" s="47"/>
      <c r="E81" s="74">
        <f>IF(E79&gt;10,ROUNDDOWN(E79,0),IF(E79&gt;1,ROUNDDOWN(E79,1),IF(E79&gt;0.1,ROUNDDOWN(E79,2),IF(E79&gt;0.01,ROUNDDOWN(E79,3),ROUNDDOWN(E79,4)))))</f>
        <v>1.2999999999999999E-2</v>
      </c>
      <c r="F81" s="47"/>
      <c r="G81" s="47"/>
      <c r="H81" s="47"/>
      <c r="I81" s="47"/>
      <c r="J81" s="79"/>
    </row>
    <row r="82" spans="2:10" ht="13.5" thickBot="1" x14ac:dyDescent="0.25">
      <c r="B82" s="81"/>
      <c r="C82" s="684" t="s">
        <v>156</v>
      </c>
      <c r="D82" s="685"/>
      <c r="E82" s="109">
        <f>IF(E79&gt;E80,E80,E79)</f>
        <v>1.3392043525363207E-2</v>
      </c>
      <c r="F82" s="95" t="s">
        <v>157</v>
      </c>
      <c r="G82" s="47"/>
      <c r="H82" s="47"/>
      <c r="I82" s="47"/>
      <c r="J82" s="79"/>
    </row>
    <row r="83" spans="2:10" x14ac:dyDescent="0.2">
      <c r="B83" s="81"/>
      <c r="C83" s="47"/>
      <c r="D83" s="47"/>
      <c r="E83" s="74">
        <f>IF(E82&gt;10,ROUNDDOWN(E82,0),IF(E82&gt;1,ROUNDDOWN(E82,1),IF(E82&gt;0.1,ROUNDDOWN(E82,2),IF(E82&gt;0.01,ROUNDDOWN(E82,3),ROUNDDOWN(E82,4)))))</f>
        <v>1.2999999999999999E-2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161" priority="5">
      <formula>$A41&gt;0</formula>
    </cfRule>
  </conditionalFormatting>
  <conditionalFormatting sqref="G30">
    <cfRule type="expression" dxfId="160" priority="4">
      <formula>$A$29&gt;0</formula>
    </cfRule>
  </conditionalFormatting>
  <conditionalFormatting sqref="G31">
    <cfRule type="expression" dxfId="159" priority="3">
      <formula>$A$30&gt;0</formula>
    </cfRule>
  </conditionalFormatting>
  <conditionalFormatting sqref="G32">
    <cfRule type="expression" dxfId="158" priority="2">
      <formula>$A$31&gt;0</formula>
    </cfRule>
  </conditionalFormatting>
  <conditionalFormatting sqref="G9">
    <cfRule type="expression" dxfId="157" priority="6">
      <formula>#REF!&gt;0</formula>
    </cfRule>
  </conditionalFormatting>
  <conditionalFormatting sqref="G11 G25:I27">
    <cfRule type="expression" dxfId="156" priority="7">
      <formula>#REF!&gt;0</formula>
    </cfRule>
  </conditionalFormatting>
  <conditionalFormatting sqref="G18">
    <cfRule type="expression" dxfId="155" priority="8">
      <formula>#REF!&gt;0</formula>
    </cfRule>
  </conditionalFormatting>
  <conditionalFormatting sqref="G22:G24">
    <cfRule type="expression" dxfId="154" priority="9">
      <formula>$A$25&gt;0</formula>
    </cfRule>
  </conditionalFormatting>
  <conditionalFormatting sqref="G23:G24">
    <cfRule type="expression" dxfId="153" priority="10">
      <formula>#REF!&gt;0</formula>
    </cfRule>
  </conditionalFormatting>
  <conditionalFormatting sqref="G21">
    <cfRule type="expression" dxfId="152" priority="11">
      <formula>$A$23&gt;0</formula>
    </cfRule>
  </conditionalFormatting>
  <conditionalFormatting sqref="G12">
    <cfRule type="expression" dxfId="151" priority="1">
      <formula>#REF!&gt;0</formula>
    </cfRule>
  </conditionalFormatting>
  <conditionalFormatting sqref="G34">
    <cfRule type="expression" dxfId="150" priority="12">
      <formula>#REF!&gt;0</formula>
    </cfRule>
  </conditionalFormatting>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1</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0.05</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1.5</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341</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205</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+計算シート_六価クロム!G39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計算シート_六価クロム!G41</f>
        <v>6.4</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六価クロム!$Y$14=1,"目標土壌溶出量濃度",IF(入力シート_六価クロム!$Y$14=2,"目標土壌溶出量濃度",IF(入力シート_六価クロム!$Y$14=3,"目標土壌溶出量濃度","PRB通過後の観測点における目標地下水濃度")))</f>
        <v>目標土壌溶出量濃度</v>
      </c>
      <c r="E41" s="527"/>
      <c r="F41" s="527"/>
      <c r="G41" s="528">
        <f>IF($X$14=1,IF(計算シート_六価クロム!E83&gt;10000,"&gt;10,000",+計算シート_六価クロム!E83),計算シート_六価クロム!E74)</f>
        <v>5.0999999999999997E-2</v>
      </c>
      <c r="H41" s="528"/>
      <c r="I41" s="244" t="s">
        <v>28</v>
      </c>
      <c r="J41" s="155"/>
      <c r="K41" s="529">
        <f>+計算シート_六価クロム!E83</f>
        <v>5.0999999999999997E-2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149" priority="3">
      <formula>LEN(TRIM(Y13))=0</formula>
    </cfRule>
  </conditionalFormatting>
  <conditionalFormatting sqref="D35:H35 J35:L35">
    <cfRule type="expression" dxfId="148" priority="2">
      <formula>$X$14=1</formula>
    </cfRule>
  </conditionalFormatting>
  <conditionalFormatting sqref="I35">
    <cfRule type="expression" dxfId="147"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4578"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4579"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+入力シート_六価クロム!F20</f>
        <v>六価クロム</v>
      </c>
      <c r="D6" s="721"/>
      <c r="E6" s="722"/>
      <c r="F6" s="17"/>
      <c r="G6" s="18" t="str">
        <f>$C$6</f>
        <v>六価クロム</v>
      </c>
      <c r="L6" s="102"/>
      <c r="M6" s="15"/>
      <c r="N6" s="15"/>
      <c r="O6" s="15"/>
      <c r="P6" s="15"/>
      <c r="Q6" s="15"/>
      <c r="R6" s="15"/>
      <c r="S6" s="15"/>
    </row>
    <row r="7" spans="2:19" ht="13.5" thickBot="1" x14ac:dyDescent="0.25">
      <c r="B7" s="19" t="s">
        <v>87</v>
      </c>
      <c r="C7" s="723" t="s">
        <v>88</v>
      </c>
      <c r="D7" s="724"/>
      <c r="E7" s="725"/>
      <c r="F7" s="20" t="s">
        <v>89</v>
      </c>
      <c r="G7" s="21">
        <f>+入力シート_六価クロム!R14</f>
        <v>0.05</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++入力シート_六価クロム!J32</f>
        <v>30</v>
      </c>
      <c r="L9" s="102"/>
      <c r="M9" s="15"/>
      <c r="N9" s="15"/>
      <c r="O9" s="15"/>
      <c r="P9" s="15"/>
      <c r="Q9" s="15"/>
      <c r="R9" s="15"/>
      <c r="S9" s="15"/>
    </row>
    <row r="10" spans="2:19" ht="18" x14ac:dyDescent="0.2">
      <c r="B10" s="26" t="s">
        <v>91</v>
      </c>
      <c r="C10" s="686" t="s">
        <v>72</v>
      </c>
      <c r="D10" s="689"/>
      <c r="E10" s="687"/>
      <c r="F10" s="362" t="s">
        <v>43</v>
      </c>
      <c r="G10" s="28">
        <f>+入力シート_六価クロム!J33</f>
        <v>15</v>
      </c>
      <c r="L10" s="102"/>
      <c r="M10" s="15"/>
      <c r="N10" s="15"/>
      <c r="O10" s="15"/>
      <c r="P10" s="15"/>
      <c r="Q10" s="15"/>
      <c r="R10" s="15"/>
      <c r="S10" s="15"/>
    </row>
    <row r="11" spans="2:19" ht="18" x14ac:dyDescent="0.2">
      <c r="B11" s="26" t="s">
        <v>73</v>
      </c>
      <c r="C11" s="686" t="s">
        <v>74</v>
      </c>
      <c r="D11" s="689"/>
      <c r="E11" s="687"/>
      <c r="F11" s="362" t="s">
        <v>43</v>
      </c>
      <c r="G11" s="28">
        <f>+入力シート_六価クロム!J24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入力シート_六価クロム!J30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入力シート_六価クロム!R20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入力シート_六価クロム!F27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入力シート_六価クロム!R21</f>
        <v>0.3</v>
      </c>
      <c r="L23" s="70"/>
      <c r="M23" s="15"/>
      <c r="N23" s="15"/>
      <c r="O23" s="15"/>
      <c r="P23" s="15"/>
      <c r="Q23" s="15"/>
      <c r="R23" s="15"/>
      <c r="S23" s="15"/>
    </row>
    <row r="24" spans="1:19" ht="18" x14ac:dyDescent="0.2">
      <c r="A24" s="37"/>
      <c r="B24" s="26" t="s">
        <v>163</v>
      </c>
      <c r="C24" s="688" t="s">
        <v>177</v>
      </c>
      <c r="D24" s="689"/>
      <c r="E24" s="687"/>
      <c r="F24" s="362" t="s">
        <v>51</v>
      </c>
      <c r="G24" s="28">
        <f>入力シート_六価クロム!R22</f>
        <v>0.4</v>
      </c>
      <c r="L24" s="70"/>
      <c r="M24" s="15"/>
      <c r="N24" s="15"/>
      <c r="O24" s="15"/>
      <c r="P24" s="15"/>
      <c r="Q24" s="15"/>
      <c r="R24" s="15"/>
      <c r="S24" s="15"/>
    </row>
    <row r="25" spans="1:19" ht="21" x14ac:dyDescent="0.2">
      <c r="A25" s="37"/>
      <c r="B25" s="26" t="s">
        <v>101</v>
      </c>
      <c r="C25" s="686" t="s">
        <v>46</v>
      </c>
      <c r="D25" s="689"/>
      <c r="E25" s="687"/>
      <c r="F25" s="362" t="s">
        <v>43</v>
      </c>
      <c r="G25" s="43">
        <f>入力シート_六価クロム!R12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入力シート_六価クロム!R13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入力シート_六価クロム!R13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入力シート_六価クロム!R11</f>
        <v>-</v>
      </c>
      <c r="L29" s="70"/>
      <c r="M29" s="15"/>
      <c r="N29" s="15"/>
      <c r="O29" s="15"/>
      <c r="P29" s="15"/>
      <c r="Q29" s="15"/>
      <c r="R29" s="15"/>
      <c r="S29" s="15"/>
    </row>
    <row r="30" spans="1:19" ht="14" x14ac:dyDescent="0.3">
      <c r="A30" s="37"/>
      <c r="B30" s="49" t="s">
        <v>107</v>
      </c>
      <c r="C30" s="692" t="s">
        <v>53</v>
      </c>
      <c r="D30" s="692"/>
      <c r="E30" s="692"/>
      <c r="F30" s="364" t="s">
        <v>108</v>
      </c>
      <c r="G30" s="51">
        <f>入力シート_六価クロム!R9</f>
        <v>1</v>
      </c>
      <c r="L30" s="70"/>
      <c r="M30" s="15"/>
      <c r="N30" s="15"/>
      <c r="O30" s="15"/>
      <c r="P30" s="15"/>
      <c r="Q30" s="15"/>
      <c r="R30" s="15"/>
      <c r="S30" s="15"/>
    </row>
    <row r="31" spans="1:19" ht="18" x14ac:dyDescent="0.4">
      <c r="A31" s="37"/>
      <c r="B31" s="52" t="s">
        <v>109</v>
      </c>
      <c r="C31" s="692" t="s">
        <v>110</v>
      </c>
      <c r="D31" s="692"/>
      <c r="E31" s="692"/>
      <c r="F31" s="364" t="s">
        <v>111</v>
      </c>
      <c r="G31" s="51" t="str">
        <f>IF(A31="",入力シート_六価クロム!R10,A31)</f>
        <v>-</v>
      </c>
      <c r="L31" s="70"/>
      <c r="M31" s="15"/>
      <c r="N31" s="15"/>
      <c r="O31" s="15"/>
      <c r="P31" s="15"/>
      <c r="Q31" s="15"/>
      <c r="R31" s="15"/>
      <c r="S31" s="15"/>
    </row>
    <row r="32" spans="1:19" ht="18.5" thickBot="1" x14ac:dyDescent="0.45">
      <c r="A32" s="37"/>
      <c r="B32" s="53" t="s">
        <v>112</v>
      </c>
      <c r="C32" s="695" t="s">
        <v>113</v>
      </c>
      <c r="D32" s="695"/>
      <c r="E32" s="695"/>
      <c r="F32" s="365" t="s">
        <v>114</v>
      </c>
      <c r="G32" s="55">
        <f>入力シート_六価クロム!R25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入力シート_六価クロム!R24</f>
        <v>1.62</v>
      </c>
      <c r="L34" s="15"/>
      <c r="M34" s="15"/>
      <c r="N34" s="15"/>
      <c r="O34" s="15"/>
      <c r="P34" s="15"/>
      <c r="Q34" s="15"/>
      <c r="R34" s="15"/>
      <c r="S34" s="15"/>
    </row>
    <row r="35" spans="1:19" ht="18" x14ac:dyDescent="0.2">
      <c r="B35" s="26" t="s">
        <v>118</v>
      </c>
      <c r="C35" s="686" t="s">
        <v>119</v>
      </c>
      <c r="D35" s="689"/>
      <c r="E35" s="687"/>
      <c r="F35" s="362" t="s">
        <v>120</v>
      </c>
      <c r="G35" s="43">
        <f>+入力シート_六価クロム!J35*0.365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6.4</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1.9999238765625482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0.96606837485296593</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六価クロム</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0.96606837485296593</v>
      </c>
      <c r="H63" s="139"/>
      <c r="I63" s="139"/>
      <c r="J63" s="79"/>
      <c r="K63" s="84"/>
      <c r="L63" s="691"/>
      <c r="M63" s="691"/>
      <c r="N63" s="691"/>
      <c r="O63" s="74"/>
      <c r="P63" s="85"/>
      <c r="Q63" s="47"/>
    </row>
    <row r="64" spans="1:17" ht="16.5" x14ac:dyDescent="0.2">
      <c r="B64" s="87"/>
      <c r="C64" s="693" t="s">
        <v>150</v>
      </c>
      <c r="D64" s="693"/>
      <c r="E64" s="693"/>
      <c r="F64" s="88">
        <f>+G64/G63*F63</f>
        <v>5.1756170993186607E-2</v>
      </c>
      <c r="G64" s="83">
        <f>+G7</f>
        <v>0.05</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5.0999999999999997E-2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0.12210166517352958</v>
      </c>
      <c r="H68" s="139"/>
      <c r="I68" s="139"/>
      <c r="J68" s="79"/>
    </row>
    <row r="69" spans="2:10" x14ac:dyDescent="0.2">
      <c r="B69" s="81"/>
      <c r="C69" s="686" t="s">
        <v>150</v>
      </c>
      <c r="D69" s="687"/>
      <c r="E69" s="364" t="s">
        <v>153</v>
      </c>
      <c r="F69" s="86">
        <f>+G69/G68*F68</f>
        <v>5.1756170993186607E-2</v>
      </c>
      <c r="G69" s="83">
        <f>+G64</f>
        <v>0.05</v>
      </c>
      <c r="H69" s="139"/>
      <c r="I69" s="139"/>
      <c r="J69" s="79"/>
    </row>
    <row r="70" spans="2:10" x14ac:dyDescent="0.2">
      <c r="B70" s="81"/>
      <c r="C70" s="683" t="s">
        <v>154</v>
      </c>
      <c r="D70" s="683"/>
      <c r="E70" s="93">
        <f>+F69/F68*E68</f>
        <v>0.40949482489809241</v>
      </c>
      <c r="F70" s="47"/>
      <c r="G70" s="47"/>
      <c r="H70" s="47"/>
      <c r="I70" s="47"/>
      <c r="J70" s="79"/>
    </row>
    <row r="71" spans="2:10" x14ac:dyDescent="0.2">
      <c r="B71" s="81"/>
      <c r="C71" s="683" t="s">
        <v>155</v>
      </c>
      <c r="D71" s="683"/>
      <c r="E71" s="83">
        <f>入力シート_六価クロム!R15</f>
        <v>1.5</v>
      </c>
      <c r="F71" s="47"/>
      <c r="G71" s="47"/>
      <c r="H71" s="47"/>
      <c r="I71" s="47"/>
      <c r="J71" s="79"/>
    </row>
    <row r="72" spans="2:10" ht="13.5" thickBot="1" x14ac:dyDescent="0.25">
      <c r="B72" s="81"/>
      <c r="C72" s="47"/>
      <c r="D72" s="47"/>
      <c r="E72" s="74">
        <f>IF(E70&gt;10,ROUNDDOWN(E70,0),IF(E70&gt;1,ROUNDDOWN(E70,1),IF(E70&gt;0.1,ROUNDDOWN(E70,2),IF(E70&gt;0.01,ROUNDDOWN(E70,3),ROUNDDOWN(E70,4)))))</f>
        <v>0.4</v>
      </c>
      <c r="F72" s="47"/>
      <c r="G72" s="47"/>
      <c r="H72" s="47"/>
      <c r="I72" s="47"/>
      <c r="J72" s="79"/>
    </row>
    <row r="73" spans="2:10" ht="13.5" thickBot="1" x14ac:dyDescent="0.25">
      <c r="B73" s="81"/>
      <c r="C73" s="684" t="s">
        <v>156</v>
      </c>
      <c r="D73" s="685"/>
      <c r="E73" s="109">
        <f>IF(E70&gt;E71,E71,E70)</f>
        <v>0.40949482489809241</v>
      </c>
      <c r="F73" s="95" t="s">
        <v>157</v>
      </c>
      <c r="G73" s="47"/>
      <c r="H73" s="47"/>
      <c r="I73" s="47"/>
      <c r="J73" s="79"/>
    </row>
    <row r="74" spans="2:10" x14ac:dyDescent="0.2">
      <c r="B74" s="81"/>
      <c r="C74" s="47"/>
      <c r="D74" s="47"/>
      <c r="E74" s="74">
        <f>IF(E73&gt;10,ROUNDDOWN(E73,0),IF(E73&gt;1,ROUNDDOWN(E73,1),IF(E73&gt;0.1,ROUNDDOWN(E73,2),IF(E73&gt;0.01,ROUNDDOWN(E73,3),ROUNDDOWN(E73,4)))))</f>
        <v>0.4</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0.96606837485296593</v>
      </c>
      <c r="H77" s="139"/>
      <c r="I77" s="139"/>
      <c r="J77" s="79"/>
    </row>
    <row r="78" spans="2:10" x14ac:dyDescent="0.2">
      <c r="B78" s="81"/>
      <c r="C78" s="686" t="s">
        <v>150</v>
      </c>
      <c r="D78" s="687"/>
      <c r="E78" s="364" t="s">
        <v>153</v>
      </c>
      <c r="F78" s="86">
        <f>+F64</f>
        <v>5.1756170993186607E-2</v>
      </c>
      <c r="G78" s="83">
        <f>+G69</f>
        <v>0.05</v>
      </c>
      <c r="H78" s="139"/>
      <c r="I78" s="139"/>
      <c r="J78" s="79"/>
    </row>
    <row r="79" spans="2:10" x14ac:dyDescent="0.2">
      <c r="B79" s="81"/>
      <c r="C79" s="683" t="s">
        <v>154</v>
      </c>
      <c r="D79" s="683"/>
      <c r="E79" s="93">
        <f>+F78/F77*E77</f>
        <v>5.1756170993186607E-2</v>
      </c>
      <c r="F79" s="47"/>
      <c r="G79" s="47"/>
      <c r="H79" s="47"/>
      <c r="I79" s="47"/>
      <c r="J79" s="79"/>
    </row>
    <row r="80" spans="2:10" x14ac:dyDescent="0.2">
      <c r="B80" s="81"/>
      <c r="C80" s="683" t="s">
        <v>155</v>
      </c>
      <c r="D80" s="683"/>
      <c r="E80" s="83">
        <f>+E71</f>
        <v>1.5</v>
      </c>
      <c r="F80" s="47"/>
      <c r="G80" s="47"/>
      <c r="H80" s="47"/>
      <c r="I80" s="47"/>
      <c r="J80" s="79"/>
    </row>
    <row r="81" spans="2:10" ht="13.5" thickBot="1" x14ac:dyDescent="0.25">
      <c r="B81" s="81"/>
      <c r="C81" s="47"/>
      <c r="D81" s="47"/>
      <c r="E81" s="74">
        <f>IF(E79&gt;10,ROUNDDOWN(E79,0),IF(E79&gt;1,ROUNDDOWN(E79,1),IF(E79&gt;0.1,ROUNDDOWN(E79,2),IF(E79&gt;0.01,ROUNDDOWN(E79,3),ROUNDDOWN(E79,4)))))</f>
        <v>5.0999999999999997E-2</v>
      </c>
      <c r="F81" s="47"/>
      <c r="G81" s="47"/>
      <c r="H81" s="47"/>
      <c r="I81" s="47"/>
      <c r="J81" s="79"/>
    </row>
    <row r="82" spans="2:10" ht="13.5" thickBot="1" x14ac:dyDescent="0.25">
      <c r="B82" s="81"/>
      <c r="C82" s="684" t="s">
        <v>156</v>
      </c>
      <c r="D82" s="685"/>
      <c r="E82" s="109">
        <f>IF(E79&gt;E80,E80,E79)</f>
        <v>5.1756170993186607E-2</v>
      </c>
      <c r="F82" s="95" t="s">
        <v>157</v>
      </c>
      <c r="G82" s="47"/>
      <c r="H82" s="47"/>
      <c r="I82" s="47"/>
      <c r="J82" s="79"/>
    </row>
    <row r="83" spans="2:10" x14ac:dyDescent="0.2">
      <c r="B83" s="81"/>
      <c r="C83" s="47"/>
      <c r="D83" s="47"/>
      <c r="E83" s="74">
        <f>IF(E82&gt;10,ROUNDDOWN(E82,0),IF(E82&gt;1,ROUNDDOWN(E82,1),IF(E82&gt;0.1,ROUNDDOWN(E82,2),IF(E82&gt;0.01,ROUNDDOWN(E82,3),ROUNDDOWN(E82,4)))))</f>
        <v>5.0999999999999997E-2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146" priority="5">
      <formula>$A41&gt;0</formula>
    </cfRule>
  </conditionalFormatting>
  <conditionalFormatting sqref="G30">
    <cfRule type="expression" dxfId="145" priority="4">
      <formula>$A$29&gt;0</formula>
    </cfRule>
  </conditionalFormatting>
  <conditionalFormatting sqref="G31">
    <cfRule type="expression" dxfId="144" priority="3">
      <formula>$A$30&gt;0</formula>
    </cfRule>
  </conditionalFormatting>
  <conditionalFormatting sqref="G32">
    <cfRule type="expression" dxfId="143" priority="2">
      <formula>$A$31&gt;0</formula>
    </cfRule>
  </conditionalFormatting>
  <conditionalFormatting sqref="G9">
    <cfRule type="expression" dxfId="142" priority="6">
      <formula>#REF!&gt;0</formula>
    </cfRule>
  </conditionalFormatting>
  <conditionalFormatting sqref="G11 G25:I27">
    <cfRule type="expression" dxfId="141" priority="7">
      <formula>#REF!&gt;0</formula>
    </cfRule>
  </conditionalFormatting>
  <conditionalFormatting sqref="G18">
    <cfRule type="expression" dxfId="140" priority="8">
      <formula>#REF!&gt;0</formula>
    </cfRule>
  </conditionalFormatting>
  <conditionalFormatting sqref="G22:G24">
    <cfRule type="expression" dxfId="139" priority="9">
      <formula>$A$25&gt;0</formula>
    </cfRule>
  </conditionalFormatting>
  <conditionalFormatting sqref="G23:G24">
    <cfRule type="expression" dxfId="138" priority="10">
      <formula>#REF!&gt;0</formula>
    </cfRule>
  </conditionalFormatting>
  <conditionalFormatting sqref="G21">
    <cfRule type="expression" dxfId="137" priority="11">
      <formula>$A$23&gt;0</formula>
    </cfRule>
  </conditionalFormatting>
  <conditionalFormatting sqref="G12">
    <cfRule type="expression" dxfId="136" priority="1">
      <formula>#REF!&gt;0</formula>
    </cfRule>
  </conditionalFormatting>
  <conditionalFormatting sqref="G34">
    <cfRule type="expression" dxfId="135" priority="12">
      <formula>#REF!&gt;0</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1</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0.8</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24</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342</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206</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+計算シート_ふっ素!G39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計算シート_ふっ素!G41</f>
        <v>6.4</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IF(入力シート_ふっ素!$Y$14=1,"目標土壌溶出量濃度",IF(入力シート_ふっ素!$Y$14=2,"目標土壌溶出量濃度",IF(入力シート_ふっ素!$Y$14=3,"目標土壌溶出量濃度","PRB通過後の観測点における目標地下水濃度")))</f>
        <v>目標土壌溶出量濃度</v>
      </c>
      <c r="E41" s="527"/>
      <c r="F41" s="527"/>
      <c r="G41" s="528">
        <f>IF($X$14=1,IF(計算シート_ふっ素!E83&gt;10000,"&gt;10,000",+計算シート_ふっ素!E83),計算シート_ふっ素!E74)</f>
        <v>0.82</v>
      </c>
      <c r="H41" s="528"/>
      <c r="I41" s="244" t="s">
        <v>28</v>
      </c>
      <c r="J41" s="155"/>
      <c r="K41" s="529">
        <f>+計算シート_ふっ素!E83</f>
        <v>0.82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134" priority="3">
      <formula>LEN(TRIM(Y13))=0</formula>
    </cfRule>
  </conditionalFormatting>
  <conditionalFormatting sqref="D35:H35 J35:L35">
    <cfRule type="expression" dxfId="133" priority="2">
      <formula>$X$14=1</formula>
    </cfRule>
  </conditionalFormatting>
  <conditionalFormatting sqref="I35">
    <cfRule type="expression" dxfId="132"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5602"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5603"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+入力シート_ふっ素!F20</f>
        <v>ふっ素</v>
      </c>
      <c r="D6" s="721"/>
      <c r="E6" s="722"/>
      <c r="F6" s="17"/>
      <c r="G6" s="18" t="str">
        <f>$C$6</f>
        <v>ふっ素</v>
      </c>
      <c r="L6" s="102"/>
      <c r="M6" s="15"/>
      <c r="N6" s="15"/>
      <c r="O6" s="15"/>
      <c r="P6" s="15"/>
      <c r="Q6" s="15"/>
      <c r="R6" s="15"/>
      <c r="S6" s="15"/>
    </row>
    <row r="7" spans="2:19" ht="13.5" thickBot="1" x14ac:dyDescent="0.25">
      <c r="B7" s="19" t="s">
        <v>87</v>
      </c>
      <c r="C7" s="723" t="s">
        <v>88</v>
      </c>
      <c r="D7" s="724"/>
      <c r="E7" s="725"/>
      <c r="F7" s="20" t="s">
        <v>89</v>
      </c>
      <c r="G7" s="21">
        <f>+入力シート_ふっ素!R14</f>
        <v>0.8</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++入力シート_ふっ素!J32</f>
        <v>30</v>
      </c>
      <c r="L9" s="102"/>
      <c r="M9" s="15"/>
      <c r="N9" s="15"/>
      <c r="O9" s="15"/>
      <c r="P9" s="15"/>
      <c r="Q9" s="15"/>
      <c r="R9" s="15"/>
      <c r="S9" s="15"/>
    </row>
    <row r="10" spans="2:19" ht="18" x14ac:dyDescent="0.2">
      <c r="B10" s="26" t="s">
        <v>91</v>
      </c>
      <c r="C10" s="686" t="s">
        <v>72</v>
      </c>
      <c r="D10" s="689"/>
      <c r="E10" s="687"/>
      <c r="F10" s="362" t="s">
        <v>43</v>
      </c>
      <c r="G10" s="28">
        <f>+入力シート_ふっ素!J33</f>
        <v>15</v>
      </c>
      <c r="L10" s="102"/>
      <c r="M10" s="15"/>
      <c r="N10" s="15"/>
      <c r="O10" s="15"/>
      <c r="P10" s="15"/>
      <c r="Q10" s="15"/>
      <c r="R10" s="15"/>
      <c r="S10" s="15"/>
    </row>
    <row r="11" spans="2:19" ht="18" x14ac:dyDescent="0.2">
      <c r="B11" s="26" t="s">
        <v>73</v>
      </c>
      <c r="C11" s="686" t="s">
        <v>74</v>
      </c>
      <c r="D11" s="689"/>
      <c r="E11" s="687"/>
      <c r="F11" s="362" t="s">
        <v>43</v>
      </c>
      <c r="G11" s="28">
        <f>+入力シート_ふっ素!J24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入力シート_ふっ素!J30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入力シート_ふっ素!R20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入力シート_ふっ素!F27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入力シート_ふっ素!R21</f>
        <v>0.3</v>
      </c>
      <c r="L23" s="70"/>
      <c r="M23" s="15"/>
      <c r="N23" s="15"/>
      <c r="O23" s="15"/>
      <c r="P23" s="15"/>
      <c r="Q23" s="15"/>
      <c r="R23" s="15"/>
      <c r="S23" s="15"/>
    </row>
    <row r="24" spans="1:19" ht="18" x14ac:dyDescent="0.2">
      <c r="A24" s="37"/>
      <c r="B24" s="26" t="s">
        <v>163</v>
      </c>
      <c r="C24" s="688" t="s">
        <v>177</v>
      </c>
      <c r="D24" s="689"/>
      <c r="E24" s="687"/>
      <c r="F24" s="362" t="s">
        <v>51</v>
      </c>
      <c r="G24" s="28">
        <f>入力シート_ふっ素!R22</f>
        <v>0.4</v>
      </c>
      <c r="L24" s="70"/>
      <c r="M24" s="15"/>
      <c r="N24" s="15"/>
      <c r="O24" s="15"/>
      <c r="P24" s="15"/>
      <c r="Q24" s="15"/>
      <c r="R24" s="15"/>
      <c r="S24" s="15"/>
    </row>
    <row r="25" spans="1:19" ht="21" x14ac:dyDescent="0.2">
      <c r="A25" s="37"/>
      <c r="B25" s="26" t="s">
        <v>101</v>
      </c>
      <c r="C25" s="686" t="s">
        <v>46</v>
      </c>
      <c r="D25" s="689"/>
      <c r="E25" s="687"/>
      <c r="F25" s="362" t="s">
        <v>43</v>
      </c>
      <c r="G25" s="43">
        <f>入力シート_ふっ素!R12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入力シート_ふっ素!R13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入力シート_ふっ素!R13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入力シート_ふっ素!R11</f>
        <v>-</v>
      </c>
      <c r="L29" s="70"/>
      <c r="M29" s="15"/>
      <c r="N29" s="15"/>
      <c r="O29" s="15"/>
      <c r="P29" s="15"/>
      <c r="Q29" s="15"/>
      <c r="R29" s="15"/>
      <c r="S29" s="15"/>
    </row>
    <row r="30" spans="1:19" ht="14" x14ac:dyDescent="0.3">
      <c r="A30" s="37"/>
      <c r="B30" s="49" t="s">
        <v>107</v>
      </c>
      <c r="C30" s="692" t="s">
        <v>53</v>
      </c>
      <c r="D30" s="692"/>
      <c r="E30" s="692"/>
      <c r="F30" s="364" t="s">
        <v>108</v>
      </c>
      <c r="G30" s="51">
        <f>入力シート_ふっ素!R9</f>
        <v>1</v>
      </c>
      <c r="L30" s="70"/>
      <c r="M30" s="15"/>
      <c r="N30" s="15"/>
      <c r="O30" s="15"/>
      <c r="P30" s="15"/>
      <c r="Q30" s="15"/>
      <c r="R30" s="15"/>
      <c r="S30" s="15"/>
    </row>
    <row r="31" spans="1:19" ht="18" x14ac:dyDescent="0.4">
      <c r="A31" s="37"/>
      <c r="B31" s="52" t="s">
        <v>109</v>
      </c>
      <c r="C31" s="692" t="s">
        <v>110</v>
      </c>
      <c r="D31" s="692"/>
      <c r="E31" s="692"/>
      <c r="F31" s="364" t="s">
        <v>111</v>
      </c>
      <c r="G31" s="51" t="str">
        <f>IF(A31="",入力シート_ふっ素!R10,A31)</f>
        <v>-</v>
      </c>
      <c r="L31" s="70"/>
      <c r="M31" s="15"/>
      <c r="N31" s="15"/>
      <c r="O31" s="15"/>
      <c r="P31" s="15"/>
      <c r="Q31" s="15"/>
      <c r="R31" s="15"/>
      <c r="S31" s="15"/>
    </row>
    <row r="32" spans="1:19" ht="18.5" thickBot="1" x14ac:dyDescent="0.45">
      <c r="A32" s="37"/>
      <c r="B32" s="53" t="s">
        <v>112</v>
      </c>
      <c r="C32" s="695" t="s">
        <v>113</v>
      </c>
      <c r="D32" s="695"/>
      <c r="E32" s="695"/>
      <c r="F32" s="365" t="s">
        <v>114</v>
      </c>
      <c r="G32" s="55">
        <f>入力シート_ふっ素!R25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入力シート_ふっ素!R24</f>
        <v>1.62</v>
      </c>
      <c r="L34" s="15"/>
      <c r="M34" s="15"/>
      <c r="N34" s="15"/>
      <c r="O34" s="15"/>
      <c r="P34" s="15"/>
      <c r="Q34" s="15"/>
      <c r="R34" s="15"/>
      <c r="S34" s="15"/>
    </row>
    <row r="35" spans="1:19" ht="18" x14ac:dyDescent="0.2">
      <c r="B35" s="26" t="s">
        <v>118</v>
      </c>
      <c r="C35" s="686" t="s">
        <v>119</v>
      </c>
      <c r="D35" s="689"/>
      <c r="E35" s="687"/>
      <c r="F35" s="362" t="s">
        <v>120</v>
      </c>
      <c r="G35" s="43">
        <f>+入力シート_ふっ素!J35*0.365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6.4</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1.9999238765625482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0.96606837485296593</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ふっ素</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0.96606837485296593</v>
      </c>
      <c r="H63" s="139"/>
      <c r="I63" s="139"/>
      <c r="J63" s="79"/>
      <c r="K63" s="84"/>
      <c r="L63" s="691"/>
      <c r="M63" s="691"/>
      <c r="N63" s="691"/>
      <c r="O63" s="74"/>
      <c r="P63" s="85"/>
      <c r="Q63" s="47"/>
    </row>
    <row r="64" spans="1:17" ht="16.5" x14ac:dyDescent="0.2">
      <c r="B64" s="87"/>
      <c r="C64" s="693" t="s">
        <v>150</v>
      </c>
      <c r="D64" s="693"/>
      <c r="E64" s="693"/>
      <c r="F64" s="88">
        <f>+G64/G63*F63</f>
        <v>0.8280987358909857</v>
      </c>
      <c r="G64" s="83">
        <f>+G7</f>
        <v>0.8</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0.82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0.12210166517352958</v>
      </c>
      <c r="H68" s="139"/>
      <c r="I68" s="139"/>
      <c r="J68" s="79"/>
    </row>
    <row r="69" spans="2:10" x14ac:dyDescent="0.2">
      <c r="B69" s="81"/>
      <c r="C69" s="686" t="s">
        <v>150</v>
      </c>
      <c r="D69" s="687"/>
      <c r="E69" s="364" t="s">
        <v>153</v>
      </c>
      <c r="F69" s="86">
        <f>+G69/G68*F68</f>
        <v>0.8280987358909857</v>
      </c>
      <c r="G69" s="83">
        <f>+G64</f>
        <v>0.8</v>
      </c>
      <c r="H69" s="139"/>
      <c r="I69" s="139"/>
      <c r="J69" s="79"/>
    </row>
    <row r="70" spans="2:10" x14ac:dyDescent="0.2">
      <c r="B70" s="81"/>
      <c r="C70" s="683" t="s">
        <v>154</v>
      </c>
      <c r="D70" s="683"/>
      <c r="E70" s="93">
        <f>+F69/F68*E68</f>
        <v>6.5519171983694786</v>
      </c>
      <c r="F70" s="47"/>
      <c r="G70" s="47"/>
      <c r="H70" s="47"/>
      <c r="I70" s="47"/>
      <c r="J70" s="79"/>
    </row>
    <row r="71" spans="2:10" x14ac:dyDescent="0.2">
      <c r="B71" s="81"/>
      <c r="C71" s="683" t="s">
        <v>155</v>
      </c>
      <c r="D71" s="683"/>
      <c r="E71" s="83">
        <f>入力シート_ふっ素!R15</f>
        <v>24</v>
      </c>
      <c r="F71" s="47"/>
      <c r="G71" s="47"/>
      <c r="H71" s="47"/>
      <c r="I71" s="47"/>
      <c r="J71" s="79"/>
    </row>
    <row r="72" spans="2:10" ht="13.5" thickBot="1" x14ac:dyDescent="0.25">
      <c r="B72" s="81"/>
      <c r="C72" s="47"/>
      <c r="D72" s="47"/>
      <c r="E72" s="74">
        <f>IF(E70&gt;10,ROUNDDOWN(E70,0),IF(E70&gt;1,ROUNDDOWN(E70,1),IF(E70&gt;0.1,ROUNDDOWN(E70,2),IF(E70&gt;0.01,ROUNDDOWN(E70,3),ROUNDDOWN(E70,4)))))</f>
        <v>6.5</v>
      </c>
      <c r="F72" s="47"/>
      <c r="G72" s="47"/>
      <c r="H72" s="47"/>
      <c r="I72" s="47"/>
      <c r="J72" s="79"/>
    </row>
    <row r="73" spans="2:10" ht="13.5" thickBot="1" x14ac:dyDescent="0.25">
      <c r="B73" s="81"/>
      <c r="C73" s="684" t="s">
        <v>156</v>
      </c>
      <c r="D73" s="685"/>
      <c r="E73" s="109">
        <f>IF(E70&gt;E71,E71,E70)</f>
        <v>6.5519171983694786</v>
      </c>
      <c r="F73" s="95" t="s">
        <v>157</v>
      </c>
      <c r="G73" s="47"/>
      <c r="H73" s="47"/>
      <c r="I73" s="47"/>
      <c r="J73" s="79"/>
    </row>
    <row r="74" spans="2:10" x14ac:dyDescent="0.2">
      <c r="B74" s="81"/>
      <c r="C74" s="47"/>
      <c r="D74" s="47"/>
      <c r="E74" s="74">
        <f>IF(E73&gt;10,ROUNDDOWN(E73,0),IF(E73&gt;1,ROUNDDOWN(E73,1),IF(E73&gt;0.1,ROUNDDOWN(E73,2),IF(E73&gt;0.01,ROUNDDOWN(E73,3),ROUNDDOWN(E73,4)))))</f>
        <v>6.5</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0.96606837485296593</v>
      </c>
      <c r="H77" s="139"/>
      <c r="I77" s="139"/>
      <c r="J77" s="79"/>
    </row>
    <row r="78" spans="2:10" x14ac:dyDescent="0.2">
      <c r="B78" s="81"/>
      <c r="C78" s="686" t="s">
        <v>150</v>
      </c>
      <c r="D78" s="687"/>
      <c r="E78" s="364" t="s">
        <v>153</v>
      </c>
      <c r="F78" s="86">
        <f>+F64</f>
        <v>0.8280987358909857</v>
      </c>
      <c r="G78" s="83">
        <f>+G69</f>
        <v>0.8</v>
      </c>
      <c r="H78" s="139"/>
      <c r="I78" s="139"/>
      <c r="J78" s="79"/>
    </row>
    <row r="79" spans="2:10" x14ac:dyDescent="0.2">
      <c r="B79" s="81"/>
      <c r="C79" s="683" t="s">
        <v>154</v>
      </c>
      <c r="D79" s="683"/>
      <c r="E79" s="93">
        <f>+F78/F77*E77</f>
        <v>0.8280987358909857</v>
      </c>
      <c r="F79" s="47"/>
      <c r="G79" s="47"/>
      <c r="H79" s="47"/>
      <c r="I79" s="47"/>
      <c r="J79" s="79"/>
    </row>
    <row r="80" spans="2:10" x14ac:dyDescent="0.2">
      <c r="B80" s="81"/>
      <c r="C80" s="683" t="s">
        <v>155</v>
      </c>
      <c r="D80" s="683"/>
      <c r="E80" s="83">
        <f>+E71</f>
        <v>24</v>
      </c>
      <c r="F80" s="47"/>
      <c r="G80" s="47"/>
      <c r="H80" s="47"/>
      <c r="I80" s="47"/>
      <c r="J80" s="79"/>
    </row>
    <row r="81" spans="2:10" ht="13.5" thickBot="1" x14ac:dyDescent="0.25">
      <c r="B81" s="81"/>
      <c r="C81" s="47"/>
      <c r="D81" s="47"/>
      <c r="E81" s="74">
        <f>IF(E79&gt;10,ROUNDDOWN(E79,0),IF(E79&gt;1,ROUNDDOWN(E79,1),IF(E79&gt;0.1,ROUNDDOWN(E79,2),IF(E79&gt;0.01,ROUNDDOWN(E79,3),ROUNDDOWN(E79,4)))))</f>
        <v>0.82</v>
      </c>
      <c r="F81" s="47"/>
      <c r="G81" s="47"/>
      <c r="H81" s="47"/>
      <c r="I81" s="47"/>
      <c r="J81" s="79"/>
    </row>
    <row r="82" spans="2:10" ht="13.5" thickBot="1" x14ac:dyDescent="0.25">
      <c r="B82" s="81"/>
      <c r="C82" s="684" t="s">
        <v>156</v>
      </c>
      <c r="D82" s="685"/>
      <c r="E82" s="109">
        <f>IF(E79&gt;E80,E80,E79)</f>
        <v>0.8280987358909857</v>
      </c>
      <c r="F82" s="95" t="s">
        <v>157</v>
      </c>
      <c r="G82" s="47"/>
      <c r="H82" s="47"/>
      <c r="I82" s="47"/>
      <c r="J82" s="79"/>
    </row>
    <row r="83" spans="2:10" x14ac:dyDescent="0.2">
      <c r="B83" s="81"/>
      <c r="C83" s="47"/>
      <c r="D83" s="47"/>
      <c r="E83" s="74">
        <f>IF(E82&gt;10,ROUNDDOWN(E82,0),IF(E82&gt;1,ROUNDDOWN(E82,1),IF(E82&gt;0.1,ROUNDDOWN(E82,2),IF(E82&gt;0.01,ROUNDDOWN(E82,3),ROUNDDOWN(E82,4)))))</f>
        <v>0.82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131" priority="5">
      <formula>$A41&gt;0</formula>
    </cfRule>
  </conditionalFormatting>
  <conditionalFormatting sqref="G30">
    <cfRule type="expression" dxfId="130" priority="4">
      <formula>$A$29&gt;0</formula>
    </cfRule>
  </conditionalFormatting>
  <conditionalFormatting sqref="G31">
    <cfRule type="expression" dxfId="129" priority="3">
      <formula>$A$30&gt;0</formula>
    </cfRule>
  </conditionalFormatting>
  <conditionalFormatting sqref="G32">
    <cfRule type="expression" dxfId="128" priority="2">
      <formula>$A$31&gt;0</formula>
    </cfRule>
  </conditionalFormatting>
  <conditionalFormatting sqref="G9">
    <cfRule type="expression" dxfId="127" priority="6">
      <formula>#REF!&gt;0</formula>
    </cfRule>
  </conditionalFormatting>
  <conditionalFormatting sqref="G11 G25:I27">
    <cfRule type="expression" dxfId="126" priority="7">
      <formula>#REF!&gt;0</formula>
    </cfRule>
  </conditionalFormatting>
  <conditionalFormatting sqref="G18">
    <cfRule type="expression" dxfId="125" priority="8">
      <formula>#REF!&gt;0</formula>
    </cfRule>
  </conditionalFormatting>
  <conditionalFormatting sqref="G22:G24">
    <cfRule type="expression" dxfId="124" priority="9">
      <formula>$A$25&gt;0</formula>
    </cfRule>
  </conditionalFormatting>
  <conditionalFormatting sqref="G23:G24">
    <cfRule type="expression" dxfId="123" priority="10">
      <formula>#REF!&gt;0</formula>
    </cfRule>
  </conditionalFormatting>
  <conditionalFormatting sqref="G21">
    <cfRule type="expression" dxfId="122" priority="11">
      <formula>$A$23&gt;0</formula>
    </cfRule>
  </conditionalFormatting>
  <conditionalFormatting sqref="G12">
    <cfRule type="expression" dxfId="121" priority="1">
      <formula>#REF!&gt;0</formula>
    </cfRule>
  </conditionalFormatting>
  <conditionalFormatting sqref="G34">
    <cfRule type="expression" dxfId="120" priority="12">
      <formula>#REF!&gt;0</formula>
    </cfRule>
  </conditionalFormatting>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0.1</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30</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343</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207</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+計算シート_ほう素!G39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計算シート_ほう素!G41</f>
        <v>1.54</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IF(入力シート_ほう素!$Y$14=1,"目標土壌溶出量濃度",IF(入力シート_ほう素!$Y$14=2,"目標土壌溶出量濃度",IF(入力シート_ほう素!$Y$14=3,"目標土壌溶出量濃度","PRB通過後の観測点における目標地下水濃度")))</f>
        <v>目標土壌溶出量濃度</v>
      </c>
      <c r="E41" s="527"/>
      <c r="F41" s="527"/>
      <c r="G41" s="528">
        <f>IF($X$14=1,IF(計算シート_ほう素!E83&gt;10000,"&gt;10,000",+計算シート_ほう素!E83),計算シート_ほう素!E74)</f>
        <v>1</v>
      </c>
      <c r="H41" s="528"/>
      <c r="I41" s="244" t="s">
        <v>28</v>
      </c>
      <c r="J41" s="155"/>
      <c r="K41" s="529">
        <f>+計算シート_ほう素!E83</f>
        <v>1</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119" priority="3">
      <formula>LEN(TRIM(Y13))=0</formula>
    </cfRule>
  </conditionalFormatting>
  <conditionalFormatting sqref="D35:H35 J35:L35">
    <cfRule type="expression" dxfId="118" priority="2">
      <formula>$X$14=1</formula>
    </cfRule>
  </conditionalFormatting>
  <conditionalFormatting sqref="I35">
    <cfRule type="expression" dxfId="117"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6626"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6627"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+入力シート_ほう素!F20</f>
        <v>ほう素</v>
      </c>
      <c r="D6" s="721"/>
      <c r="E6" s="722"/>
      <c r="F6" s="17"/>
      <c r="G6" s="18" t="str">
        <f>$C$6</f>
        <v>ほう素</v>
      </c>
      <c r="L6" s="102"/>
      <c r="M6" s="15"/>
      <c r="N6" s="15"/>
      <c r="O6" s="15"/>
      <c r="P6" s="15"/>
      <c r="Q6" s="15"/>
      <c r="R6" s="15"/>
      <c r="S6" s="15"/>
    </row>
    <row r="7" spans="2:19" ht="13.5" thickBot="1" x14ac:dyDescent="0.25">
      <c r="B7" s="19" t="s">
        <v>87</v>
      </c>
      <c r="C7" s="723" t="s">
        <v>88</v>
      </c>
      <c r="D7" s="724"/>
      <c r="E7" s="725"/>
      <c r="F7" s="20" t="s">
        <v>89</v>
      </c>
      <c r="G7" s="21">
        <f>+入力シート_ほう素!R14</f>
        <v>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++入力シート_ほう素!J32</f>
        <v>30</v>
      </c>
      <c r="L9" s="102"/>
      <c r="M9" s="15"/>
      <c r="N9" s="15"/>
      <c r="O9" s="15"/>
      <c r="P9" s="15"/>
      <c r="Q9" s="15"/>
      <c r="R9" s="15"/>
      <c r="S9" s="15"/>
    </row>
    <row r="10" spans="2:19" ht="18" x14ac:dyDescent="0.2">
      <c r="B10" s="26" t="s">
        <v>91</v>
      </c>
      <c r="C10" s="686" t="s">
        <v>72</v>
      </c>
      <c r="D10" s="689"/>
      <c r="E10" s="687"/>
      <c r="F10" s="362" t="s">
        <v>43</v>
      </c>
      <c r="G10" s="28">
        <f>+入力シート_ほう素!J33</f>
        <v>15</v>
      </c>
      <c r="L10" s="102"/>
      <c r="M10" s="15"/>
      <c r="N10" s="15"/>
      <c r="O10" s="15"/>
      <c r="P10" s="15"/>
      <c r="Q10" s="15"/>
      <c r="R10" s="15"/>
      <c r="S10" s="15"/>
    </row>
    <row r="11" spans="2:19" ht="18" x14ac:dyDescent="0.2">
      <c r="B11" s="26" t="s">
        <v>73</v>
      </c>
      <c r="C11" s="686" t="s">
        <v>74</v>
      </c>
      <c r="D11" s="689"/>
      <c r="E11" s="687"/>
      <c r="F11" s="362" t="s">
        <v>43</v>
      </c>
      <c r="G11" s="28">
        <f>+入力シート_ほう素!J24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入力シート_ほう素!J30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入力シート_ほう素!R20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入力シート_ほう素!F27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入力シート_ほう素!R21</f>
        <v>0.3</v>
      </c>
      <c r="L23" s="70"/>
      <c r="M23" s="15"/>
      <c r="N23" s="15"/>
      <c r="O23" s="15"/>
      <c r="P23" s="15"/>
      <c r="Q23" s="15"/>
      <c r="R23" s="15"/>
      <c r="S23" s="15"/>
    </row>
    <row r="24" spans="1:19" ht="18" x14ac:dyDescent="0.2">
      <c r="A24" s="37"/>
      <c r="B24" s="26" t="s">
        <v>163</v>
      </c>
      <c r="C24" s="688" t="s">
        <v>177</v>
      </c>
      <c r="D24" s="689"/>
      <c r="E24" s="687"/>
      <c r="F24" s="362" t="s">
        <v>51</v>
      </c>
      <c r="G24" s="28">
        <f>入力シート_ほう素!R22</f>
        <v>0.4</v>
      </c>
      <c r="L24" s="70"/>
      <c r="M24" s="15"/>
      <c r="N24" s="15"/>
      <c r="O24" s="15"/>
      <c r="P24" s="15"/>
      <c r="Q24" s="15"/>
      <c r="R24" s="15"/>
      <c r="S24" s="15"/>
    </row>
    <row r="25" spans="1:19" ht="21" x14ac:dyDescent="0.2">
      <c r="A25" s="37"/>
      <c r="B25" s="26" t="s">
        <v>101</v>
      </c>
      <c r="C25" s="686" t="s">
        <v>46</v>
      </c>
      <c r="D25" s="689"/>
      <c r="E25" s="687"/>
      <c r="F25" s="362" t="s">
        <v>43</v>
      </c>
      <c r="G25" s="43">
        <f>入力シート_ほう素!R12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入力シート_ほう素!R13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入力シート_ほう素!R13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入力シート_ほう素!R11</f>
        <v>-</v>
      </c>
      <c r="L29" s="70"/>
      <c r="M29" s="15"/>
      <c r="N29" s="15"/>
      <c r="O29" s="15"/>
      <c r="P29" s="15"/>
      <c r="Q29" s="15"/>
      <c r="R29" s="15"/>
      <c r="S29" s="15"/>
    </row>
    <row r="30" spans="1:19" ht="14" x14ac:dyDescent="0.3">
      <c r="A30" s="37"/>
      <c r="B30" s="49" t="s">
        <v>107</v>
      </c>
      <c r="C30" s="692" t="s">
        <v>53</v>
      </c>
      <c r="D30" s="692"/>
      <c r="E30" s="692"/>
      <c r="F30" s="364" t="s">
        <v>108</v>
      </c>
      <c r="G30" s="51">
        <f>入力シート_ほう素!R9</f>
        <v>0.1</v>
      </c>
      <c r="L30" s="70"/>
      <c r="M30" s="15"/>
      <c r="N30" s="15"/>
      <c r="O30" s="15"/>
      <c r="P30" s="15"/>
      <c r="Q30" s="15"/>
      <c r="R30" s="15"/>
      <c r="S30" s="15"/>
    </row>
    <row r="31" spans="1:19" ht="18" x14ac:dyDescent="0.4">
      <c r="A31" s="37"/>
      <c r="B31" s="52" t="s">
        <v>109</v>
      </c>
      <c r="C31" s="692" t="s">
        <v>110</v>
      </c>
      <c r="D31" s="692"/>
      <c r="E31" s="692"/>
      <c r="F31" s="364" t="s">
        <v>111</v>
      </c>
      <c r="G31" s="51" t="str">
        <f>IF(A31="",入力シート_ほう素!R10,A31)</f>
        <v>-</v>
      </c>
      <c r="L31" s="70"/>
      <c r="M31" s="15"/>
      <c r="N31" s="15"/>
      <c r="O31" s="15"/>
      <c r="P31" s="15"/>
      <c r="Q31" s="15"/>
      <c r="R31" s="15"/>
      <c r="S31" s="15"/>
    </row>
    <row r="32" spans="1:19" ht="18.5" thickBot="1" x14ac:dyDescent="0.45">
      <c r="A32" s="37"/>
      <c r="B32" s="53" t="s">
        <v>112</v>
      </c>
      <c r="C32" s="695" t="s">
        <v>113</v>
      </c>
      <c r="D32" s="695"/>
      <c r="E32" s="695"/>
      <c r="F32" s="365" t="s">
        <v>114</v>
      </c>
      <c r="G32" s="55">
        <f>入力シート_ほう素!R25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入力シート_ほう素!R24</f>
        <v>1.62</v>
      </c>
      <c r="L34" s="15"/>
      <c r="M34" s="15"/>
      <c r="N34" s="15"/>
      <c r="O34" s="15"/>
      <c r="P34" s="15"/>
      <c r="Q34" s="15"/>
      <c r="R34" s="15"/>
      <c r="S34" s="15"/>
    </row>
    <row r="35" spans="1:19" ht="18" x14ac:dyDescent="0.2">
      <c r="B35" s="26" t="s">
        <v>118</v>
      </c>
      <c r="C35" s="686" t="s">
        <v>119</v>
      </c>
      <c r="D35" s="689"/>
      <c r="E35" s="687"/>
      <c r="F35" s="362" t="s">
        <v>120</v>
      </c>
      <c r="G35" s="43">
        <f>+入力シート_ほう素!J35*0.365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1.54</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0.96610514647531076</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ほう素</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0.96610514647531076</v>
      </c>
      <c r="H63" s="139"/>
      <c r="I63" s="139"/>
      <c r="J63" s="79"/>
      <c r="K63" s="84"/>
      <c r="L63" s="691"/>
      <c r="M63" s="691"/>
      <c r="N63" s="691"/>
      <c r="O63" s="74"/>
      <c r="P63" s="85"/>
      <c r="Q63" s="47"/>
    </row>
    <row r="64" spans="1:17" ht="16.5" x14ac:dyDescent="0.2">
      <c r="B64" s="87"/>
      <c r="C64" s="693" t="s">
        <v>150</v>
      </c>
      <c r="D64" s="693"/>
      <c r="E64" s="693"/>
      <c r="F64" s="88">
        <f>+G64/G63*F63</f>
        <v>1.0350840212872787</v>
      </c>
      <c r="G64" s="83">
        <f>+G7</f>
        <v>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1</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0.12210631274966011</v>
      </c>
      <c r="H68" s="139"/>
      <c r="I68" s="139"/>
      <c r="J68" s="79"/>
    </row>
    <row r="69" spans="2:10" x14ac:dyDescent="0.2">
      <c r="B69" s="81"/>
      <c r="C69" s="686" t="s">
        <v>150</v>
      </c>
      <c r="D69" s="687"/>
      <c r="E69" s="364" t="s">
        <v>153</v>
      </c>
      <c r="F69" s="86">
        <f>+G69/G68*F68</f>
        <v>1.0350840212872787</v>
      </c>
      <c r="G69" s="83">
        <f>+G64</f>
        <v>1</v>
      </c>
      <c r="H69" s="139"/>
      <c r="I69" s="139"/>
      <c r="J69" s="79"/>
    </row>
    <row r="70" spans="2:10" x14ac:dyDescent="0.2">
      <c r="B70" s="81"/>
      <c r="C70" s="683" t="s">
        <v>154</v>
      </c>
      <c r="D70" s="683"/>
      <c r="E70" s="93">
        <f>+F69/F68*E68</f>
        <v>8.1895847764249492</v>
      </c>
      <c r="F70" s="47"/>
      <c r="G70" s="47"/>
      <c r="H70" s="47"/>
      <c r="I70" s="47"/>
      <c r="J70" s="79"/>
    </row>
    <row r="71" spans="2:10" x14ac:dyDescent="0.2">
      <c r="B71" s="81"/>
      <c r="C71" s="683" t="s">
        <v>155</v>
      </c>
      <c r="D71" s="683"/>
      <c r="E71" s="83">
        <f>入力シート_ほう素!R15</f>
        <v>30</v>
      </c>
      <c r="F71" s="47"/>
      <c r="G71" s="47"/>
      <c r="H71" s="47"/>
      <c r="I71" s="47"/>
      <c r="J71" s="79"/>
    </row>
    <row r="72" spans="2:10" ht="13.5" thickBot="1" x14ac:dyDescent="0.25">
      <c r="B72" s="81"/>
      <c r="C72" s="47"/>
      <c r="D72" s="47"/>
      <c r="E72" s="74">
        <f>IF(E70&gt;10,ROUNDDOWN(E70,0),IF(E70&gt;1,ROUNDDOWN(E70,1),IF(E70&gt;0.1,ROUNDDOWN(E70,2),IF(E70&gt;0.01,ROUNDDOWN(E70,3),ROUNDDOWN(E70,4)))))</f>
        <v>8.1</v>
      </c>
      <c r="F72" s="47"/>
      <c r="G72" s="47"/>
      <c r="H72" s="47"/>
      <c r="I72" s="47"/>
      <c r="J72" s="79"/>
    </row>
    <row r="73" spans="2:10" ht="13.5" thickBot="1" x14ac:dyDescent="0.25">
      <c r="B73" s="81"/>
      <c r="C73" s="684" t="s">
        <v>156</v>
      </c>
      <c r="D73" s="685"/>
      <c r="E73" s="109">
        <f>IF(E70&gt;E71,E71,E70)</f>
        <v>8.1895847764249492</v>
      </c>
      <c r="F73" s="95" t="s">
        <v>157</v>
      </c>
      <c r="G73" s="47"/>
      <c r="H73" s="47"/>
      <c r="I73" s="47"/>
      <c r="J73" s="79"/>
    </row>
    <row r="74" spans="2:10" x14ac:dyDescent="0.2">
      <c r="B74" s="81"/>
      <c r="C74" s="47"/>
      <c r="D74" s="47"/>
      <c r="E74" s="74">
        <f>IF(E73&gt;10,ROUNDDOWN(E73,0),IF(E73&gt;1,ROUNDDOWN(E73,1),IF(E73&gt;0.1,ROUNDDOWN(E73,2),IF(E73&gt;0.01,ROUNDDOWN(E73,3),ROUNDDOWN(E73,4)))))</f>
        <v>8.1</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0.96610514647531076</v>
      </c>
      <c r="H77" s="139"/>
      <c r="I77" s="139"/>
      <c r="J77" s="79"/>
    </row>
    <row r="78" spans="2:10" x14ac:dyDescent="0.2">
      <c r="B78" s="81"/>
      <c r="C78" s="686" t="s">
        <v>150</v>
      </c>
      <c r="D78" s="687"/>
      <c r="E78" s="364" t="s">
        <v>153</v>
      </c>
      <c r="F78" s="86">
        <f>+F64</f>
        <v>1.0350840212872787</v>
      </c>
      <c r="G78" s="83">
        <f>+G69</f>
        <v>1</v>
      </c>
      <c r="H78" s="139"/>
      <c r="I78" s="139"/>
      <c r="J78" s="79"/>
    </row>
    <row r="79" spans="2:10" x14ac:dyDescent="0.2">
      <c r="B79" s="81"/>
      <c r="C79" s="683" t="s">
        <v>154</v>
      </c>
      <c r="D79" s="683"/>
      <c r="E79" s="93">
        <f>+F78/F77*E77</f>
        <v>1.0350840212872787</v>
      </c>
      <c r="F79" s="47"/>
      <c r="G79" s="47"/>
      <c r="H79" s="47"/>
      <c r="I79" s="47"/>
      <c r="J79" s="79"/>
    </row>
    <row r="80" spans="2:10" x14ac:dyDescent="0.2">
      <c r="B80" s="81"/>
      <c r="C80" s="683" t="s">
        <v>155</v>
      </c>
      <c r="D80" s="683"/>
      <c r="E80" s="83">
        <f>+E71</f>
        <v>30</v>
      </c>
      <c r="F80" s="47"/>
      <c r="G80" s="47"/>
      <c r="H80" s="47"/>
      <c r="I80" s="47"/>
      <c r="J80" s="79"/>
    </row>
    <row r="81" spans="2:10" ht="13.5" thickBot="1" x14ac:dyDescent="0.25">
      <c r="B81" s="81"/>
      <c r="C81" s="47"/>
      <c r="D81" s="47"/>
      <c r="E81" s="74">
        <f>IF(E79&gt;10,ROUNDDOWN(E79,0),IF(E79&gt;1,ROUNDDOWN(E79,1),IF(E79&gt;0.1,ROUNDDOWN(E79,2),IF(E79&gt;0.01,ROUNDDOWN(E79,3),ROUNDDOWN(E79,4)))))</f>
        <v>1</v>
      </c>
      <c r="F81" s="47"/>
      <c r="G81" s="47"/>
      <c r="H81" s="47"/>
      <c r="I81" s="47"/>
      <c r="J81" s="79"/>
    </row>
    <row r="82" spans="2:10" ht="13.5" thickBot="1" x14ac:dyDescent="0.25">
      <c r="B82" s="81"/>
      <c r="C82" s="684" t="s">
        <v>156</v>
      </c>
      <c r="D82" s="685"/>
      <c r="E82" s="109">
        <f>IF(E79&gt;E80,E80,E79)</f>
        <v>1.0350840212872787</v>
      </c>
      <c r="F82" s="95" t="s">
        <v>157</v>
      </c>
      <c r="G82" s="47"/>
      <c r="H82" s="47"/>
      <c r="I82" s="47"/>
      <c r="J82" s="79"/>
    </row>
    <row r="83" spans="2:10" x14ac:dyDescent="0.2">
      <c r="B83" s="81"/>
      <c r="C83" s="47"/>
      <c r="D83" s="47"/>
      <c r="E83" s="74">
        <f>IF(E82&gt;10,ROUNDDOWN(E82,0),IF(E82&gt;1,ROUNDDOWN(E82,1),IF(E82&gt;0.1,ROUNDDOWN(E82,2),IF(E82&gt;0.01,ROUNDDOWN(E82,3),ROUNDDOWN(E82,4)))))</f>
        <v>1</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116" priority="5">
      <formula>$A41&gt;0</formula>
    </cfRule>
  </conditionalFormatting>
  <conditionalFormatting sqref="G30">
    <cfRule type="expression" dxfId="115" priority="4">
      <formula>$A$29&gt;0</formula>
    </cfRule>
  </conditionalFormatting>
  <conditionalFormatting sqref="G31">
    <cfRule type="expression" dxfId="114" priority="3">
      <formula>$A$30&gt;0</formula>
    </cfRule>
  </conditionalFormatting>
  <conditionalFormatting sqref="G32">
    <cfRule type="expression" dxfId="113" priority="2">
      <formula>$A$31&gt;0</formula>
    </cfRule>
  </conditionalFormatting>
  <conditionalFormatting sqref="G9">
    <cfRule type="expression" dxfId="112" priority="6">
      <formula>#REF!&gt;0</formula>
    </cfRule>
  </conditionalFormatting>
  <conditionalFormatting sqref="G11 G25:I27">
    <cfRule type="expression" dxfId="111" priority="7">
      <formula>#REF!&gt;0</formula>
    </cfRule>
  </conditionalFormatting>
  <conditionalFormatting sqref="G18">
    <cfRule type="expression" dxfId="110" priority="8">
      <formula>#REF!&gt;0</formula>
    </cfRule>
  </conditionalFormatting>
  <conditionalFormatting sqref="G22:G24">
    <cfRule type="expression" dxfId="109" priority="9">
      <formula>$A$25&gt;0</formula>
    </cfRule>
  </conditionalFormatting>
  <conditionalFormatting sqref="G23:G24">
    <cfRule type="expression" dxfId="108" priority="10">
      <formula>#REF!&gt;0</formula>
    </cfRule>
  </conditionalFormatting>
  <conditionalFormatting sqref="G21">
    <cfRule type="expression" dxfId="107" priority="11">
      <formula>$A$23&gt;0</formula>
    </cfRule>
  </conditionalFormatting>
  <conditionalFormatting sqref="G12">
    <cfRule type="expression" dxfId="106" priority="1">
      <formula>#REF!&gt;0</formula>
    </cfRule>
  </conditionalFormatting>
  <conditionalFormatting sqref="G34">
    <cfRule type="expression" dxfId="105" priority="12">
      <formula>#REF!&gt;0</formula>
    </cfRule>
  </conditionalFormatting>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5</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0.3</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344</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208</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+計算シート_セレン!G39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計算シート_セレン!G41</f>
        <v>28.000000000000007</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IF(入力シート_セレン!$Y$14=1,"目標土壌溶出量濃度",IF(入力シート_セレン!$Y$14=2,"目標土壌溶出量濃度",IF(入力シート_セレン!$Y$14=3,"目標土壌溶出量濃度","PRB通過後の観測点における目標地下水濃度")))</f>
        <v>目標土壌溶出量濃度</v>
      </c>
      <c r="E41" s="527"/>
      <c r="F41" s="527"/>
      <c r="G41" s="528">
        <f>IF($X$14=1,IF(計算シート_セレン!E83&gt;10000,"&gt;10,000",+計算シート_セレン!E83),計算シート_セレン!E74)</f>
        <v>1.7000000000000001E-2</v>
      </c>
      <c r="H41" s="528"/>
      <c r="I41" s="244" t="s">
        <v>28</v>
      </c>
      <c r="J41" s="155"/>
      <c r="K41" s="529">
        <f>+計算シート_セレン!E83</f>
        <v>1.7000000000000001E-2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104" priority="3">
      <formula>LEN(TRIM(Y13))=0</formula>
    </cfRule>
  </conditionalFormatting>
  <conditionalFormatting sqref="D35:H35 J35:L35">
    <cfRule type="expression" dxfId="103" priority="2">
      <formula>$X$14=1</formula>
    </cfRule>
  </conditionalFormatting>
  <conditionalFormatting sqref="I35">
    <cfRule type="expression" dxfId="102"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7650"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7651"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+入力シート_セレン!F20</f>
        <v>セレン</v>
      </c>
      <c r="D6" s="721"/>
      <c r="E6" s="722"/>
      <c r="F6" s="17"/>
      <c r="G6" s="18" t="str">
        <f>$C$6</f>
        <v>セレン</v>
      </c>
      <c r="L6" s="102"/>
      <c r="M6" s="15"/>
      <c r="N6" s="15"/>
      <c r="O6" s="15"/>
      <c r="P6" s="15"/>
      <c r="Q6" s="15"/>
      <c r="R6" s="15"/>
      <c r="S6" s="15"/>
    </row>
    <row r="7" spans="2:19" ht="13.5" thickBot="1" x14ac:dyDescent="0.25">
      <c r="B7" s="19" t="s">
        <v>87</v>
      </c>
      <c r="C7" s="723" t="s">
        <v>88</v>
      </c>
      <c r="D7" s="724"/>
      <c r="E7" s="725"/>
      <c r="F7" s="20" t="s">
        <v>89</v>
      </c>
      <c r="G7" s="21">
        <f>+入力シート_セレン!R14</f>
        <v>0.01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++入力シート_セレン!J32</f>
        <v>30</v>
      </c>
      <c r="L9" s="102"/>
      <c r="M9" s="15"/>
      <c r="N9" s="15"/>
      <c r="O9" s="15"/>
      <c r="P9" s="15"/>
      <c r="Q9" s="15"/>
      <c r="R9" s="15"/>
      <c r="S9" s="15"/>
    </row>
    <row r="10" spans="2:19" ht="18" x14ac:dyDescent="0.2">
      <c r="B10" s="26" t="s">
        <v>91</v>
      </c>
      <c r="C10" s="686" t="s">
        <v>72</v>
      </c>
      <c r="D10" s="689"/>
      <c r="E10" s="687"/>
      <c r="F10" s="362" t="s">
        <v>43</v>
      </c>
      <c r="G10" s="28">
        <f>+入力シート_セレン!J33</f>
        <v>15</v>
      </c>
      <c r="L10" s="102"/>
      <c r="M10" s="15"/>
      <c r="N10" s="15"/>
      <c r="O10" s="15"/>
      <c r="P10" s="15"/>
      <c r="Q10" s="15"/>
      <c r="R10" s="15"/>
      <c r="S10" s="15"/>
    </row>
    <row r="11" spans="2:19" ht="18" x14ac:dyDescent="0.2">
      <c r="B11" s="26" t="s">
        <v>73</v>
      </c>
      <c r="C11" s="686" t="s">
        <v>74</v>
      </c>
      <c r="D11" s="689"/>
      <c r="E11" s="687"/>
      <c r="F11" s="362" t="s">
        <v>43</v>
      </c>
      <c r="G11" s="28">
        <f>+入力シート_セレン!J24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入力シート_セレン!J30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入力シート_セレン!R20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入力シート_セレン!F27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入力シート_セレン!R21</f>
        <v>0.3</v>
      </c>
      <c r="L23" s="70"/>
      <c r="M23" s="15"/>
      <c r="N23" s="15"/>
      <c r="O23" s="15"/>
      <c r="P23" s="15"/>
      <c r="Q23" s="15"/>
      <c r="R23" s="15"/>
      <c r="S23" s="15"/>
    </row>
    <row r="24" spans="1:19" ht="18" x14ac:dyDescent="0.2">
      <c r="A24" s="37"/>
      <c r="B24" s="26" t="s">
        <v>163</v>
      </c>
      <c r="C24" s="688" t="s">
        <v>177</v>
      </c>
      <c r="D24" s="689"/>
      <c r="E24" s="687"/>
      <c r="F24" s="362" t="s">
        <v>51</v>
      </c>
      <c r="G24" s="28">
        <f>入力シート_セレン!R22</f>
        <v>0.4</v>
      </c>
      <c r="L24" s="70"/>
      <c r="M24" s="15"/>
      <c r="N24" s="15"/>
      <c r="O24" s="15"/>
      <c r="P24" s="15"/>
      <c r="Q24" s="15"/>
      <c r="R24" s="15"/>
      <c r="S24" s="15"/>
    </row>
    <row r="25" spans="1:19" ht="21" x14ac:dyDescent="0.2">
      <c r="A25" s="37"/>
      <c r="B25" s="26" t="s">
        <v>101</v>
      </c>
      <c r="C25" s="686" t="s">
        <v>46</v>
      </c>
      <c r="D25" s="689"/>
      <c r="E25" s="687"/>
      <c r="F25" s="362" t="s">
        <v>43</v>
      </c>
      <c r="G25" s="43">
        <f>入力シート_セレン!R12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入力シート_セレン!R13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入力シート_セレン!R13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入力シート_セレン!R11</f>
        <v>-</v>
      </c>
      <c r="L29" s="70"/>
      <c r="M29" s="15"/>
      <c r="N29" s="15"/>
      <c r="O29" s="15"/>
      <c r="P29" s="15"/>
      <c r="Q29" s="15"/>
      <c r="R29" s="15"/>
      <c r="S29" s="15"/>
    </row>
    <row r="30" spans="1:19" ht="14" x14ac:dyDescent="0.3">
      <c r="A30" s="37"/>
      <c r="B30" s="49" t="s">
        <v>107</v>
      </c>
      <c r="C30" s="692" t="s">
        <v>53</v>
      </c>
      <c r="D30" s="692"/>
      <c r="E30" s="692"/>
      <c r="F30" s="364" t="s">
        <v>108</v>
      </c>
      <c r="G30" s="51">
        <f>入力シート_セレン!R9</f>
        <v>5</v>
      </c>
      <c r="L30" s="70"/>
      <c r="M30" s="15"/>
      <c r="N30" s="15"/>
      <c r="O30" s="15"/>
      <c r="P30" s="15"/>
      <c r="Q30" s="15"/>
      <c r="R30" s="15"/>
      <c r="S30" s="15"/>
    </row>
    <row r="31" spans="1:19" ht="18" x14ac:dyDescent="0.4">
      <c r="A31" s="37"/>
      <c r="B31" s="52" t="s">
        <v>109</v>
      </c>
      <c r="C31" s="692" t="s">
        <v>110</v>
      </c>
      <c r="D31" s="692"/>
      <c r="E31" s="692"/>
      <c r="F31" s="364" t="s">
        <v>111</v>
      </c>
      <c r="G31" s="51" t="str">
        <f>IF(A31="",入力シート_セレン!R10,A31)</f>
        <v>-</v>
      </c>
      <c r="L31" s="70"/>
      <c r="M31" s="15"/>
      <c r="N31" s="15"/>
      <c r="O31" s="15"/>
      <c r="P31" s="15"/>
      <c r="Q31" s="15"/>
      <c r="R31" s="15"/>
      <c r="S31" s="15"/>
    </row>
    <row r="32" spans="1:19" ht="18.5" thickBot="1" x14ac:dyDescent="0.45">
      <c r="A32" s="37"/>
      <c r="B32" s="53" t="s">
        <v>112</v>
      </c>
      <c r="C32" s="695" t="s">
        <v>113</v>
      </c>
      <c r="D32" s="695"/>
      <c r="E32" s="695"/>
      <c r="F32" s="365" t="s">
        <v>114</v>
      </c>
      <c r="G32" s="55">
        <f>入力シート_セレン!R25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入力シート_セレン!R24</f>
        <v>1.62</v>
      </c>
      <c r="L34" s="15"/>
      <c r="M34" s="15"/>
      <c r="N34" s="15"/>
      <c r="O34" s="15"/>
      <c r="P34" s="15"/>
      <c r="Q34" s="15"/>
      <c r="R34" s="15"/>
      <c r="S34" s="15"/>
    </row>
    <row r="35" spans="1:19" ht="18" x14ac:dyDescent="0.2">
      <c r="B35" s="26" t="s">
        <v>118</v>
      </c>
      <c r="C35" s="686" t="s">
        <v>119</v>
      </c>
      <c r="D35" s="689"/>
      <c r="E35" s="687"/>
      <c r="F35" s="362" t="s">
        <v>120</v>
      </c>
      <c r="G35" s="43">
        <f>+入力シート_セレン!J35*0.365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28.000000000000007</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1.2098236798668998</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0.58440844172355533</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セレン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0.58440844172355533</v>
      </c>
      <c r="H63" s="139"/>
      <c r="I63" s="139"/>
      <c r="J63" s="79"/>
      <c r="K63" s="84"/>
      <c r="L63" s="691"/>
      <c r="M63" s="691"/>
      <c r="N63" s="691"/>
      <c r="O63" s="74"/>
      <c r="P63" s="85"/>
      <c r="Q63" s="47"/>
    </row>
    <row r="64" spans="1:17" ht="16.5" x14ac:dyDescent="0.2">
      <c r="B64" s="87"/>
      <c r="C64" s="693" t="s">
        <v>150</v>
      </c>
      <c r="D64" s="693"/>
      <c r="E64" s="693"/>
      <c r="F64" s="88">
        <f>+G64/G63*F63</f>
        <v>1.7111320244635232E-2</v>
      </c>
      <c r="G64" s="83">
        <f>+G7</f>
        <v>0.01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1.7000000000000001E-2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7.3863554312886173E-2</v>
      </c>
      <c r="H68" s="139"/>
      <c r="I68" s="139"/>
      <c r="J68" s="79"/>
    </row>
    <row r="69" spans="2:10" x14ac:dyDescent="0.2">
      <c r="B69" s="81"/>
      <c r="C69" s="686" t="s">
        <v>150</v>
      </c>
      <c r="D69" s="687"/>
      <c r="E69" s="364" t="s">
        <v>153</v>
      </c>
      <c r="F69" s="86">
        <f>+G69/G68*F68</f>
        <v>1.7111320244635228E-2</v>
      </c>
      <c r="G69" s="83">
        <f>+G64</f>
        <v>0.01</v>
      </c>
      <c r="H69" s="139"/>
      <c r="I69" s="139"/>
      <c r="J69" s="79"/>
    </row>
    <row r="70" spans="2:10" x14ac:dyDescent="0.2">
      <c r="B70" s="81"/>
      <c r="C70" s="683" t="s">
        <v>154</v>
      </c>
      <c r="D70" s="683"/>
      <c r="E70" s="93">
        <f>+F69/F68*E68</f>
        <v>0.13538476577555392</v>
      </c>
      <c r="F70" s="47"/>
      <c r="G70" s="47"/>
      <c r="H70" s="47"/>
      <c r="I70" s="47"/>
      <c r="J70" s="79"/>
    </row>
    <row r="71" spans="2:10" x14ac:dyDescent="0.2">
      <c r="B71" s="81"/>
      <c r="C71" s="683" t="s">
        <v>155</v>
      </c>
      <c r="D71" s="683"/>
      <c r="E71" s="83">
        <f>入力シート_セレン!R15</f>
        <v>0.3</v>
      </c>
      <c r="F71" s="47"/>
      <c r="G71" s="47"/>
      <c r="H71" s="47"/>
      <c r="I71" s="47"/>
      <c r="J71" s="79"/>
    </row>
    <row r="72" spans="2:10" ht="13.5" thickBot="1" x14ac:dyDescent="0.25">
      <c r="B72" s="81"/>
      <c r="C72" s="47"/>
      <c r="D72" s="47"/>
      <c r="E72" s="74">
        <f>IF(E70&gt;10,ROUNDDOWN(E70,0),IF(E70&gt;1,ROUNDDOWN(E70,1),IF(E70&gt;0.1,ROUNDDOWN(E70,2),IF(E70&gt;0.01,ROUNDDOWN(E70,3),ROUNDDOWN(E70,4)))))</f>
        <v>0.13</v>
      </c>
      <c r="F72" s="47"/>
      <c r="G72" s="47"/>
      <c r="H72" s="47"/>
      <c r="I72" s="47"/>
      <c r="J72" s="79"/>
    </row>
    <row r="73" spans="2:10" ht="13.5" thickBot="1" x14ac:dyDescent="0.25">
      <c r="B73" s="81"/>
      <c r="C73" s="684" t="s">
        <v>156</v>
      </c>
      <c r="D73" s="685"/>
      <c r="E73" s="109">
        <f>IF(E70&gt;E71,E71,E70)</f>
        <v>0.13538476577555392</v>
      </c>
      <c r="F73" s="95" t="s">
        <v>157</v>
      </c>
      <c r="G73" s="47"/>
      <c r="H73" s="47"/>
      <c r="I73" s="47"/>
      <c r="J73" s="79"/>
    </row>
    <row r="74" spans="2:10" x14ac:dyDescent="0.2">
      <c r="B74" s="81"/>
      <c r="C74" s="47"/>
      <c r="D74" s="47"/>
      <c r="E74" s="74">
        <f>IF(E73&gt;10,ROUNDDOWN(E73,0),IF(E73&gt;1,ROUNDDOWN(E73,1),IF(E73&gt;0.1,ROUNDDOWN(E73,2),IF(E73&gt;0.01,ROUNDDOWN(E73,3),ROUNDDOWN(E73,4)))))</f>
        <v>0.13</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0.58440844172355533</v>
      </c>
      <c r="H77" s="139"/>
      <c r="I77" s="139"/>
      <c r="J77" s="79"/>
    </row>
    <row r="78" spans="2:10" x14ac:dyDescent="0.2">
      <c r="B78" s="81"/>
      <c r="C78" s="686" t="s">
        <v>150</v>
      </c>
      <c r="D78" s="687"/>
      <c r="E78" s="364" t="s">
        <v>153</v>
      </c>
      <c r="F78" s="86">
        <f>+F64</f>
        <v>1.7111320244635232E-2</v>
      </c>
      <c r="G78" s="83">
        <f>+G69</f>
        <v>0.01</v>
      </c>
      <c r="H78" s="139"/>
      <c r="I78" s="139"/>
      <c r="J78" s="79"/>
    </row>
    <row r="79" spans="2:10" x14ac:dyDescent="0.2">
      <c r="B79" s="81"/>
      <c r="C79" s="683" t="s">
        <v>154</v>
      </c>
      <c r="D79" s="683"/>
      <c r="E79" s="93">
        <f>+F78/F77*E77</f>
        <v>1.7111320244635232E-2</v>
      </c>
      <c r="F79" s="47"/>
      <c r="G79" s="47"/>
      <c r="H79" s="47"/>
      <c r="I79" s="47"/>
      <c r="J79" s="79"/>
    </row>
    <row r="80" spans="2:10" x14ac:dyDescent="0.2">
      <c r="B80" s="81"/>
      <c r="C80" s="683" t="s">
        <v>155</v>
      </c>
      <c r="D80" s="683"/>
      <c r="E80" s="83">
        <f>+E71</f>
        <v>0.3</v>
      </c>
      <c r="F80" s="47"/>
      <c r="G80" s="47"/>
      <c r="H80" s="47"/>
      <c r="I80" s="47"/>
      <c r="J80" s="79"/>
    </row>
    <row r="81" spans="2:10" ht="13.5" thickBot="1" x14ac:dyDescent="0.25">
      <c r="B81" s="81"/>
      <c r="C81" s="47"/>
      <c r="D81" s="47"/>
      <c r="E81" s="74">
        <f>IF(E79&gt;10,ROUNDDOWN(E79,0),IF(E79&gt;1,ROUNDDOWN(E79,1),IF(E79&gt;0.1,ROUNDDOWN(E79,2),IF(E79&gt;0.01,ROUNDDOWN(E79,3),ROUNDDOWN(E79,4)))))</f>
        <v>1.7000000000000001E-2</v>
      </c>
      <c r="F81" s="47"/>
      <c r="G81" s="47"/>
      <c r="H81" s="47"/>
      <c r="I81" s="47"/>
      <c r="J81" s="79"/>
    </row>
    <row r="82" spans="2:10" ht="13.5" thickBot="1" x14ac:dyDescent="0.25">
      <c r="B82" s="81"/>
      <c r="C82" s="684" t="s">
        <v>156</v>
      </c>
      <c r="D82" s="685"/>
      <c r="E82" s="109">
        <f>IF(E79&gt;E80,E80,E79)</f>
        <v>1.7111320244635232E-2</v>
      </c>
      <c r="F82" s="95" t="s">
        <v>157</v>
      </c>
      <c r="G82" s="47"/>
      <c r="H82" s="47"/>
      <c r="I82" s="47"/>
      <c r="J82" s="79"/>
    </row>
    <row r="83" spans="2:10" x14ac:dyDescent="0.2">
      <c r="B83" s="81"/>
      <c r="C83" s="47"/>
      <c r="D83" s="47"/>
      <c r="E83" s="74">
        <f>IF(E82&gt;10,ROUNDDOWN(E82,0),IF(E82&gt;1,ROUNDDOWN(E82,1),IF(E82&gt;0.1,ROUNDDOWN(E82,2),IF(E82&gt;0.01,ROUNDDOWN(E82,3),ROUNDDOWN(E82,4)))))</f>
        <v>1.7000000000000001E-2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101" priority="5">
      <formula>$A41&gt;0</formula>
    </cfRule>
  </conditionalFormatting>
  <conditionalFormatting sqref="G30">
    <cfRule type="expression" dxfId="100" priority="4">
      <formula>$A$29&gt;0</formula>
    </cfRule>
  </conditionalFormatting>
  <conditionalFormatting sqref="G31">
    <cfRule type="expression" dxfId="99" priority="3">
      <formula>$A$30&gt;0</formula>
    </cfRule>
  </conditionalFormatting>
  <conditionalFormatting sqref="G32">
    <cfRule type="expression" dxfId="98" priority="2">
      <formula>$A$31&gt;0</formula>
    </cfRule>
  </conditionalFormatting>
  <conditionalFormatting sqref="G9">
    <cfRule type="expression" dxfId="97" priority="6">
      <formula>#REF!&gt;0</formula>
    </cfRule>
  </conditionalFormatting>
  <conditionalFormatting sqref="G11 G25:I27">
    <cfRule type="expression" dxfId="96" priority="7">
      <formula>#REF!&gt;0</formula>
    </cfRule>
  </conditionalFormatting>
  <conditionalFormatting sqref="G18">
    <cfRule type="expression" dxfId="95" priority="8">
      <formula>#REF!&gt;0</formula>
    </cfRule>
  </conditionalFormatting>
  <conditionalFormatting sqref="G22:G24">
    <cfRule type="expression" dxfId="94" priority="9">
      <formula>$A$25&gt;0</formula>
    </cfRule>
  </conditionalFormatting>
  <conditionalFormatting sqref="G23:G24">
    <cfRule type="expression" dxfId="93" priority="10">
      <formula>#REF!&gt;0</formula>
    </cfRule>
  </conditionalFormatting>
  <conditionalFormatting sqref="G21">
    <cfRule type="expression" dxfId="92" priority="11">
      <formula>$A$23&gt;0</formula>
    </cfRule>
  </conditionalFormatting>
  <conditionalFormatting sqref="G12">
    <cfRule type="expression" dxfId="91" priority="1">
      <formula>#REF!&gt;0</formula>
    </cfRule>
  </conditionalFormatting>
  <conditionalFormatting sqref="G34">
    <cfRule type="expression" dxfId="90" priority="12">
      <formula>#REF!&gt;0</formula>
    </cfRule>
  </conditionalFormatting>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9.9</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t="str">
        <f>VLOOKUP($X$23,'パラメーター 一覧表'!$A$20:$G$49,7)</f>
        <v>-</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1</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345</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209</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+計算シート_シアン!G39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計算シート_シアン!G41</f>
        <v>54.46</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IF(入力シート_シアン!$Y$14=1,"目標土壌溶出量濃度",IF(入力シート_シアン!$Y$14=2,"目標土壌溶出量濃度",IF(入力シート_シアン!$Y$14=3,"目標土壌溶出量濃度","PRB通過後の観測点における目標地下水濃度")))</f>
        <v>目標土壌溶出量濃度</v>
      </c>
      <c r="E41" s="527"/>
      <c r="F41" s="527"/>
      <c r="G41" s="528">
        <f>IF($X$14=1,IF(計算シート_シアン!E83&gt;10000,"&gt;10,000",+計算シート_シアン!E83),計算シート_シアン!E74)</f>
        <v>0.95</v>
      </c>
      <c r="H41" s="528"/>
      <c r="I41" s="244" t="s">
        <v>28</v>
      </c>
      <c r="J41" s="155"/>
      <c r="K41" s="529">
        <f>+計算シート_シアン!E83</f>
        <v>0.95</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89" priority="3">
      <formula>LEN(TRIM(Y13))=0</formula>
    </cfRule>
  </conditionalFormatting>
  <conditionalFormatting sqref="D35:H35 J35:L35">
    <cfRule type="expression" dxfId="88" priority="2">
      <formula>$X$14=1</formula>
    </cfRule>
  </conditionalFormatting>
  <conditionalFormatting sqref="I35">
    <cfRule type="expression" dxfId="87"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8674"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8675"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2:L49"/>
  <sheetViews>
    <sheetView showGridLines="0" showRowColHeaders="0" topLeftCell="C7" zoomScale="90" zoomScaleNormal="90" workbookViewId="0">
      <selection activeCell="G49" sqref="G49"/>
    </sheetView>
  </sheetViews>
  <sheetFormatPr defaultRowHeight="13" x14ac:dyDescent="0.2"/>
  <cols>
    <col min="2" max="2" width="30.36328125" bestFit="1" customWidth="1"/>
  </cols>
  <sheetData>
    <row r="2" spans="1:8" x14ac:dyDescent="0.2">
      <c r="B2" t="s">
        <v>0</v>
      </c>
    </row>
    <row r="4" spans="1:8" x14ac:dyDescent="0.2">
      <c r="A4" s="680" t="s">
        <v>264</v>
      </c>
      <c r="B4" s="2" t="s">
        <v>1</v>
      </c>
      <c r="C4" s="2" t="s">
        <v>2</v>
      </c>
      <c r="D4" s="2" t="s">
        <v>3</v>
      </c>
      <c r="E4" s="2" t="s">
        <v>160</v>
      </c>
      <c r="F4" s="2" t="s">
        <v>4</v>
      </c>
      <c r="G4" s="2" t="s">
        <v>11</v>
      </c>
      <c r="H4" s="3" t="s">
        <v>37</v>
      </c>
    </row>
    <row r="5" spans="1:8" x14ac:dyDescent="0.2">
      <c r="A5" s="681"/>
      <c r="B5" s="2" t="s">
        <v>7</v>
      </c>
      <c r="C5" s="2" t="s">
        <v>161</v>
      </c>
      <c r="D5" s="2" t="s">
        <v>162</v>
      </c>
      <c r="E5" s="2" t="s">
        <v>163</v>
      </c>
      <c r="F5" s="2" t="s">
        <v>164</v>
      </c>
      <c r="G5" s="2" t="s">
        <v>165</v>
      </c>
      <c r="H5" s="3" t="s">
        <v>166</v>
      </c>
    </row>
    <row r="6" spans="1:8" x14ac:dyDescent="0.2">
      <c r="A6" s="682"/>
      <c r="B6" s="2" t="s">
        <v>5</v>
      </c>
      <c r="C6" s="2" t="s">
        <v>167</v>
      </c>
      <c r="D6" s="2" t="s">
        <v>168</v>
      </c>
      <c r="E6" s="2" t="s">
        <v>168</v>
      </c>
      <c r="F6" s="2" t="s">
        <v>169</v>
      </c>
      <c r="G6" s="2" t="s">
        <v>169</v>
      </c>
      <c r="H6" s="3" t="s">
        <v>170</v>
      </c>
    </row>
    <row r="7" spans="1:8" x14ac:dyDescent="0.2">
      <c r="A7" s="1">
        <v>1</v>
      </c>
      <c r="B7" s="2" t="s">
        <v>266</v>
      </c>
      <c r="C7" s="114">
        <f>0.001</f>
        <v>1E-3</v>
      </c>
      <c r="D7" s="115">
        <v>0.2</v>
      </c>
      <c r="E7" s="115">
        <v>0.4</v>
      </c>
      <c r="F7" s="115">
        <v>2.7</v>
      </c>
      <c r="G7" s="116">
        <f>F7*(1-E7)</f>
        <v>1.62</v>
      </c>
      <c r="H7" s="356">
        <v>5.0000000000000001E-4</v>
      </c>
    </row>
    <row r="8" spans="1:8" x14ac:dyDescent="0.2">
      <c r="A8" s="1">
        <v>2</v>
      </c>
      <c r="B8" s="2" t="s">
        <v>267</v>
      </c>
      <c r="C8" s="114">
        <f>0.0001</f>
        <v>1E-4</v>
      </c>
      <c r="D8" s="115">
        <v>0.2</v>
      </c>
      <c r="E8" s="115">
        <v>0.4</v>
      </c>
      <c r="F8" s="115">
        <f>F7</f>
        <v>2.7</v>
      </c>
      <c r="G8" s="116">
        <f t="shared" ref="G8:G11" si="0">F8*(1-E8)</f>
        <v>1.62</v>
      </c>
      <c r="H8" s="356">
        <v>5.0000000000000001E-4</v>
      </c>
    </row>
    <row r="9" spans="1:8" x14ac:dyDescent="0.2">
      <c r="A9" s="1">
        <v>3</v>
      </c>
      <c r="B9" s="2" t="s">
        <v>268</v>
      </c>
      <c r="C9" s="114">
        <v>3.0000000000000001E-5</v>
      </c>
      <c r="D9" s="115">
        <v>0.3</v>
      </c>
      <c r="E9" s="115">
        <v>0.4</v>
      </c>
      <c r="F9" s="115">
        <f t="shared" ref="F9:F11" si="1">F8</f>
        <v>2.7</v>
      </c>
      <c r="G9" s="116">
        <f t="shared" si="0"/>
        <v>1.62</v>
      </c>
      <c r="H9" s="356">
        <v>1E-3</v>
      </c>
    </row>
    <row r="10" spans="1:8" x14ac:dyDescent="0.2">
      <c r="A10" s="1">
        <v>4</v>
      </c>
      <c r="B10" s="2" t="s">
        <v>313</v>
      </c>
      <c r="C10" s="114">
        <f>0.000001</f>
        <v>9.9999999999999995E-7</v>
      </c>
      <c r="D10" s="115">
        <v>0.15</v>
      </c>
      <c r="E10" s="118">
        <v>0.45</v>
      </c>
      <c r="F10" s="115">
        <f t="shared" si="1"/>
        <v>2.7</v>
      </c>
      <c r="G10" s="116">
        <f t="shared" si="0"/>
        <v>1.4850000000000003</v>
      </c>
      <c r="H10" s="356">
        <v>1E-3</v>
      </c>
    </row>
    <row r="11" spans="1:8" x14ac:dyDescent="0.2">
      <c r="A11" s="1">
        <v>5</v>
      </c>
      <c r="B11" s="2" t="s">
        <v>310</v>
      </c>
      <c r="C11" s="114">
        <f>0.00001</f>
        <v>1.0000000000000001E-5</v>
      </c>
      <c r="D11" s="115">
        <v>0.2</v>
      </c>
      <c r="E11" s="118">
        <v>0.6</v>
      </c>
      <c r="F11" s="115">
        <f t="shared" si="1"/>
        <v>2.7</v>
      </c>
      <c r="G11" s="116">
        <f t="shared" si="0"/>
        <v>1.08</v>
      </c>
      <c r="H11" s="356">
        <v>0.01</v>
      </c>
    </row>
    <row r="15" spans="1:8" x14ac:dyDescent="0.2">
      <c r="B15" t="s">
        <v>32</v>
      </c>
      <c r="H15" s="357" t="s">
        <v>317</v>
      </c>
    </row>
    <row r="17" spans="1:12" x14ac:dyDescent="0.2">
      <c r="A17" s="680" t="s">
        <v>264</v>
      </c>
      <c r="B17" s="1" t="s">
        <v>33</v>
      </c>
      <c r="C17" s="2" t="s">
        <v>29</v>
      </c>
      <c r="D17" s="2" t="s">
        <v>22</v>
      </c>
      <c r="E17" s="2" t="s">
        <v>23</v>
      </c>
      <c r="F17" s="2" t="s">
        <v>30</v>
      </c>
      <c r="G17" s="3" t="s">
        <v>38</v>
      </c>
      <c r="H17" s="358" t="s">
        <v>60</v>
      </c>
      <c r="I17" s="358" t="s">
        <v>61</v>
      </c>
      <c r="J17" s="3" t="s">
        <v>65</v>
      </c>
      <c r="K17" s="3" t="s">
        <v>159</v>
      </c>
    </row>
    <row r="18" spans="1:12" x14ac:dyDescent="0.2">
      <c r="A18" s="681"/>
      <c r="B18" s="1" t="s">
        <v>7</v>
      </c>
      <c r="C18" s="1" t="s">
        <v>20</v>
      </c>
      <c r="D18" s="1" t="s">
        <v>21</v>
      </c>
      <c r="E18" s="1" t="s">
        <v>26</v>
      </c>
      <c r="F18" s="1" t="s">
        <v>31</v>
      </c>
      <c r="G18" s="4" t="s">
        <v>34</v>
      </c>
      <c r="H18" s="359" t="s">
        <v>318</v>
      </c>
      <c r="I18" s="359" t="s">
        <v>63</v>
      </c>
      <c r="J18" s="1"/>
      <c r="K18" s="1"/>
    </row>
    <row r="19" spans="1:12" x14ac:dyDescent="0.2">
      <c r="A19" s="682"/>
      <c r="B19" s="1" t="s">
        <v>5</v>
      </c>
      <c r="C19" s="1" t="s">
        <v>17</v>
      </c>
      <c r="D19" s="1" t="s">
        <v>28</v>
      </c>
      <c r="E19" s="1" t="s">
        <v>27</v>
      </c>
      <c r="F19" s="1" t="s">
        <v>25</v>
      </c>
      <c r="G19" s="4" t="s">
        <v>27</v>
      </c>
      <c r="H19" s="359" t="s">
        <v>319</v>
      </c>
      <c r="I19" s="359" t="s">
        <v>64</v>
      </c>
      <c r="J19" s="4" t="s">
        <v>66</v>
      </c>
      <c r="K19" s="4" t="s">
        <v>66</v>
      </c>
    </row>
    <row r="20" spans="1:12" x14ac:dyDescent="0.2">
      <c r="A20" s="1">
        <v>1</v>
      </c>
      <c r="B20" s="3" t="s">
        <v>221</v>
      </c>
      <c r="C20" s="1">
        <v>10</v>
      </c>
      <c r="D20" s="274">
        <v>100</v>
      </c>
      <c r="E20" s="103"/>
      <c r="F20" s="1">
        <f>+F33</f>
        <v>7.9</v>
      </c>
      <c r="G20" s="1">
        <f t="shared" ref="G20:K20" si="2">+G33</f>
        <v>160</v>
      </c>
      <c r="H20" s="274">
        <f t="shared" ref="H20" si="3">+H33</f>
        <v>100</v>
      </c>
      <c r="I20" s="274">
        <f t="shared" si="2"/>
        <v>10</v>
      </c>
      <c r="J20" s="1">
        <f t="shared" si="2"/>
        <v>0.01</v>
      </c>
      <c r="K20" s="1">
        <f t="shared" si="2"/>
        <v>0.1</v>
      </c>
      <c r="L20" t="s">
        <v>174</v>
      </c>
    </row>
    <row r="21" spans="1:12" x14ac:dyDescent="0.2">
      <c r="A21" s="1">
        <v>2</v>
      </c>
      <c r="B21" s="3" t="s">
        <v>222</v>
      </c>
      <c r="C21" s="1">
        <v>5</v>
      </c>
      <c r="D21" s="274">
        <f t="shared" ref="D21:E21" si="4">+D39</f>
        <v>10</v>
      </c>
      <c r="E21" s="1">
        <f t="shared" si="4"/>
        <v>4</v>
      </c>
      <c r="F21" s="104" t="s">
        <v>173</v>
      </c>
      <c r="G21" s="104" t="s">
        <v>173</v>
      </c>
      <c r="H21" s="274">
        <f t="shared" ref="H21" si="5">+H39</f>
        <v>25</v>
      </c>
      <c r="I21" s="274">
        <f t="shared" ref="I21:K21" si="6">+I39</f>
        <v>2.5</v>
      </c>
      <c r="J21" s="1">
        <f t="shared" si="6"/>
        <v>0.01</v>
      </c>
      <c r="K21" s="1">
        <f t="shared" si="6"/>
        <v>0.3</v>
      </c>
      <c r="L21" t="s">
        <v>414</v>
      </c>
    </row>
    <row r="22" spans="1:12" x14ac:dyDescent="0.2">
      <c r="A22" s="1">
        <v>3</v>
      </c>
      <c r="B22" s="3" t="s">
        <v>223</v>
      </c>
      <c r="C22" s="1">
        <v>5</v>
      </c>
      <c r="D22" s="274">
        <f t="shared" ref="D22:E22" si="7">+D48</f>
        <v>10</v>
      </c>
      <c r="E22" s="1">
        <f t="shared" si="7"/>
        <v>0</v>
      </c>
      <c r="F22" s="104" t="s">
        <v>173</v>
      </c>
      <c r="G22" s="104" t="s">
        <v>173</v>
      </c>
      <c r="H22" s="274">
        <f t="shared" ref="H22" si="8">+H48</f>
        <v>8</v>
      </c>
      <c r="I22" s="274">
        <f t="shared" ref="I22:K22" si="9">+I48</f>
        <v>0.8</v>
      </c>
      <c r="J22" s="1">
        <f t="shared" si="9"/>
        <v>5.0000000000000001E-4</v>
      </c>
      <c r="K22" s="1">
        <f t="shared" si="9"/>
        <v>2.9999999999999996E-3</v>
      </c>
      <c r="L22" t="s">
        <v>171</v>
      </c>
    </row>
    <row r="23" spans="1:12" x14ac:dyDescent="0.2">
      <c r="A23" s="1">
        <v>101</v>
      </c>
      <c r="B23" s="6" t="s">
        <v>224</v>
      </c>
      <c r="C23" s="117">
        <v>10</v>
      </c>
      <c r="D23" s="117">
        <v>100</v>
      </c>
      <c r="E23" s="350"/>
      <c r="F23" s="351">
        <v>7.9</v>
      </c>
      <c r="G23" s="351">
        <v>19</v>
      </c>
      <c r="H23" s="351">
        <v>100</v>
      </c>
      <c r="I23" s="274">
        <v>10</v>
      </c>
      <c r="J23" s="1">
        <v>2E-3</v>
      </c>
      <c r="K23" s="1">
        <v>0.02</v>
      </c>
    </row>
    <row r="24" spans="1:12" x14ac:dyDescent="0.2">
      <c r="A24" s="1">
        <v>102</v>
      </c>
      <c r="B24" s="6" t="s">
        <v>323</v>
      </c>
      <c r="C24" s="117">
        <f>+C23</f>
        <v>10</v>
      </c>
      <c r="D24" s="117">
        <f>+D23</f>
        <v>100</v>
      </c>
      <c r="E24" s="350"/>
      <c r="F24" s="351">
        <v>4.5</v>
      </c>
      <c r="G24" s="351">
        <v>12</v>
      </c>
      <c r="H24" s="117">
        <v>100</v>
      </c>
      <c r="I24" s="274">
        <v>10</v>
      </c>
      <c r="J24" s="1">
        <v>0.02</v>
      </c>
      <c r="K24" s="1">
        <v>0.2</v>
      </c>
    </row>
    <row r="25" spans="1:12" x14ac:dyDescent="0.2">
      <c r="A25" s="1">
        <v>103</v>
      </c>
      <c r="B25" s="6" t="s">
        <v>309</v>
      </c>
      <c r="C25" s="117">
        <f t="shared" ref="C25:D35" si="10">+C24</f>
        <v>10</v>
      </c>
      <c r="D25" s="117">
        <f t="shared" si="10"/>
        <v>100</v>
      </c>
      <c r="E25" s="350"/>
      <c r="F25" s="351">
        <v>4.5</v>
      </c>
      <c r="G25" s="351">
        <v>49</v>
      </c>
      <c r="H25" s="117">
        <f t="shared" ref="H25:H35" si="11">+H24</f>
        <v>100</v>
      </c>
      <c r="I25" s="274">
        <v>10</v>
      </c>
      <c r="J25" s="1">
        <v>2E-3</v>
      </c>
      <c r="K25" s="1">
        <v>0.02</v>
      </c>
    </row>
    <row r="26" spans="1:12" x14ac:dyDescent="0.2">
      <c r="A26" s="1">
        <v>104</v>
      </c>
      <c r="B26" s="6" t="s">
        <v>327</v>
      </c>
      <c r="C26" s="117">
        <f t="shared" si="10"/>
        <v>10</v>
      </c>
      <c r="D26" s="117">
        <f t="shared" si="10"/>
        <v>100</v>
      </c>
      <c r="E26" s="350"/>
      <c r="F26" s="352">
        <v>2</v>
      </c>
      <c r="G26" s="351">
        <v>17</v>
      </c>
      <c r="H26" s="117">
        <f t="shared" si="11"/>
        <v>100</v>
      </c>
      <c r="I26" s="274">
        <v>10</v>
      </c>
      <c r="J26" s="1">
        <v>4.0000000000000001E-3</v>
      </c>
      <c r="K26" s="1">
        <v>0.04</v>
      </c>
    </row>
    <row r="27" spans="1:12" x14ac:dyDescent="0.2">
      <c r="A27" s="1">
        <v>105</v>
      </c>
      <c r="B27" s="6" t="s">
        <v>329</v>
      </c>
      <c r="C27" s="117">
        <f t="shared" si="10"/>
        <v>10</v>
      </c>
      <c r="D27" s="117">
        <f t="shared" si="10"/>
        <v>100</v>
      </c>
      <c r="E27" s="350"/>
      <c r="F27" s="351">
        <v>7.9</v>
      </c>
      <c r="G27" s="352">
        <v>35</v>
      </c>
      <c r="H27" s="117">
        <f t="shared" si="11"/>
        <v>100</v>
      </c>
      <c r="I27" s="274">
        <v>10</v>
      </c>
      <c r="J27" s="1">
        <v>0.1</v>
      </c>
      <c r="K27" s="1">
        <v>1</v>
      </c>
    </row>
    <row r="28" spans="1:12" x14ac:dyDescent="0.2">
      <c r="A28" s="1">
        <v>106</v>
      </c>
      <c r="B28" s="6" t="s">
        <v>330</v>
      </c>
      <c r="C28" s="117">
        <f t="shared" si="10"/>
        <v>10</v>
      </c>
      <c r="D28" s="117">
        <f t="shared" si="10"/>
        <v>100</v>
      </c>
      <c r="E28" s="350"/>
      <c r="F28" s="351">
        <v>7.9</v>
      </c>
      <c r="G28" s="351">
        <v>36</v>
      </c>
      <c r="H28" s="117">
        <f t="shared" si="11"/>
        <v>100</v>
      </c>
      <c r="I28" s="274">
        <v>10</v>
      </c>
      <c r="J28" s="1">
        <v>0.04</v>
      </c>
      <c r="K28" s="1">
        <v>0.4</v>
      </c>
    </row>
    <row r="29" spans="1:12" x14ac:dyDescent="0.2">
      <c r="A29" s="375">
        <v>107</v>
      </c>
      <c r="B29" s="376" t="s">
        <v>232</v>
      </c>
      <c r="C29" s="350">
        <f t="shared" si="10"/>
        <v>10</v>
      </c>
      <c r="D29" s="350">
        <f t="shared" si="10"/>
        <v>100</v>
      </c>
      <c r="E29" s="350"/>
      <c r="F29" s="377">
        <v>7.9</v>
      </c>
      <c r="G29" s="377">
        <v>36</v>
      </c>
      <c r="H29" s="350">
        <f t="shared" si="11"/>
        <v>100</v>
      </c>
      <c r="I29" s="375">
        <v>10</v>
      </c>
      <c r="J29" s="375">
        <v>0.04</v>
      </c>
      <c r="K29" s="375">
        <v>0.4</v>
      </c>
    </row>
    <row r="30" spans="1:12" x14ac:dyDescent="0.2">
      <c r="A30" s="1">
        <v>108</v>
      </c>
      <c r="B30" s="6" t="s">
        <v>331</v>
      </c>
      <c r="C30" s="117">
        <f t="shared" si="10"/>
        <v>10</v>
      </c>
      <c r="D30" s="117">
        <f t="shared" si="10"/>
        <v>100</v>
      </c>
      <c r="E30" s="350"/>
      <c r="F30" s="352">
        <v>2</v>
      </c>
      <c r="G30" s="351">
        <v>81</v>
      </c>
      <c r="H30" s="117">
        <f t="shared" si="11"/>
        <v>100</v>
      </c>
      <c r="I30" s="274">
        <v>10</v>
      </c>
      <c r="J30" s="1">
        <v>1</v>
      </c>
      <c r="K30" s="117">
        <v>3</v>
      </c>
    </row>
    <row r="31" spans="1:12" x14ac:dyDescent="0.2">
      <c r="A31" s="1">
        <v>109</v>
      </c>
      <c r="B31" s="6" t="s">
        <v>332</v>
      </c>
      <c r="C31" s="117">
        <f t="shared" si="10"/>
        <v>10</v>
      </c>
      <c r="D31" s="117">
        <f t="shared" si="10"/>
        <v>100</v>
      </c>
      <c r="E31" s="350"/>
      <c r="F31" s="352">
        <v>2</v>
      </c>
      <c r="G31" s="352">
        <v>50</v>
      </c>
      <c r="H31" s="117">
        <f t="shared" si="11"/>
        <v>100</v>
      </c>
      <c r="I31" s="274">
        <v>10</v>
      </c>
      <c r="J31" s="1">
        <v>6.0000000000000001E-3</v>
      </c>
      <c r="K31" s="1">
        <v>0.06</v>
      </c>
    </row>
    <row r="32" spans="1:12" x14ac:dyDescent="0.2">
      <c r="A32" s="1">
        <v>110</v>
      </c>
      <c r="B32" s="6" t="s">
        <v>333</v>
      </c>
      <c r="C32" s="117">
        <f t="shared" si="10"/>
        <v>10</v>
      </c>
      <c r="D32" s="117">
        <f t="shared" si="10"/>
        <v>100</v>
      </c>
      <c r="E32" s="350"/>
      <c r="F32" s="351">
        <v>7.9</v>
      </c>
      <c r="G32" s="351">
        <v>68</v>
      </c>
      <c r="H32" s="117">
        <f t="shared" si="11"/>
        <v>100</v>
      </c>
      <c r="I32" s="274">
        <v>10</v>
      </c>
      <c r="J32" s="1">
        <v>0.03</v>
      </c>
      <c r="K32" s="1">
        <v>0.3</v>
      </c>
    </row>
    <row r="33" spans="1:11" x14ac:dyDescent="0.2">
      <c r="A33" s="1">
        <v>111</v>
      </c>
      <c r="B33" s="6" t="s">
        <v>334</v>
      </c>
      <c r="C33" s="117">
        <f t="shared" si="10"/>
        <v>10</v>
      </c>
      <c r="D33" s="117">
        <f t="shared" si="10"/>
        <v>100</v>
      </c>
      <c r="E33" s="350"/>
      <c r="F33" s="351">
        <v>7.9</v>
      </c>
      <c r="G33" s="351">
        <v>160</v>
      </c>
      <c r="H33" s="117">
        <f>+H32</f>
        <v>100</v>
      </c>
      <c r="I33" s="274">
        <v>10</v>
      </c>
      <c r="J33" s="1">
        <v>0.01</v>
      </c>
      <c r="K33" s="1">
        <v>0.1</v>
      </c>
    </row>
    <row r="34" spans="1:11" x14ac:dyDescent="0.2">
      <c r="A34" s="1">
        <v>112</v>
      </c>
      <c r="B34" s="6" t="s">
        <v>335</v>
      </c>
      <c r="C34" s="117">
        <f t="shared" si="10"/>
        <v>10</v>
      </c>
      <c r="D34" s="117">
        <f t="shared" si="10"/>
        <v>100</v>
      </c>
      <c r="E34" s="350"/>
      <c r="F34" s="351">
        <v>0.03</v>
      </c>
      <c r="G34" s="351">
        <v>46</v>
      </c>
      <c r="H34" s="117">
        <f t="shared" si="11"/>
        <v>100</v>
      </c>
      <c r="I34" s="274">
        <v>10</v>
      </c>
      <c r="J34" s="1">
        <v>2E-3</v>
      </c>
      <c r="K34" s="1">
        <v>0.02</v>
      </c>
    </row>
    <row r="35" spans="1:11" x14ac:dyDescent="0.2">
      <c r="A35" s="1">
        <v>113</v>
      </c>
      <c r="B35" s="6" t="s">
        <v>244</v>
      </c>
      <c r="C35" s="117">
        <f t="shared" si="10"/>
        <v>10</v>
      </c>
      <c r="D35" s="117">
        <f t="shared" si="10"/>
        <v>100</v>
      </c>
      <c r="E35" s="351"/>
      <c r="F35" s="352">
        <v>2</v>
      </c>
      <c r="G35" s="351">
        <v>59</v>
      </c>
      <c r="H35" s="117">
        <f t="shared" si="11"/>
        <v>100</v>
      </c>
      <c r="I35" s="274">
        <v>10</v>
      </c>
      <c r="J35" s="1">
        <v>0.01</v>
      </c>
      <c r="K35" s="1">
        <v>0.1</v>
      </c>
    </row>
    <row r="36" spans="1:11" x14ac:dyDescent="0.2">
      <c r="A36" s="1">
        <v>201</v>
      </c>
      <c r="B36" s="6" t="s">
        <v>409</v>
      </c>
      <c r="C36" s="117">
        <f>+C21</f>
        <v>5</v>
      </c>
      <c r="D36" s="117">
        <f>+D21</f>
        <v>10</v>
      </c>
      <c r="E36" s="352">
        <v>10</v>
      </c>
      <c r="F36" s="353" t="s">
        <v>173</v>
      </c>
      <c r="G36" s="353" t="s">
        <v>173</v>
      </c>
      <c r="H36" s="117">
        <f>5*0+8</f>
        <v>8</v>
      </c>
      <c r="I36" s="275">
        <v>0.8</v>
      </c>
      <c r="J36" s="120">
        <v>0.01</v>
      </c>
      <c r="K36" s="119">
        <v>0.3</v>
      </c>
    </row>
    <row r="37" spans="1:11" x14ac:dyDescent="0.2">
      <c r="A37" s="1">
        <v>202</v>
      </c>
      <c r="B37" s="6" t="s">
        <v>392</v>
      </c>
      <c r="C37" s="117">
        <f>+C36</f>
        <v>5</v>
      </c>
      <c r="D37" s="117">
        <f>+D36</f>
        <v>10</v>
      </c>
      <c r="E37" s="351">
        <v>11</v>
      </c>
      <c r="F37" s="353" t="s">
        <v>173</v>
      </c>
      <c r="G37" s="353" t="s">
        <v>173</v>
      </c>
      <c r="H37" s="117">
        <f>5*0+8</f>
        <v>8</v>
      </c>
      <c r="I37" s="275">
        <v>0.8</v>
      </c>
      <c r="J37" s="120">
        <v>0.01</v>
      </c>
      <c r="K37" s="119">
        <v>0.3</v>
      </c>
    </row>
    <row r="38" spans="1:11" x14ac:dyDescent="0.2">
      <c r="A38" s="1">
        <v>203</v>
      </c>
      <c r="B38" s="6" t="s">
        <v>403</v>
      </c>
      <c r="C38" s="117">
        <f t="shared" ref="C38:D49" si="12">+C37</f>
        <v>5</v>
      </c>
      <c r="D38" s="117">
        <v>10</v>
      </c>
      <c r="E38" s="351">
        <v>7.9</v>
      </c>
      <c r="F38" s="353" t="s">
        <v>173</v>
      </c>
      <c r="G38" s="353" t="s">
        <v>173</v>
      </c>
      <c r="H38" s="351">
        <v>8</v>
      </c>
      <c r="I38" s="275">
        <v>0.8</v>
      </c>
      <c r="J38" s="120">
        <v>5.0000000000000001E-4</v>
      </c>
      <c r="K38" s="119">
        <v>5.0000000000000001E-3</v>
      </c>
    </row>
    <row r="39" spans="1:11" x14ac:dyDescent="0.2">
      <c r="A39" s="1">
        <v>204</v>
      </c>
      <c r="B39" s="6" t="s">
        <v>415</v>
      </c>
      <c r="C39" s="117">
        <f t="shared" si="12"/>
        <v>5</v>
      </c>
      <c r="D39" s="117">
        <f t="shared" si="12"/>
        <v>10</v>
      </c>
      <c r="E39" s="351">
        <v>4</v>
      </c>
      <c r="F39" s="353" t="s">
        <v>173</v>
      </c>
      <c r="G39" s="353" t="s">
        <v>173</v>
      </c>
      <c r="H39" s="117">
        <f>25</f>
        <v>25</v>
      </c>
      <c r="I39" s="275">
        <v>2.5</v>
      </c>
      <c r="J39" s="120">
        <v>0.01</v>
      </c>
      <c r="K39" s="119">
        <v>0.3</v>
      </c>
    </row>
    <row r="40" spans="1:11" x14ac:dyDescent="0.2">
      <c r="A40" s="1">
        <v>205</v>
      </c>
      <c r="B40" s="6" t="s">
        <v>397</v>
      </c>
      <c r="C40" s="117">
        <f t="shared" si="12"/>
        <v>5</v>
      </c>
      <c r="D40" s="351">
        <v>30</v>
      </c>
      <c r="E40" s="352">
        <v>1</v>
      </c>
      <c r="F40" s="353" t="s">
        <v>173</v>
      </c>
      <c r="G40" s="353" t="s">
        <v>173</v>
      </c>
      <c r="H40" s="117">
        <f>50</f>
        <v>50</v>
      </c>
      <c r="I40" s="275">
        <v>5</v>
      </c>
      <c r="J40" s="120">
        <v>0.05</v>
      </c>
      <c r="K40" s="119">
        <v>1.5</v>
      </c>
    </row>
    <row r="41" spans="1:11" x14ac:dyDescent="0.2">
      <c r="A41" s="1">
        <v>206</v>
      </c>
      <c r="B41" s="6" t="s">
        <v>419</v>
      </c>
      <c r="C41" s="117">
        <f t="shared" si="12"/>
        <v>5</v>
      </c>
      <c r="D41" s="351">
        <v>30</v>
      </c>
      <c r="E41" s="354">
        <v>1</v>
      </c>
      <c r="F41" s="353" t="s">
        <v>173</v>
      </c>
      <c r="G41" s="353" t="s">
        <v>173</v>
      </c>
      <c r="H41" s="351">
        <v>25</v>
      </c>
      <c r="I41" s="275">
        <v>2.5</v>
      </c>
      <c r="J41" s="120">
        <v>0.8</v>
      </c>
      <c r="K41" s="119">
        <v>24</v>
      </c>
    </row>
    <row r="42" spans="1:11" x14ac:dyDescent="0.2">
      <c r="A42" s="1">
        <v>207</v>
      </c>
      <c r="B42" s="6" t="s">
        <v>424</v>
      </c>
      <c r="C42" s="117">
        <f t="shared" si="12"/>
        <v>5</v>
      </c>
      <c r="D42" s="351">
        <v>30</v>
      </c>
      <c r="E42" s="354">
        <v>0.1</v>
      </c>
      <c r="F42" s="353" t="s">
        <v>173</v>
      </c>
      <c r="G42" s="353" t="s">
        <v>173</v>
      </c>
      <c r="H42" s="355">
        <v>25</v>
      </c>
      <c r="I42" s="275">
        <v>2.5</v>
      </c>
      <c r="J42" s="120">
        <v>1</v>
      </c>
      <c r="K42" s="119">
        <v>30</v>
      </c>
    </row>
    <row r="43" spans="1:11" x14ac:dyDescent="0.2">
      <c r="A43" s="1">
        <v>208</v>
      </c>
      <c r="B43" s="6" t="s">
        <v>404</v>
      </c>
      <c r="C43" s="117">
        <f t="shared" si="12"/>
        <v>5</v>
      </c>
      <c r="D43" s="117">
        <v>10</v>
      </c>
      <c r="E43" s="354">
        <v>5</v>
      </c>
      <c r="F43" s="353" t="s">
        <v>173</v>
      </c>
      <c r="G43" s="353" t="s">
        <v>173</v>
      </c>
      <c r="H43" s="355">
        <v>8</v>
      </c>
      <c r="I43" s="275">
        <v>0.8</v>
      </c>
      <c r="J43" s="120">
        <v>0.01</v>
      </c>
      <c r="K43" s="119">
        <v>0.3</v>
      </c>
    </row>
    <row r="44" spans="1:11" x14ac:dyDescent="0.2">
      <c r="A44" s="1">
        <v>209</v>
      </c>
      <c r="B44" s="6" t="s">
        <v>398</v>
      </c>
      <c r="C44" s="117">
        <f t="shared" si="12"/>
        <v>5</v>
      </c>
      <c r="D44" s="351">
        <v>100</v>
      </c>
      <c r="E44" s="351">
        <v>9.9</v>
      </c>
      <c r="F44" s="353" t="s">
        <v>173</v>
      </c>
      <c r="G44" s="353" t="s">
        <v>173</v>
      </c>
      <c r="H44" s="117">
        <v>8</v>
      </c>
      <c r="I44" s="274">
        <v>0.8</v>
      </c>
      <c r="J44" s="5">
        <v>0.1</v>
      </c>
      <c r="K44" s="1">
        <v>1</v>
      </c>
    </row>
    <row r="45" spans="1:11" x14ac:dyDescent="0.2">
      <c r="A45" s="1">
        <v>301</v>
      </c>
      <c r="B45" s="6" t="s">
        <v>255</v>
      </c>
      <c r="C45" s="117">
        <f t="shared" si="12"/>
        <v>5</v>
      </c>
      <c r="D45" s="117">
        <v>10</v>
      </c>
      <c r="E45" s="350"/>
      <c r="F45" s="351">
        <v>0.49</v>
      </c>
      <c r="G45" s="354">
        <v>300</v>
      </c>
      <c r="H45" s="351">
        <v>8</v>
      </c>
      <c r="I45" s="274">
        <v>0.8</v>
      </c>
      <c r="J45" s="5">
        <v>3.0000000000000001E-3</v>
      </c>
      <c r="K45" s="1">
        <v>0.03</v>
      </c>
    </row>
    <row r="46" spans="1:11" x14ac:dyDescent="0.2">
      <c r="A46" s="1">
        <v>302</v>
      </c>
      <c r="B46" s="6" t="s">
        <v>257</v>
      </c>
      <c r="C46" s="117">
        <f t="shared" si="12"/>
        <v>5</v>
      </c>
      <c r="D46" s="117">
        <f t="shared" si="12"/>
        <v>10</v>
      </c>
      <c r="E46" s="350"/>
      <c r="F46" s="351">
        <v>0.19</v>
      </c>
      <c r="G46" s="351">
        <v>670</v>
      </c>
      <c r="H46" s="117">
        <v>8</v>
      </c>
      <c r="I46" s="274">
        <v>0.8</v>
      </c>
      <c r="J46" s="5">
        <v>6.0000000000000001E-3</v>
      </c>
      <c r="K46" s="1">
        <v>0.06</v>
      </c>
    </row>
    <row r="47" spans="1:11" x14ac:dyDescent="0.2">
      <c r="A47" s="1">
        <v>303</v>
      </c>
      <c r="B47" s="6" t="s">
        <v>259</v>
      </c>
      <c r="C47" s="117">
        <f t="shared" si="12"/>
        <v>5</v>
      </c>
      <c r="D47" s="117">
        <f t="shared" si="12"/>
        <v>10</v>
      </c>
      <c r="E47" s="350"/>
      <c r="F47" s="351">
        <v>0.22</v>
      </c>
      <c r="G47" s="351">
        <v>900</v>
      </c>
      <c r="H47" s="117">
        <v>8</v>
      </c>
      <c r="I47" s="274">
        <v>0.8</v>
      </c>
      <c r="J47" s="5">
        <v>0.02</v>
      </c>
      <c r="K47" s="1">
        <v>0.2</v>
      </c>
    </row>
    <row r="48" spans="1:11" x14ac:dyDescent="0.2">
      <c r="A48" s="1">
        <v>304</v>
      </c>
      <c r="B48" s="6" t="s">
        <v>261</v>
      </c>
      <c r="C48" s="117">
        <f t="shared" si="12"/>
        <v>5</v>
      </c>
      <c r="D48" s="117">
        <f t="shared" si="12"/>
        <v>10</v>
      </c>
      <c r="E48" s="350"/>
      <c r="F48" s="354" t="s">
        <v>173</v>
      </c>
      <c r="G48" s="354">
        <v>250000</v>
      </c>
      <c r="H48" s="117">
        <v>8</v>
      </c>
      <c r="I48" s="274">
        <v>0.8</v>
      </c>
      <c r="J48" s="5">
        <v>5.0000000000000001E-4</v>
      </c>
      <c r="K48" s="1">
        <v>2.9999999999999996E-3</v>
      </c>
    </row>
    <row r="49" spans="1:11" x14ac:dyDescent="0.2">
      <c r="A49" s="1">
        <v>305</v>
      </c>
      <c r="B49" s="6" t="s">
        <v>428</v>
      </c>
      <c r="C49" s="1">
        <f t="shared" si="12"/>
        <v>5</v>
      </c>
      <c r="D49" s="1">
        <f t="shared" si="12"/>
        <v>10</v>
      </c>
      <c r="E49" s="350"/>
      <c r="F49" s="351">
        <v>0.16</v>
      </c>
      <c r="G49" s="354">
        <v>650</v>
      </c>
      <c r="H49" s="1">
        <v>8</v>
      </c>
      <c r="I49" s="274">
        <v>0.8</v>
      </c>
      <c r="J49" s="5">
        <v>0.1</v>
      </c>
      <c r="K49" s="1">
        <v>1</v>
      </c>
    </row>
  </sheetData>
  <sortState ref="H7:H11">
    <sortCondition ref="H7"/>
  </sortState>
  <mergeCells count="2">
    <mergeCell ref="A17:A19"/>
    <mergeCell ref="A4:A6"/>
  </mergeCells>
  <phoneticPr fontId="4"/>
  <pageMargins left="0.7" right="0.7" top="0.75" bottom="0.75" header="0.3" footer="0.3"/>
  <pageSetup paperSize="9" orientation="portrait" horizontalDpi="300" verticalDpi="300" r:id="rId1"/>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+入力シート_シアン!F20</f>
        <v>シアン</v>
      </c>
      <c r="D6" s="721"/>
      <c r="E6" s="722"/>
      <c r="F6" s="17"/>
      <c r="G6" s="18" t="str">
        <f>$C$6</f>
        <v>シアン</v>
      </c>
      <c r="L6" s="102"/>
      <c r="M6" s="15"/>
      <c r="N6" s="15"/>
      <c r="O6" s="15"/>
      <c r="P6" s="15"/>
      <c r="Q6" s="15"/>
      <c r="R6" s="15"/>
      <c r="S6" s="15"/>
    </row>
    <row r="7" spans="2:19" ht="13.5" thickBot="1" x14ac:dyDescent="0.25">
      <c r="B7" s="19" t="s">
        <v>87</v>
      </c>
      <c r="C7" s="723" t="s">
        <v>88</v>
      </c>
      <c r="D7" s="724"/>
      <c r="E7" s="725"/>
      <c r="F7" s="20" t="s">
        <v>89</v>
      </c>
      <c r="G7" s="21">
        <f>+入力シート_シアン!R14</f>
        <v>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++入力シート_シアン!J32</f>
        <v>30</v>
      </c>
      <c r="L9" s="102"/>
      <c r="M9" s="15"/>
      <c r="N9" s="15"/>
      <c r="O9" s="15"/>
      <c r="P9" s="15"/>
      <c r="Q9" s="15"/>
      <c r="R9" s="15"/>
      <c r="S9" s="15"/>
    </row>
    <row r="10" spans="2:19" ht="18" x14ac:dyDescent="0.2">
      <c r="B10" s="26" t="s">
        <v>91</v>
      </c>
      <c r="C10" s="686" t="s">
        <v>72</v>
      </c>
      <c r="D10" s="689"/>
      <c r="E10" s="687"/>
      <c r="F10" s="362" t="s">
        <v>43</v>
      </c>
      <c r="G10" s="28">
        <f>+入力シート_シアン!J33</f>
        <v>15</v>
      </c>
      <c r="L10" s="102"/>
      <c r="M10" s="15"/>
      <c r="N10" s="15"/>
      <c r="O10" s="15"/>
      <c r="P10" s="15"/>
      <c r="Q10" s="15"/>
      <c r="R10" s="15"/>
      <c r="S10" s="15"/>
    </row>
    <row r="11" spans="2:19" ht="18" x14ac:dyDescent="0.2">
      <c r="B11" s="26" t="s">
        <v>73</v>
      </c>
      <c r="C11" s="686" t="s">
        <v>74</v>
      </c>
      <c r="D11" s="689"/>
      <c r="E11" s="687"/>
      <c r="F11" s="362" t="s">
        <v>43</v>
      </c>
      <c r="G11" s="28">
        <f>+入力シート_シアン!J24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入力シート_シアン!J30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入力シート_シアン!R20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入力シート_シアン!F27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入力シート_シアン!R21</f>
        <v>0.3</v>
      </c>
      <c r="L23" s="70"/>
      <c r="M23" s="15"/>
      <c r="N23" s="15"/>
      <c r="O23" s="15"/>
      <c r="P23" s="15"/>
      <c r="Q23" s="15"/>
      <c r="R23" s="15"/>
      <c r="S23" s="15"/>
    </row>
    <row r="24" spans="1:19" ht="18" x14ac:dyDescent="0.2">
      <c r="A24" s="37"/>
      <c r="B24" s="26" t="s">
        <v>163</v>
      </c>
      <c r="C24" s="688" t="s">
        <v>177</v>
      </c>
      <c r="D24" s="689"/>
      <c r="E24" s="687"/>
      <c r="F24" s="362" t="s">
        <v>51</v>
      </c>
      <c r="G24" s="28">
        <f>入力シート_シアン!R22</f>
        <v>0.4</v>
      </c>
      <c r="L24" s="70"/>
      <c r="M24" s="15"/>
      <c r="N24" s="15"/>
      <c r="O24" s="15"/>
      <c r="P24" s="15"/>
      <c r="Q24" s="15"/>
      <c r="R24" s="15"/>
      <c r="S24" s="15"/>
    </row>
    <row r="25" spans="1:19" ht="21" x14ac:dyDescent="0.2">
      <c r="A25" s="37"/>
      <c r="B25" s="26" t="s">
        <v>101</v>
      </c>
      <c r="C25" s="686" t="s">
        <v>46</v>
      </c>
      <c r="D25" s="689"/>
      <c r="E25" s="687"/>
      <c r="F25" s="362" t="s">
        <v>43</v>
      </c>
      <c r="G25" s="43">
        <f>入力シート_シアン!R12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入力シート_シアン!R13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入力シート_シアン!R13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入力シート_シアン!R11</f>
        <v>-</v>
      </c>
      <c r="L29" s="70"/>
      <c r="M29" s="15"/>
      <c r="N29" s="15"/>
      <c r="O29" s="15"/>
      <c r="P29" s="15"/>
      <c r="Q29" s="15"/>
      <c r="R29" s="15"/>
      <c r="S29" s="15"/>
    </row>
    <row r="30" spans="1:19" ht="14" x14ac:dyDescent="0.3">
      <c r="A30" s="37"/>
      <c r="B30" s="49" t="s">
        <v>107</v>
      </c>
      <c r="C30" s="692" t="s">
        <v>53</v>
      </c>
      <c r="D30" s="692"/>
      <c r="E30" s="692"/>
      <c r="F30" s="364" t="s">
        <v>108</v>
      </c>
      <c r="G30" s="51">
        <f>入力シート_シアン!R9</f>
        <v>9.9</v>
      </c>
      <c r="L30" s="70"/>
      <c r="M30" s="15"/>
      <c r="N30" s="15"/>
      <c r="O30" s="15"/>
      <c r="P30" s="15"/>
      <c r="Q30" s="15"/>
      <c r="R30" s="15"/>
      <c r="S30" s="15"/>
    </row>
    <row r="31" spans="1:19" ht="18" x14ac:dyDescent="0.4">
      <c r="A31" s="37"/>
      <c r="B31" s="52" t="s">
        <v>109</v>
      </c>
      <c r="C31" s="692" t="s">
        <v>110</v>
      </c>
      <c r="D31" s="692"/>
      <c r="E31" s="692"/>
      <c r="F31" s="364" t="s">
        <v>111</v>
      </c>
      <c r="G31" s="51" t="str">
        <f>IF(A31="",入力シート_シアン!R10,A31)</f>
        <v>-</v>
      </c>
      <c r="L31" s="70"/>
      <c r="M31" s="15"/>
      <c r="N31" s="15"/>
      <c r="O31" s="15"/>
      <c r="P31" s="15"/>
      <c r="Q31" s="15"/>
      <c r="R31" s="15"/>
      <c r="S31" s="15"/>
    </row>
    <row r="32" spans="1:19" ht="18.5" thickBot="1" x14ac:dyDescent="0.45">
      <c r="A32" s="37"/>
      <c r="B32" s="53" t="s">
        <v>112</v>
      </c>
      <c r="C32" s="695" t="s">
        <v>113</v>
      </c>
      <c r="D32" s="695"/>
      <c r="E32" s="695"/>
      <c r="F32" s="365" t="s">
        <v>114</v>
      </c>
      <c r="G32" s="55">
        <f>入力シート_シアン!R25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入力シート_シアン!R24</f>
        <v>1.62</v>
      </c>
      <c r="L34" s="15"/>
      <c r="M34" s="15"/>
      <c r="N34" s="15"/>
      <c r="O34" s="15"/>
      <c r="P34" s="15"/>
      <c r="Q34" s="15"/>
      <c r="R34" s="15"/>
      <c r="S34" s="15"/>
    </row>
    <row r="35" spans="1:19" ht="18" x14ac:dyDescent="0.2">
      <c r="B35" s="26" t="s">
        <v>118</v>
      </c>
      <c r="C35" s="686" t="s">
        <v>119</v>
      </c>
      <c r="D35" s="689"/>
      <c r="E35" s="687"/>
      <c r="F35" s="362" t="s">
        <v>120</v>
      </c>
      <c r="G35" s="43">
        <f>+入力シート_シアン!J35*0.365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54.46</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0.21612559487246805</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0.1044000247456647</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シアン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0.1044000247456647</v>
      </c>
      <c r="H63" s="139"/>
      <c r="I63" s="139"/>
      <c r="J63" s="79"/>
      <c r="K63" s="84"/>
      <c r="L63" s="691"/>
      <c r="M63" s="691"/>
      <c r="N63" s="691"/>
      <c r="O63" s="74"/>
      <c r="P63" s="85"/>
      <c r="Q63" s="47"/>
    </row>
    <row r="64" spans="1:17" ht="16.5" x14ac:dyDescent="0.2">
      <c r="B64" s="87"/>
      <c r="C64" s="693" t="s">
        <v>150</v>
      </c>
      <c r="D64" s="693"/>
      <c r="E64" s="693"/>
      <c r="F64" s="88">
        <f>+G64/G63*F63</f>
        <v>0.95785417909254456</v>
      </c>
      <c r="G64" s="83">
        <f>+G7</f>
        <v>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0.95</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1.319514974035196E-2</v>
      </c>
      <c r="H68" s="139"/>
      <c r="I68" s="139"/>
      <c r="J68" s="79"/>
    </row>
    <row r="69" spans="2:10" x14ac:dyDescent="0.2">
      <c r="B69" s="81"/>
      <c r="C69" s="686" t="s">
        <v>150</v>
      </c>
      <c r="D69" s="687"/>
      <c r="E69" s="364" t="s">
        <v>153</v>
      </c>
      <c r="F69" s="86">
        <f>+G69/G68*F68</f>
        <v>0.95785417909254456</v>
      </c>
      <c r="G69" s="83">
        <f>+G64</f>
        <v>0.1</v>
      </c>
      <c r="H69" s="139"/>
      <c r="I69" s="139"/>
      <c r="J69" s="79"/>
    </row>
    <row r="70" spans="2:10" x14ac:dyDescent="0.2">
      <c r="B70" s="81"/>
      <c r="C70" s="683" t="s">
        <v>154</v>
      </c>
      <c r="D70" s="683"/>
      <c r="E70" s="93">
        <f>+F69/F68*E68</f>
        <v>7.5785422649802126</v>
      </c>
      <c r="F70" s="47"/>
      <c r="G70" s="47"/>
      <c r="H70" s="47"/>
      <c r="I70" s="47"/>
      <c r="J70" s="79"/>
    </row>
    <row r="71" spans="2:10" x14ac:dyDescent="0.2">
      <c r="B71" s="81"/>
      <c r="C71" s="683" t="s">
        <v>155</v>
      </c>
      <c r="D71" s="683"/>
      <c r="E71" s="83">
        <f>入力シート_シアン!R15</f>
        <v>1</v>
      </c>
      <c r="F71" s="47"/>
      <c r="G71" s="47"/>
      <c r="H71" s="47"/>
      <c r="I71" s="47"/>
      <c r="J71" s="79"/>
    </row>
    <row r="72" spans="2:10" ht="13.5" thickBot="1" x14ac:dyDescent="0.25">
      <c r="B72" s="81"/>
      <c r="C72" s="47"/>
      <c r="D72" s="47"/>
      <c r="E72" s="74">
        <f>IF(E70&gt;10,ROUNDDOWN(E70,0),IF(E70&gt;1,ROUNDDOWN(E70,1),IF(E70&gt;0.1,ROUNDDOWN(E70,2),IF(E70&gt;0.01,ROUNDDOWN(E70,3),ROUNDDOWN(E70,4)))))</f>
        <v>7.5</v>
      </c>
      <c r="F72" s="47"/>
      <c r="G72" s="47"/>
      <c r="H72" s="47"/>
      <c r="I72" s="47"/>
      <c r="J72" s="79"/>
    </row>
    <row r="73" spans="2:10" ht="13.5" thickBot="1" x14ac:dyDescent="0.25">
      <c r="B73" s="81"/>
      <c r="C73" s="684" t="s">
        <v>156</v>
      </c>
      <c r="D73" s="685"/>
      <c r="E73" s="109">
        <f>IF(E70&gt;E71,E71,E70)</f>
        <v>1</v>
      </c>
      <c r="F73" s="95" t="s">
        <v>157</v>
      </c>
      <c r="G73" s="47"/>
      <c r="H73" s="47"/>
      <c r="I73" s="47"/>
      <c r="J73" s="79"/>
    </row>
    <row r="74" spans="2:10" x14ac:dyDescent="0.2">
      <c r="B74" s="81"/>
      <c r="C74" s="47"/>
      <c r="D74" s="47"/>
      <c r="E74" s="74">
        <f>IF(E73&gt;10,ROUNDDOWN(E73,0),IF(E73&gt;1,ROUNDDOWN(E73,1),IF(E73&gt;0.1,ROUNDDOWN(E73,2),IF(E73&gt;0.01,ROUNDDOWN(E73,3),ROUNDDOWN(E73,4)))))</f>
        <v>1</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0.1044000247456647</v>
      </c>
      <c r="H77" s="139"/>
      <c r="I77" s="139"/>
      <c r="J77" s="79"/>
    </row>
    <row r="78" spans="2:10" x14ac:dyDescent="0.2">
      <c r="B78" s="81"/>
      <c r="C78" s="686" t="s">
        <v>150</v>
      </c>
      <c r="D78" s="687"/>
      <c r="E78" s="364" t="s">
        <v>153</v>
      </c>
      <c r="F78" s="86">
        <f>+F64</f>
        <v>0.95785417909254456</v>
      </c>
      <c r="G78" s="83">
        <f>+G69</f>
        <v>0.1</v>
      </c>
      <c r="H78" s="139"/>
      <c r="I78" s="139"/>
      <c r="J78" s="79"/>
    </row>
    <row r="79" spans="2:10" x14ac:dyDescent="0.2">
      <c r="B79" s="81"/>
      <c r="C79" s="683" t="s">
        <v>154</v>
      </c>
      <c r="D79" s="683"/>
      <c r="E79" s="93">
        <f>+F78/F77*E77</f>
        <v>0.95785417909254456</v>
      </c>
      <c r="F79" s="47"/>
      <c r="G79" s="47"/>
      <c r="H79" s="47"/>
      <c r="I79" s="47"/>
      <c r="J79" s="79"/>
    </row>
    <row r="80" spans="2:10" x14ac:dyDescent="0.2">
      <c r="B80" s="81"/>
      <c r="C80" s="683" t="s">
        <v>155</v>
      </c>
      <c r="D80" s="683"/>
      <c r="E80" s="83">
        <f>+E71</f>
        <v>1</v>
      </c>
      <c r="F80" s="47"/>
      <c r="G80" s="47"/>
      <c r="H80" s="47"/>
      <c r="I80" s="47"/>
      <c r="J80" s="79"/>
    </row>
    <row r="81" spans="2:10" ht="13.5" thickBot="1" x14ac:dyDescent="0.25">
      <c r="B81" s="81"/>
      <c r="C81" s="47"/>
      <c r="D81" s="47"/>
      <c r="E81" s="74">
        <f>IF(E79&gt;10,ROUNDDOWN(E79,0),IF(E79&gt;1,ROUNDDOWN(E79,1),IF(E79&gt;0.1,ROUNDDOWN(E79,2),IF(E79&gt;0.01,ROUNDDOWN(E79,3),ROUNDDOWN(E79,4)))))</f>
        <v>0.95</v>
      </c>
      <c r="F81" s="47"/>
      <c r="G81" s="47"/>
      <c r="H81" s="47"/>
      <c r="I81" s="47"/>
      <c r="J81" s="79"/>
    </row>
    <row r="82" spans="2:10" ht="13.5" thickBot="1" x14ac:dyDescent="0.25">
      <c r="B82" s="81"/>
      <c r="C82" s="684" t="s">
        <v>156</v>
      </c>
      <c r="D82" s="685"/>
      <c r="E82" s="109">
        <f>IF(E79&gt;E80,E80,E79)</f>
        <v>0.95785417909254456</v>
      </c>
      <c r="F82" s="95" t="s">
        <v>157</v>
      </c>
      <c r="G82" s="47"/>
      <c r="H82" s="47"/>
      <c r="I82" s="47"/>
      <c r="J82" s="79"/>
    </row>
    <row r="83" spans="2:10" x14ac:dyDescent="0.2">
      <c r="B83" s="81"/>
      <c r="C83" s="47"/>
      <c r="D83" s="47"/>
      <c r="E83" s="74">
        <f>IF(E82&gt;10,ROUNDDOWN(E82,0),IF(E82&gt;1,ROUNDDOWN(E82,1),IF(E82&gt;0.1,ROUNDDOWN(E82,2),IF(E82&gt;0.01,ROUNDDOWN(E82,3),ROUNDDOWN(E82,4)))))</f>
        <v>0.95</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86" priority="5">
      <formula>$A41&gt;0</formula>
    </cfRule>
  </conditionalFormatting>
  <conditionalFormatting sqref="G30">
    <cfRule type="expression" dxfId="85" priority="4">
      <formula>$A$29&gt;0</formula>
    </cfRule>
  </conditionalFormatting>
  <conditionalFormatting sqref="G31">
    <cfRule type="expression" dxfId="84" priority="3">
      <formula>$A$30&gt;0</formula>
    </cfRule>
  </conditionalFormatting>
  <conditionalFormatting sqref="G32">
    <cfRule type="expression" dxfId="83" priority="2">
      <formula>$A$31&gt;0</formula>
    </cfRule>
  </conditionalFormatting>
  <conditionalFormatting sqref="G9">
    <cfRule type="expression" dxfId="82" priority="6">
      <formula>#REF!&gt;0</formula>
    </cfRule>
  </conditionalFormatting>
  <conditionalFormatting sqref="G11 G25:I27">
    <cfRule type="expression" dxfId="81" priority="7">
      <formula>#REF!&gt;0</formula>
    </cfRule>
  </conditionalFormatting>
  <conditionalFormatting sqref="G18">
    <cfRule type="expression" dxfId="80" priority="8">
      <formula>#REF!&gt;0</formula>
    </cfRule>
  </conditionalFormatting>
  <conditionalFormatting sqref="G22:G24">
    <cfRule type="expression" dxfId="79" priority="9">
      <formula>$A$25&gt;0</formula>
    </cfRule>
  </conditionalFormatting>
  <conditionalFormatting sqref="G23:G24">
    <cfRule type="expression" dxfId="78" priority="10">
      <formula>#REF!&gt;0</formula>
    </cfRule>
  </conditionalFormatting>
  <conditionalFormatting sqref="G21">
    <cfRule type="expression" dxfId="77" priority="11">
      <formula>$A$23&gt;0</formula>
    </cfRule>
  </conditionalFormatting>
  <conditionalFormatting sqref="G12">
    <cfRule type="expression" dxfId="76" priority="1">
      <formula>#REF!&gt;0</formula>
    </cfRule>
  </conditionalFormatting>
  <conditionalFormatting sqref="G34">
    <cfRule type="expression" dxfId="75" priority="12">
      <formula>#REF!&gt;0</formula>
    </cfRule>
  </conditionalFormatting>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topLeftCell="A2"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0.3</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300</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0.49</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3.0000000000000001E-3</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0.03</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346</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301</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+計算シート_シマジン!G39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計算シート_シマジン!G41</f>
        <v>2.62</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IF(入力シート_シマジン!$Y$14=1,"目標土壌溶出量濃度",IF(入力シート_シマジン!$Y$14=2,"目標土壌溶出量濃度",IF(入力シート_シマジン!$Y$14=3,"目標土壌溶出量濃度","PRB通過後の観測点における目標地下水濃度")))</f>
        <v>目標土壌溶出量濃度</v>
      </c>
      <c r="E41" s="527"/>
      <c r="F41" s="527"/>
      <c r="G41" s="528">
        <f>IF($X$14=1,IF(計算シート_シマジン!E83&gt;10000,"&gt;10,000",+計算シート_シマジン!E83),計算シート_シマジン!E74)</f>
        <v>0.03</v>
      </c>
      <c r="H41" s="528"/>
      <c r="I41" s="244" t="s">
        <v>28</v>
      </c>
      <c r="J41" s="155"/>
      <c r="K41" s="529">
        <f>+計算シート_シマジン!E83</f>
        <v>0.03</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74" priority="3">
      <formula>LEN(TRIM(Y13))=0</formula>
    </cfRule>
  </conditionalFormatting>
  <conditionalFormatting sqref="D35:H35 J35:L35">
    <cfRule type="expression" dxfId="73" priority="2">
      <formula>$X$14=1</formula>
    </cfRule>
  </conditionalFormatting>
  <conditionalFormatting sqref="I35">
    <cfRule type="expression" dxfId="72"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29698"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29699"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+入力シート_シマジン!F20</f>
        <v>シマジン</v>
      </c>
      <c r="D6" s="721"/>
      <c r="E6" s="722"/>
      <c r="F6" s="17"/>
      <c r="G6" s="18" t="str">
        <f>$C$6</f>
        <v>シマジン</v>
      </c>
      <c r="L6" s="102"/>
      <c r="M6" s="15"/>
      <c r="N6" s="15"/>
      <c r="O6" s="15"/>
      <c r="P6" s="15"/>
      <c r="Q6" s="15"/>
      <c r="R6" s="15"/>
      <c r="S6" s="15"/>
    </row>
    <row r="7" spans="2:19" ht="13.5" thickBot="1" x14ac:dyDescent="0.25">
      <c r="B7" s="19" t="s">
        <v>87</v>
      </c>
      <c r="C7" s="723" t="s">
        <v>88</v>
      </c>
      <c r="D7" s="724"/>
      <c r="E7" s="725"/>
      <c r="F7" s="20" t="s">
        <v>89</v>
      </c>
      <c r="G7" s="21">
        <f>+入力シート_シマジン!R14</f>
        <v>3.0000000000000001E-3</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++入力シート_シマジン!J32</f>
        <v>30</v>
      </c>
      <c r="L9" s="102"/>
      <c r="M9" s="15"/>
      <c r="N9" s="15"/>
      <c r="O9" s="15"/>
      <c r="P9" s="15"/>
      <c r="Q9" s="15"/>
      <c r="R9" s="15"/>
      <c r="S9" s="15"/>
    </row>
    <row r="10" spans="2:19" ht="18" x14ac:dyDescent="0.2">
      <c r="B10" s="26" t="s">
        <v>91</v>
      </c>
      <c r="C10" s="686" t="s">
        <v>72</v>
      </c>
      <c r="D10" s="689"/>
      <c r="E10" s="687"/>
      <c r="F10" s="362" t="s">
        <v>43</v>
      </c>
      <c r="G10" s="28">
        <f>+入力シート_シマジン!J33</f>
        <v>15</v>
      </c>
      <c r="L10" s="102"/>
      <c r="M10" s="15"/>
      <c r="N10" s="15"/>
      <c r="O10" s="15"/>
      <c r="P10" s="15"/>
      <c r="Q10" s="15"/>
      <c r="R10" s="15"/>
      <c r="S10" s="15"/>
    </row>
    <row r="11" spans="2:19" ht="18" x14ac:dyDescent="0.2">
      <c r="B11" s="26" t="s">
        <v>73</v>
      </c>
      <c r="C11" s="686" t="s">
        <v>74</v>
      </c>
      <c r="D11" s="689"/>
      <c r="E11" s="687"/>
      <c r="F11" s="362" t="s">
        <v>43</v>
      </c>
      <c r="G11" s="28">
        <f>+入力シート_シマジン!J24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入力シート_シマジン!J30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入力シート_シマジン!R20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入力シート_シマジン!F27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入力シート_シマジン!R21</f>
        <v>0.3</v>
      </c>
      <c r="L23" s="70"/>
      <c r="M23" s="15"/>
      <c r="N23" s="15"/>
      <c r="O23" s="15"/>
      <c r="P23" s="15"/>
      <c r="Q23" s="15"/>
      <c r="R23" s="15"/>
      <c r="S23" s="15"/>
    </row>
    <row r="24" spans="1:19" ht="18" x14ac:dyDescent="0.2">
      <c r="A24" s="37"/>
      <c r="B24" s="26" t="s">
        <v>163</v>
      </c>
      <c r="C24" s="688" t="s">
        <v>177</v>
      </c>
      <c r="D24" s="689"/>
      <c r="E24" s="687"/>
      <c r="F24" s="362" t="s">
        <v>51</v>
      </c>
      <c r="G24" s="28">
        <f>入力シート_シマジン!R22</f>
        <v>0.4</v>
      </c>
      <c r="L24" s="70"/>
      <c r="M24" s="15"/>
      <c r="N24" s="15"/>
      <c r="O24" s="15"/>
      <c r="P24" s="15"/>
      <c r="Q24" s="15"/>
      <c r="R24" s="15"/>
      <c r="S24" s="15"/>
    </row>
    <row r="25" spans="1:19" ht="21" x14ac:dyDescent="0.2">
      <c r="A25" s="37"/>
      <c r="B25" s="26" t="s">
        <v>101</v>
      </c>
      <c r="C25" s="686" t="s">
        <v>46</v>
      </c>
      <c r="D25" s="689"/>
      <c r="E25" s="687"/>
      <c r="F25" s="362" t="s">
        <v>43</v>
      </c>
      <c r="G25" s="43">
        <f>入力シート_シマジン!R12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入力シート_シマジン!R13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入力シート_シマジン!R13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入力シート_シマジン!R11</f>
        <v>0.49</v>
      </c>
      <c r="L29" s="70"/>
      <c r="M29" s="15"/>
      <c r="N29" s="15"/>
      <c r="O29" s="15"/>
      <c r="P29" s="15"/>
      <c r="Q29" s="15"/>
      <c r="R29" s="15"/>
      <c r="S29" s="15"/>
    </row>
    <row r="30" spans="1:19" ht="14" x14ac:dyDescent="0.3">
      <c r="A30" s="37"/>
      <c r="B30" s="49" t="s">
        <v>107</v>
      </c>
      <c r="C30" s="692" t="s">
        <v>53</v>
      </c>
      <c r="D30" s="692"/>
      <c r="E30" s="692"/>
      <c r="F30" s="364" t="s">
        <v>108</v>
      </c>
      <c r="G30" s="51">
        <f>入力シート_シマジン!R9</f>
        <v>0.3</v>
      </c>
      <c r="L30" s="70"/>
      <c r="M30" s="15"/>
      <c r="N30" s="15"/>
      <c r="O30" s="15"/>
      <c r="P30" s="15"/>
      <c r="Q30" s="15"/>
      <c r="R30" s="15"/>
      <c r="S30" s="15"/>
    </row>
    <row r="31" spans="1:19" ht="18" x14ac:dyDescent="0.4">
      <c r="A31" s="37"/>
      <c r="B31" s="52" t="s">
        <v>109</v>
      </c>
      <c r="C31" s="692" t="s">
        <v>110</v>
      </c>
      <c r="D31" s="692"/>
      <c r="E31" s="692"/>
      <c r="F31" s="364" t="s">
        <v>111</v>
      </c>
      <c r="G31" s="51">
        <f>IF(A31="",入力シート_シマジン!R10,A31)</f>
        <v>300</v>
      </c>
      <c r="L31" s="70"/>
      <c r="M31" s="15"/>
      <c r="N31" s="15"/>
      <c r="O31" s="15"/>
      <c r="P31" s="15"/>
      <c r="Q31" s="15"/>
      <c r="R31" s="15"/>
      <c r="S31" s="15"/>
    </row>
    <row r="32" spans="1:19" ht="18.5" thickBot="1" x14ac:dyDescent="0.45">
      <c r="A32" s="37"/>
      <c r="B32" s="53" t="s">
        <v>112</v>
      </c>
      <c r="C32" s="695" t="s">
        <v>113</v>
      </c>
      <c r="D32" s="695"/>
      <c r="E32" s="695"/>
      <c r="F32" s="365" t="s">
        <v>114</v>
      </c>
      <c r="G32" s="55">
        <f>入力シート_シマジン!R25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入力シート_シマジン!R24</f>
        <v>1.62</v>
      </c>
      <c r="L34" s="15"/>
      <c r="M34" s="15"/>
      <c r="N34" s="15"/>
      <c r="O34" s="15"/>
      <c r="P34" s="15"/>
      <c r="Q34" s="15"/>
      <c r="R34" s="15"/>
      <c r="S34" s="15"/>
    </row>
    <row r="35" spans="1:19" ht="18" x14ac:dyDescent="0.2">
      <c r="B35" s="26" t="s">
        <v>118</v>
      </c>
      <c r="C35" s="686" t="s">
        <v>119</v>
      </c>
      <c r="D35" s="689"/>
      <c r="E35" s="687"/>
      <c r="F35" s="362" t="s">
        <v>120</v>
      </c>
      <c r="G35" s="43">
        <f>+入力シート_シマジン!J35*0.365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1.4145860827753987</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2.62</v>
      </c>
    </row>
    <row r="42" spans="1:19" ht="18.5" thickBot="1" x14ac:dyDescent="0.25">
      <c r="B42" s="61" t="s">
        <v>131</v>
      </c>
      <c r="R42" s="60"/>
    </row>
    <row r="43" spans="1:19" x14ac:dyDescent="0.2">
      <c r="B43" s="12"/>
      <c r="C43" s="697" t="s">
        <v>132</v>
      </c>
      <c r="D43" s="698"/>
      <c r="E43" s="698"/>
      <c r="F43" s="367"/>
      <c r="G43" s="125">
        <f>SQRT(1+4*$G38*G25/$G39)</f>
        <v>1.6716007947824896</v>
      </c>
      <c r="H43" s="122"/>
      <c r="I43" s="122"/>
      <c r="N43" s="60"/>
      <c r="R43" s="47"/>
    </row>
    <row r="44" spans="1:19" x14ac:dyDescent="0.2">
      <c r="B44" s="62" t="s">
        <v>133</v>
      </c>
      <c r="C44" s="687"/>
      <c r="D44" s="692"/>
      <c r="E44" s="692"/>
      <c r="F44" s="63"/>
      <c r="G44" s="126">
        <f>EXP(G14/(2*G25)*(1-G43))</f>
        <v>3.4804660668533688E-2</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3.3624961793197225E-2</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3.3624961793197225E-2</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シマジン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3.3624961793197225E-2</v>
      </c>
      <c r="H63" s="139"/>
      <c r="I63" s="139"/>
      <c r="J63" s="79"/>
      <c r="K63" s="84"/>
      <c r="L63" s="691"/>
      <c r="M63" s="691"/>
      <c r="N63" s="691"/>
      <c r="O63" s="74"/>
      <c r="P63" s="85"/>
      <c r="Q63" s="47"/>
    </row>
    <row r="64" spans="1:17" ht="16.5" x14ac:dyDescent="0.2">
      <c r="B64" s="87"/>
      <c r="C64" s="693" t="s">
        <v>150</v>
      </c>
      <c r="D64" s="693"/>
      <c r="E64" s="693"/>
      <c r="F64" s="88">
        <f>+G64/G63*F63</f>
        <v>8.9219432231650589E-2</v>
      </c>
      <c r="G64" s="83">
        <f>+G7</f>
        <v>3.0000000000000001E-3</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8.8999999999999996E-2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4.2498687807377691E-3</v>
      </c>
      <c r="H68" s="139"/>
      <c r="I68" s="139"/>
      <c r="J68" s="79"/>
    </row>
    <row r="69" spans="2:10" x14ac:dyDescent="0.2">
      <c r="B69" s="81"/>
      <c r="C69" s="686" t="s">
        <v>150</v>
      </c>
      <c r="D69" s="687"/>
      <c r="E69" s="364" t="s">
        <v>153</v>
      </c>
      <c r="F69" s="86">
        <f>+G69/G68*F68</f>
        <v>8.9219432231650575E-2</v>
      </c>
      <c r="G69" s="83">
        <f>+G64</f>
        <v>3.0000000000000001E-3</v>
      </c>
      <c r="H69" s="139"/>
      <c r="I69" s="139"/>
      <c r="J69" s="79"/>
    </row>
    <row r="70" spans="2:10" x14ac:dyDescent="0.2">
      <c r="B70" s="81"/>
      <c r="C70" s="683" t="s">
        <v>154</v>
      </c>
      <c r="D70" s="683"/>
      <c r="E70" s="93">
        <f>+F69/F68*E68</f>
        <v>0.70590414781681932</v>
      </c>
      <c r="F70" s="47"/>
      <c r="G70" s="47"/>
      <c r="H70" s="47"/>
      <c r="I70" s="47"/>
      <c r="J70" s="79"/>
    </row>
    <row r="71" spans="2:10" x14ac:dyDescent="0.2">
      <c r="B71" s="81"/>
      <c r="C71" s="683" t="s">
        <v>155</v>
      </c>
      <c r="D71" s="683"/>
      <c r="E71" s="83">
        <f>入力シート_シマジン!R15</f>
        <v>0.03</v>
      </c>
      <c r="F71" s="47"/>
      <c r="G71" s="47"/>
      <c r="H71" s="47"/>
      <c r="I71" s="47"/>
      <c r="J71" s="79"/>
    </row>
    <row r="72" spans="2:10" ht="13.5" thickBot="1" x14ac:dyDescent="0.25">
      <c r="B72" s="81"/>
      <c r="C72" s="47"/>
      <c r="D72" s="47"/>
      <c r="E72" s="74">
        <f>IF(E70&gt;10,ROUNDDOWN(E70,0),IF(E70&gt;1,ROUNDDOWN(E70,1),IF(E70&gt;0.1,ROUNDDOWN(E70,2),IF(E70&gt;0.01,ROUNDDOWN(E70,3),ROUNDDOWN(E70,4)))))</f>
        <v>0.7</v>
      </c>
      <c r="F72" s="47"/>
      <c r="G72" s="47"/>
      <c r="H72" s="47"/>
      <c r="I72" s="47"/>
      <c r="J72" s="79"/>
    </row>
    <row r="73" spans="2:10" ht="13.5" thickBot="1" x14ac:dyDescent="0.25">
      <c r="B73" s="81"/>
      <c r="C73" s="684" t="s">
        <v>156</v>
      </c>
      <c r="D73" s="685"/>
      <c r="E73" s="109">
        <f>IF(E70&gt;E71,E71,E70)</f>
        <v>0.03</v>
      </c>
      <c r="F73" s="95" t="s">
        <v>157</v>
      </c>
      <c r="G73" s="47"/>
      <c r="H73" s="47"/>
      <c r="I73" s="47"/>
      <c r="J73" s="79"/>
    </row>
    <row r="74" spans="2:10" x14ac:dyDescent="0.2">
      <c r="B74" s="81"/>
      <c r="C74" s="47"/>
      <c r="D74" s="47"/>
      <c r="E74" s="74">
        <f>IF(E73&gt;10,ROUNDDOWN(E73,0),IF(E73&gt;1,ROUNDDOWN(E73,1),IF(E73&gt;0.1,ROUNDDOWN(E73,2),IF(E73&gt;0.01,ROUNDDOWN(E73,3),ROUNDDOWN(E73,4)))))</f>
        <v>0.03</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3.3624961793197225E-2</v>
      </c>
      <c r="H77" s="139"/>
      <c r="I77" s="139"/>
      <c r="J77" s="79"/>
    </row>
    <row r="78" spans="2:10" x14ac:dyDescent="0.2">
      <c r="B78" s="81"/>
      <c r="C78" s="686" t="s">
        <v>150</v>
      </c>
      <c r="D78" s="687"/>
      <c r="E78" s="364" t="s">
        <v>153</v>
      </c>
      <c r="F78" s="86">
        <f>+F64</f>
        <v>8.9219432231650589E-2</v>
      </c>
      <c r="G78" s="83">
        <f>+G69</f>
        <v>3.0000000000000001E-3</v>
      </c>
      <c r="H78" s="139"/>
      <c r="I78" s="139"/>
      <c r="J78" s="79"/>
    </row>
    <row r="79" spans="2:10" x14ac:dyDescent="0.2">
      <c r="B79" s="81"/>
      <c r="C79" s="683" t="s">
        <v>154</v>
      </c>
      <c r="D79" s="683"/>
      <c r="E79" s="93">
        <f>+F78/F77*E77</f>
        <v>8.9219432231650589E-2</v>
      </c>
      <c r="F79" s="47"/>
      <c r="G79" s="47"/>
      <c r="H79" s="47"/>
      <c r="I79" s="47"/>
      <c r="J79" s="79"/>
    </row>
    <row r="80" spans="2:10" x14ac:dyDescent="0.2">
      <c r="B80" s="81"/>
      <c r="C80" s="683" t="s">
        <v>155</v>
      </c>
      <c r="D80" s="683"/>
      <c r="E80" s="83">
        <f>+E71</f>
        <v>0.03</v>
      </c>
      <c r="F80" s="47"/>
      <c r="G80" s="47"/>
      <c r="H80" s="47"/>
      <c r="I80" s="47"/>
      <c r="J80" s="79"/>
    </row>
    <row r="81" spans="2:10" ht="13.5" thickBot="1" x14ac:dyDescent="0.25">
      <c r="B81" s="81"/>
      <c r="C81" s="47"/>
      <c r="D81" s="47"/>
      <c r="E81" s="74">
        <f>IF(E79&gt;10,ROUNDDOWN(E79,0),IF(E79&gt;1,ROUNDDOWN(E79,1),IF(E79&gt;0.1,ROUNDDOWN(E79,2),IF(E79&gt;0.01,ROUNDDOWN(E79,3),ROUNDDOWN(E79,4)))))</f>
        <v>8.8999999999999996E-2</v>
      </c>
      <c r="F81" s="47"/>
      <c r="G81" s="47"/>
      <c r="H81" s="47"/>
      <c r="I81" s="47"/>
      <c r="J81" s="79"/>
    </row>
    <row r="82" spans="2:10" ht="13.5" thickBot="1" x14ac:dyDescent="0.25">
      <c r="B82" s="81"/>
      <c r="C82" s="684" t="s">
        <v>156</v>
      </c>
      <c r="D82" s="685"/>
      <c r="E82" s="109">
        <f>IF(E79&gt;E80,E80,E79)</f>
        <v>0.03</v>
      </c>
      <c r="F82" s="95" t="s">
        <v>157</v>
      </c>
      <c r="G82" s="47"/>
      <c r="H82" s="47"/>
      <c r="I82" s="47"/>
      <c r="J82" s="79"/>
    </row>
    <row r="83" spans="2:10" x14ac:dyDescent="0.2">
      <c r="B83" s="81"/>
      <c r="C83" s="47"/>
      <c r="D83" s="47"/>
      <c r="E83" s="74">
        <f>IF(E82&gt;10,ROUNDDOWN(E82,0),IF(E82&gt;1,ROUNDDOWN(E82,1),IF(E82&gt;0.1,ROUNDDOWN(E82,2),IF(E82&gt;0.01,ROUNDDOWN(E82,3),ROUNDDOWN(E82,4)))))</f>
        <v>0.03</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71" priority="5">
      <formula>$A41&gt;0</formula>
    </cfRule>
  </conditionalFormatting>
  <conditionalFormatting sqref="G30">
    <cfRule type="expression" dxfId="70" priority="4">
      <formula>$A$29&gt;0</formula>
    </cfRule>
  </conditionalFormatting>
  <conditionalFormatting sqref="G31">
    <cfRule type="expression" dxfId="69" priority="3">
      <formula>$A$30&gt;0</formula>
    </cfRule>
  </conditionalFormatting>
  <conditionalFormatting sqref="G32">
    <cfRule type="expression" dxfId="68" priority="2">
      <formula>$A$31&gt;0</formula>
    </cfRule>
  </conditionalFormatting>
  <conditionalFormatting sqref="G9">
    <cfRule type="expression" dxfId="67" priority="6">
      <formula>#REF!&gt;0</formula>
    </cfRule>
  </conditionalFormatting>
  <conditionalFormatting sqref="G11 G25:I27">
    <cfRule type="expression" dxfId="66" priority="7">
      <formula>#REF!&gt;0</formula>
    </cfRule>
  </conditionalFormatting>
  <conditionalFormatting sqref="G18">
    <cfRule type="expression" dxfId="65" priority="8">
      <formula>#REF!&gt;0</formula>
    </cfRule>
  </conditionalFormatting>
  <conditionalFormatting sqref="G22:G24">
    <cfRule type="expression" dxfId="64" priority="9">
      <formula>$A$25&gt;0</formula>
    </cfRule>
  </conditionalFormatting>
  <conditionalFormatting sqref="G23:G24">
    <cfRule type="expression" dxfId="63" priority="10">
      <formula>#REF!&gt;0</formula>
    </cfRule>
  </conditionalFormatting>
  <conditionalFormatting sqref="G21">
    <cfRule type="expression" dxfId="62" priority="11">
      <formula>$A$23&gt;0</formula>
    </cfRule>
  </conditionalFormatting>
  <conditionalFormatting sqref="G12">
    <cfRule type="expression" dxfId="61" priority="1">
      <formula>#REF!&gt;0</formula>
    </cfRule>
  </conditionalFormatting>
  <conditionalFormatting sqref="G34">
    <cfRule type="expression" dxfId="60" priority="12">
      <formula>#REF!&gt;0</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0.67</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670</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0.19</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6.0000000000000001E-3</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0.06</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347</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302</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+計算シート_チウラム!G39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計算シート_チウラム!G41</f>
        <v>4.6180000000000003</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IF(入力シート_チウラム!$Y$14=1,"目標土壌溶出量濃度",IF(入力シート_チウラム!$Y$14=2,"目標土壌溶出量濃度",IF(入力シート_チウラム!$Y$14=3,"目標土壌溶出量濃度","PRB通過後の観測点における目標地下水濃度")))</f>
        <v>目標土壌溶出量濃度</v>
      </c>
      <c r="E41" s="527"/>
      <c r="F41" s="527"/>
      <c r="G41" s="528">
        <f>IF($X$14=1,IF(計算シート_チウラム!E83&gt;10000,"&gt;10,000",+計算シート_チウラム!E83),計算シート_チウラム!E74)</f>
        <v>0.06</v>
      </c>
      <c r="H41" s="528"/>
      <c r="I41" s="244" t="s">
        <v>28</v>
      </c>
      <c r="J41" s="155"/>
      <c r="K41" s="529">
        <f>+計算シート_チウラム!E83</f>
        <v>0.06</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59" priority="3">
      <formula>LEN(TRIM(Y13))=0</formula>
    </cfRule>
  </conditionalFormatting>
  <conditionalFormatting sqref="D35:H35 J35:L35">
    <cfRule type="expression" dxfId="58" priority="2">
      <formula>$X$14=1</formula>
    </cfRule>
  </conditionalFormatting>
  <conditionalFormatting sqref="I35">
    <cfRule type="expression" dxfId="57"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30722"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30723"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+入力シート_チウラム!F20</f>
        <v>チウラム</v>
      </c>
      <c r="D6" s="721"/>
      <c r="E6" s="722"/>
      <c r="F6" s="17"/>
      <c r="G6" s="18" t="str">
        <f>$C$6</f>
        <v>チウラム</v>
      </c>
      <c r="L6" s="102"/>
      <c r="M6" s="15"/>
      <c r="N6" s="15"/>
      <c r="O6" s="15"/>
      <c r="P6" s="15"/>
      <c r="Q6" s="15"/>
      <c r="R6" s="15"/>
      <c r="S6" s="15"/>
    </row>
    <row r="7" spans="2:19" ht="13.5" thickBot="1" x14ac:dyDescent="0.25">
      <c r="B7" s="19" t="s">
        <v>87</v>
      </c>
      <c r="C7" s="723" t="s">
        <v>88</v>
      </c>
      <c r="D7" s="724"/>
      <c r="E7" s="725"/>
      <c r="F7" s="20" t="s">
        <v>89</v>
      </c>
      <c r="G7" s="21">
        <f>+入力シート_チウラム!R14</f>
        <v>6.0000000000000001E-3</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++入力シート_チウラム!J32</f>
        <v>30</v>
      </c>
      <c r="L9" s="102"/>
      <c r="M9" s="15"/>
      <c r="N9" s="15"/>
      <c r="O9" s="15"/>
      <c r="P9" s="15"/>
      <c r="Q9" s="15"/>
      <c r="R9" s="15"/>
      <c r="S9" s="15"/>
    </row>
    <row r="10" spans="2:19" ht="18" x14ac:dyDescent="0.2">
      <c r="B10" s="26" t="s">
        <v>91</v>
      </c>
      <c r="C10" s="686" t="s">
        <v>72</v>
      </c>
      <c r="D10" s="689"/>
      <c r="E10" s="687"/>
      <c r="F10" s="362" t="s">
        <v>43</v>
      </c>
      <c r="G10" s="28">
        <f>+入力シート_チウラム!J33</f>
        <v>15</v>
      </c>
      <c r="L10" s="102"/>
      <c r="M10" s="15"/>
      <c r="N10" s="15"/>
      <c r="O10" s="15"/>
      <c r="P10" s="15"/>
      <c r="Q10" s="15"/>
      <c r="R10" s="15"/>
      <c r="S10" s="15"/>
    </row>
    <row r="11" spans="2:19" ht="18" x14ac:dyDescent="0.2">
      <c r="B11" s="26" t="s">
        <v>73</v>
      </c>
      <c r="C11" s="686" t="s">
        <v>74</v>
      </c>
      <c r="D11" s="689"/>
      <c r="E11" s="687"/>
      <c r="F11" s="362" t="s">
        <v>43</v>
      </c>
      <c r="G11" s="28">
        <f>+入力シート_チウラム!J24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入力シート_チウラム!J30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入力シート_チウラム!R20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入力シート_チウラム!F27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入力シート_チウラム!R21</f>
        <v>0.3</v>
      </c>
      <c r="L23" s="70"/>
      <c r="M23" s="15"/>
      <c r="N23" s="15"/>
      <c r="O23" s="15"/>
      <c r="P23" s="15"/>
      <c r="Q23" s="15"/>
      <c r="R23" s="15"/>
      <c r="S23" s="15"/>
    </row>
    <row r="24" spans="1:19" ht="18" x14ac:dyDescent="0.2">
      <c r="A24" s="37"/>
      <c r="B24" s="26" t="s">
        <v>163</v>
      </c>
      <c r="C24" s="688" t="s">
        <v>177</v>
      </c>
      <c r="D24" s="689"/>
      <c r="E24" s="687"/>
      <c r="F24" s="362" t="s">
        <v>51</v>
      </c>
      <c r="G24" s="28">
        <f>入力シート_チウラム!R22</f>
        <v>0.4</v>
      </c>
      <c r="L24" s="70"/>
      <c r="M24" s="15"/>
      <c r="N24" s="15"/>
      <c r="O24" s="15"/>
      <c r="P24" s="15"/>
      <c r="Q24" s="15"/>
      <c r="R24" s="15"/>
      <c r="S24" s="15"/>
    </row>
    <row r="25" spans="1:19" ht="21" x14ac:dyDescent="0.2">
      <c r="A25" s="37"/>
      <c r="B25" s="26" t="s">
        <v>101</v>
      </c>
      <c r="C25" s="686" t="s">
        <v>46</v>
      </c>
      <c r="D25" s="689"/>
      <c r="E25" s="687"/>
      <c r="F25" s="362" t="s">
        <v>43</v>
      </c>
      <c r="G25" s="43">
        <f>入力シート_チウラム!R12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入力シート_チウラム!R13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入力シート_チウラム!R13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入力シート_チウラム!R11</f>
        <v>0.19</v>
      </c>
      <c r="L29" s="70"/>
      <c r="M29" s="15"/>
      <c r="N29" s="15"/>
      <c r="O29" s="15"/>
      <c r="P29" s="15"/>
      <c r="Q29" s="15"/>
      <c r="R29" s="15"/>
      <c r="S29" s="15"/>
    </row>
    <row r="30" spans="1:19" ht="14" x14ac:dyDescent="0.3">
      <c r="A30" s="37"/>
      <c r="B30" s="49" t="s">
        <v>107</v>
      </c>
      <c r="C30" s="692" t="s">
        <v>53</v>
      </c>
      <c r="D30" s="692"/>
      <c r="E30" s="692"/>
      <c r="F30" s="364" t="s">
        <v>108</v>
      </c>
      <c r="G30" s="51">
        <f>入力シート_チウラム!R9</f>
        <v>0.67</v>
      </c>
      <c r="L30" s="70"/>
      <c r="M30" s="15"/>
      <c r="N30" s="15"/>
      <c r="O30" s="15"/>
      <c r="P30" s="15"/>
      <c r="Q30" s="15"/>
      <c r="R30" s="15"/>
      <c r="S30" s="15"/>
    </row>
    <row r="31" spans="1:19" ht="18" x14ac:dyDescent="0.4">
      <c r="A31" s="37"/>
      <c r="B31" s="52" t="s">
        <v>109</v>
      </c>
      <c r="C31" s="692" t="s">
        <v>110</v>
      </c>
      <c r="D31" s="692"/>
      <c r="E31" s="692"/>
      <c r="F31" s="364" t="s">
        <v>111</v>
      </c>
      <c r="G31" s="51">
        <f>IF(A31="",入力シート_チウラム!R10,A31)</f>
        <v>670</v>
      </c>
      <c r="L31" s="70"/>
      <c r="M31" s="15"/>
      <c r="N31" s="15"/>
      <c r="O31" s="15"/>
      <c r="P31" s="15"/>
      <c r="Q31" s="15"/>
      <c r="R31" s="15"/>
      <c r="S31" s="15"/>
    </row>
    <row r="32" spans="1:19" ht="18.5" thickBot="1" x14ac:dyDescent="0.45">
      <c r="A32" s="37"/>
      <c r="B32" s="53" t="s">
        <v>112</v>
      </c>
      <c r="C32" s="695" t="s">
        <v>113</v>
      </c>
      <c r="D32" s="695"/>
      <c r="E32" s="695"/>
      <c r="F32" s="365" t="s">
        <v>114</v>
      </c>
      <c r="G32" s="55">
        <f>入力シート_チウラム!R25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入力シート_チウラム!R24</f>
        <v>1.62</v>
      </c>
      <c r="L34" s="15"/>
      <c r="M34" s="15"/>
      <c r="N34" s="15"/>
      <c r="O34" s="15"/>
      <c r="P34" s="15"/>
      <c r="Q34" s="15"/>
      <c r="R34" s="15"/>
      <c r="S34" s="15"/>
    </row>
    <row r="35" spans="1:19" ht="18" x14ac:dyDescent="0.2">
      <c r="B35" s="26" t="s">
        <v>118</v>
      </c>
      <c r="C35" s="686" t="s">
        <v>119</v>
      </c>
      <c r="D35" s="689"/>
      <c r="E35" s="687"/>
      <c r="F35" s="362" t="s">
        <v>120</v>
      </c>
      <c r="G35" s="43">
        <f>+入力シート_チウラム!J35*0.365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3.6481430555786591</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4.6180000000000003</v>
      </c>
    </row>
    <row r="42" spans="1:19" ht="18.5" thickBot="1" x14ac:dyDescent="0.25">
      <c r="B42" s="61" t="s">
        <v>131</v>
      </c>
      <c r="R42" s="60"/>
    </row>
    <row r="43" spans="1:19" x14ac:dyDescent="0.2">
      <c r="B43" s="12"/>
      <c r="C43" s="697" t="s">
        <v>132</v>
      </c>
      <c r="D43" s="698"/>
      <c r="E43" s="698"/>
      <c r="F43" s="367"/>
      <c r="G43" s="125">
        <f>SQRT(1+4*$G38*G25/$G39)</f>
        <v>2.3721876605312202</v>
      </c>
      <c r="H43" s="122"/>
      <c r="I43" s="122"/>
      <c r="N43" s="60"/>
      <c r="R43" s="47"/>
    </row>
    <row r="44" spans="1:19" x14ac:dyDescent="0.2">
      <c r="B44" s="62" t="s">
        <v>133</v>
      </c>
      <c r="C44" s="687"/>
      <c r="D44" s="692"/>
      <c r="E44" s="692"/>
      <c r="F44" s="63"/>
      <c r="G44" s="126">
        <f>EXP(G14/(2*G25)*(1-G43))</f>
        <v>1.0479301954925404E-3</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1.0124107550122218E-3</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1.0124107550122218E-3</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チウラム</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1.0124107550122218E-3</v>
      </c>
      <c r="H63" s="139"/>
      <c r="I63" s="139"/>
      <c r="J63" s="79"/>
      <c r="K63" s="84"/>
      <c r="L63" s="691"/>
      <c r="M63" s="691"/>
      <c r="N63" s="691"/>
      <c r="O63" s="74"/>
      <c r="P63" s="85"/>
      <c r="Q63" s="47"/>
    </row>
    <row r="64" spans="1:17" ht="16.5" x14ac:dyDescent="0.2">
      <c r="B64" s="87"/>
      <c r="C64" s="693" t="s">
        <v>150</v>
      </c>
      <c r="D64" s="693"/>
      <c r="E64" s="693"/>
      <c r="F64" s="88">
        <f>+G64/G63*F63</f>
        <v>5.9264483020308969</v>
      </c>
      <c r="G64" s="83">
        <f>+G7</f>
        <v>6.0000000000000001E-3</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5.9</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1.2795889219062461E-4</v>
      </c>
      <c r="H68" s="139"/>
      <c r="I68" s="139"/>
      <c r="J68" s="79"/>
    </row>
    <row r="69" spans="2:10" x14ac:dyDescent="0.2">
      <c r="B69" s="81"/>
      <c r="C69" s="686" t="s">
        <v>150</v>
      </c>
      <c r="D69" s="687"/>
      <c r="E69" s="364" t="s">
        <v>153</v>
      </c>
      <c r="F69" s="86">
        <f>+G69/G68*F68</f>
        <v>5.9264483020308969</v>
      </c>
      <c r="G69" s="83">
        <f>+G64</f>
        <v>6.0000000000000001E-3</v>
      </c>
      <c r="H69" s="139"/>
      <c r="I69" s="139"/>
      <c r="J69" s="79"/>
    </row>
    <row r="70" spans="2:10" x14ac:dyDescent="0.2">
      <c r="B70" s="81"/>
      <c r="C70" s="683" t="s">
        <v>154</v>
      </c>
      <c r="D70" s="683"/>
      <c r="E70" s="93">
        <f>+F69/F68*E68</f>
        <v>46.890058965668452</v>
      </c>
      <c r="F70" s="47"/>
      <c r="G70" s="47"/>
      <c r="H70" s="47"/>
      <c r="I70" s="47"/>
      <c r="J70" s="79"/>
    </row>
    <row r="71" spans="2:10" x14ac:dyDescent="0.2">
      <c r="B71" s="81"/>
      <c r="C71" s="683" t="s">
        <v>155</v>
      </c>
      <c r="D71" s="683"/>
      <c r="E71" s="83">
        <f>入力シート_チウラム!R15</f>
        <v>0.06</v>
      </c>
      <c r="F71" s="47"/>
      <c r="G71" s="47"/>
      <c r="H71" s="47"/>
      <c r="I71" s="47"/>
      <c r="J71" s="79"/>
    </row>
    <row r="72" spans="2:10" ht="13.5" thickBot="1" x14ac:dyDescent="0.25">
      <c r="B72" s="81"/>
      <c r="C72" s="47"/>
      <c r="D72" s="47"/>
      <c r="E72" s="74">
        <f>IF(E70&gt;10,ROUNDDOWN(E70,0),IF(E70&gt;1,ROUNDDOWN(E70,1),IF(E70&gt;0.1,ROUNDDOWN(E70,2),IF(E70&gt;0.01,ROUNDDOWN(E70,3),ROUNDDOWN(E70,4)))))</f>
        <v>46</v>
      </c>
      <c r="F72" s="47"/>
      <c r="G72" s="47"/>
      <c r="H72" s="47"/>
      <c r="I72" s="47"/>
      <c r="J72" s="79"/>
    </row>
    <row r="73" spans="2:10" ht="13.5" thickBot="1" x14ac:dyDescent="0.25">
      <c r="B73" s="81"/>
      <c r="C73" s="684" t="s">
        <v>156</v>
      </c>
      <c r="D73" s="685"/>
      <c r="E73" s="109">
        <f>IF(E70&gt;E71,E71,E70)</f>
        <v>0.06</v>
      </c>
      <c r="F73" s="95" t="s">
        <v>157</v>
      </c>
      <c r="G73" s="47"/>
      <c r="H73" s="47"/>
      <c r="I73" s="47"/>
      <c r="J73" s="79"/>
    </row>
    <row r="74" spans="2:10" x14ac:dyDescent="0.2">
      <c r="B74" s="81"/>
      <c r="C74" s="47"/>
      <c r="D74" s="47"/>
      <c r="E74" s="74">
        <f>IF(E73&gt;10,ROUNDDOWN(E73,0),IF(E73&gt;1,ROUNDDOWN(E73,1),IF(E73&gt;0.1,ROUNDDOWN(E73,2),IF(E73&gt;0.01,ROUNDDOWN(E73,3),ROUNDDOWN(E73,4)))))</f>
        <v>0.06</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1.0124107550122218E-3</v>
      </c>
      <c r="H77" s="139"/>
      <c r="I77" s="139"/>
      <c r="J77" s="79"/>
    </row>
    <row r="78" spans="2:10" x14ac:dyDescent="0.2">
      <c r="B78" s="81"/>
      <c r="C78" s="686" t="s">
        <v>150</v>
      </c>
      <c r="D78" s="687"/>
      <c r="E78" s="364" t="s">
        <v>153</v>
      </c>
      <c r="F78" s="86">
        <f>+F64</f>
        <v>5.9264483020308969</v>
      </c>
      <c r="G78" s="83">
        <f>+G69</f>
        <v>6.0000000000000001E-3</v>
      </c>
      <c r="H78" s="139"/>
      <c r="I78" s="139"/>
      <c r="J78" s="79"/>
    </row>
    <row r="79" spans="2:10" x14ac:dyDescent="0.2">
      <c r="B79" s="81"/>
      <c r="C79" s="683" t="s">
        <v>154</v>
      </c>
      <c r="D79" s="683"/>
      <c r="E79" s="93">
        <f>+F78/F77*E77</f>
        <v>5.9264483020308969</v>
      </c>
      <c r="F79" s="47"/>
      <c r="G79" s="47"/>
      <c r="H79" s="47"/>
      <c r="I79" s="47"/>
      <c r="J79" s="79"/>
    </row>
    <row r="80" spans="2:10" x14ac:dyDescent="0.2">
      <c r="B80" s="81"/>
      <c r="C80" s="683" t="s">
        <v>155</v>
      </c>
      <c r="D80" s="683"/>
      <c r="E80" s="83">
        <f>+E71</f>
        <v>0.06</v>
      </c>
      <c r="F80" s="47"/>
      <c r="G80" s="47"/>
      <c r="H80" s="47"/>
      <c r="I80" s="47"/>
      <c r="J80" s="79"/>
    </row>
    <row r="81" spans="2:10" ht="13.5" thickBot="1" x14ac:dyDescent="0.25">
      <c r="B81" s="81"/>
      <c r="C81" s="47"/>
      <c r="D81" s="47"/>
      <c r="E81" s="74">
        <f>IF(E79&gt;10,ROUNDDOWN(E79,0),IF(E79&gt;1,ROUNDDOWN(E79,1),IF(E79&gt;0.1,ROUNDDOWN(E79,2),IF(E79&gt;0.01,ROUNDDOWN(E79,3),ROUNDDOWN(E79,4)))))</f>
        <v>5.9</v>
      </c>
      <c r="F81" s="47"/>
      <c r="G81" s="47"/>
      <c r="H81" s="47"/>
      <c r="I81" s="47"/>
      <c r="J81" s="79"/>
    </row>
    <row r="82" spans="2:10" ht="13.5" thickBot="1" x14ac:dyDescent="0.25">
      <c r="B82" s="81"/>
      <c r="C82" s="684" t="s">
        <v>156</v>
      </c>
      <c r="D82" s="685"/>
      <c r="E82" s="109">
        <f>IF(E79&gt;E80,E80,E79)</f>
        <v>0.06</v>
      </c>
      <c r="F82" s="95" t="s">
        <v>157</v>
      </c>
      <c r="G82" s="47"/>
      <c r="H82" s="47"/>
      <c r="I82" s="47"/>
      <c r="J82" s="79"/>
    </row>
    <row r="83" spans="2:10" x14ac:dyDescent="0.2">
      <c r="B83" s="81"/>
      <c r="C83" s="47"/>
      <c r="D83" s="47"/>
      <c r="E83" s="74">
        <f>IF(E82&gt;10,ROUNDDOWN(E82,0),IF(E82&gt;1,ROUNDDOWN(E82,1),IF(E82&gt;0.1,ROUNDDOWN(E82,2),IF(E82&gt;0.01,ROUNDDOWN(E82,3),ROUNDDOWN(E82,4)))))</f>
        <v>0.06</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56" priority="5">
      <formula>$A41&gt;0</formula>
    </cfRule>
  </conditionalFormatting>
  <conditionalFormatting sqref="G30">
    <cfRule type="expression" dxfId="55" priority="4">
      <formula>$A$29&gt;0</formula>
    </cfRule>
  </conditionalFormatting>
  <conditionalFormatting sqref="G31">
    <cfRule type="expression" dxfId="54" priority="3">
      <formula>$A$30&gt;0</formula>
    </cfRule>
  </conditionalFormatting>
  <conditionalFormatting sqref="G32">
    <cfRule type="expression" dxfId="53" priority="2">
      <formula>$A$31&gt;0</formula>
    </cfRule>
  </conditionalFormatting>
  <conditionalFormatting sqref="G9">
    <cfRule type="expression" dxfId="52" priority="6">
      <formula>#REF!&gt;0</formula>
    </cfRule>
  </conditionalFormatting>
  <conditionalFormatting sqref="G11 G25:I27">
    <cfRule type="expression" dxfId="51" priority="7">
      <formula>#REF!&gt;0</formula>
    </cfRule>
  </conditionalFormatting>
  <conditionalFormatting sqref="G18">
    <cfRule type="expression" dxfId="50" priority="8">
      <formula>#REF!&gt;0</formula>
    </cfRule>
  </conditionalFormatting>
  <conditionalFormatting sqref="G22:G24">
    <cfRule type="expression" dxfId="49" priority="9">
      <formula>$A$25&gt;0</formula>
    </cfRule>
  </conditionalFormatting>
  <conditionalFormatting sqref="G23:G24">
    <cfRule type="expression" dxfId="48" priority="10">
      <formula>#REF!&gt;0</formula>
    </cfRule>
  </conditionalFormatting>
  <conditionalFormatting sqref="G21">
    <cfRule type="expression" dxfId="47" priority="11">
      <formula>$A$23&gt;0</formula>
    </cfRule>
  </conditionalFormatting>
  <conditionalFormatting sqref="G12">
    <cfRule type="expression" dxfId="46" priority="1">
      <formula>#REF!&gt;0</formula>
    </cfRule>
  </conditionalFormatting>
  <conditionalFormatting sqref="G34">
    <cfRule type="expression" dxfId="45" priority="12">
      <formula>#REF!&gt;0</formula>
    </cfRule>
  </conditionalFormatting>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0.9</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900</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0.22</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0.02</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0.2</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348</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303</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+計算シート_チオベンカルブ!G39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計算シート_チオベンカルブ!G41</f>
        <v>5.8600000000000012</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チオベンカルブ!$Y$14=1,"目標土壌溶出量濃度",IF(入力シート_チオベンカルブ!$Y$14=2,"目標土壌溶出量濃度",IF(入力シート_チオベンカルブ!$Y$14=3,"目標土壌溶出量濃度","PRB通過後の観測点における目標地下水濃度")))</f>
        <v>目標土壌溶出量濃度</v>
      </c>
      <c r="E41" s="527"/>
      <c r="F41" s="527"/>
      <c r="G41" s="528">
        <f>IF($X$14=1,IF(計算シート_チオベンカルブ!E83&gt;10000,"&gt;10,000",+計算シート_チオベンカルブ!E83),計算シート_チオベンカルブ!E74)</f>
        <v>0.2</v>
      </c>
      <c r="H41" s="528"/>
      <c r="I41" s="244" t="s">
        <v>28</v>
      </c>
      <c r="J41" s="155"/>
      <c r="K41" s="529">
        <f>+計算シート_チオベンカルブ!E83</f>
        <v>0.2</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44" priority="3">
      <formula>LEN(TRIM(Y13))=0</formula>
    </cfRule>
  </conditionalFormatting>
  <conditionalFormatting sqref="D35:H35 J35:L35">
    <cfRule type="expression" dxfId="43" priority="2">
      <formula>$X$14=1</formula>
    </cfRule>
  </conditionalFormatting>
  <conditionalFormatting sqref="I35">
    <cfRule type="expression" dxfId="42"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31746"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31747"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+入力シート_チオベンカルブ!F20</f>
        <v>チオベンカルブ</v>
      </c>
      <c r="D6" s="721"/>
      <c r="E6" s="722"/>
      <c r="F6" s="17"/>
      <c r="G6" s="18" t="str">
        <f>$C$6</f>
        <v>チオベンカルブ</v>
      </c>
      <c r="L6" s="102"/>
      <c r="M6" s="15"/>
      <c r="N6" s="15"/>
      <c r="O6" s="15"/>
      <c r="P6" s="15"/>
      <c r="Q6" s="15"/>
      <c r="R6" s="15"/>
      <c r="S6" s="15"/>
    </row>
    <row r="7" spans="2:19" ht="13.5" thickBot="1" x14ac:dyDescent="0.25">
      <c r="B7" s="19" t="s">
        <v>87</v>
      </c>
      <c r="C7" s="723" t="s">
        <v>88</v>
      </c>
      <c r="D7" s="724"/>
      <c r="E7" s="725"/>
      <c r="F7" s="20" t="s">
        <v>89</v>
      </c>
      <c r="G7" s="21">
        <f>+入力シート_チオベンカルブ!R14</f>
        <v>0.02</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++入力シート_チオベンカルブ!J32</f>
        <v>30</v>
      </c>
      <c r="L9" s="102"/>
      <c r="M9" s="15"/>
      <c r="N9" s="15"/>
      <c r="O9" s="15"/>
      <c r="P9" s="15"/>
      <c r="Q9" s="15"/>
      <c r="R9" s="15"/>
      <c r="S9" s="15"/>
    </row>
    <row r="10" spans="2:19" ht="18" x14ac:dyDescent="0.2">
      <c r="B10" s="26" t="s">
        <v>91</v>
      </c>
      <c r="C10" s="686" t="s">
        <v>72</v>
      </c>
      <c r="D10" s="689"/>
      <c r="E10" s="687"/>
      <c r="F10" s="362" t="s">
        <v>43</v>
      </c>
      <c r="G10" s="28">
        <f>+入力シート_チオベンカルブ!J33</f>
        <v>15</v>
      </c>
      <c r="L10" s="102"/>
      <c r="M10" s="15"/>
      <c r="N10" s="15"/>
      <c r="O10" s="15"/>
      <c r="P10" s="15"/>
      <c r="Q10" s="15"/>
      <c r="R10" s="15"/>
      <c r="S10" s="15"/>
    </row>
    <row r="11" spans="2:19" ht="18" x14ac:dyDescent="0.2">
      <c r="B11" s="26" t="s">
        <v>73</v>
      </c>
      <c r="C11" s="686" t="s">
        <v>74</v>
      </c>
      <c r="D11" s="689"/>
      <c r="E11" s="687"/>
      <c r="F11" s="362" t="s">
        <v>43</v>
      </c>
      <c r="G11" s="28">
        <f>+入力シート_チオベンカルブ!J24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入力シート_チオベンカルブ!J30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入力シート_チオベンカルブ!R20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入力シート_チオベンカルブ!F27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入力シート_チオベンカルブ!R21</f>
        <v>0.3</v>
      </c>
      <c r="L23" s="70"/>
      <c r="M23" s="15"/>
      <c r="N23" s="15"/>
      <c r="O23" s="15"/>
      <c r="P23" s="15"/>
      <c r="Q23" s="15"/>
      <c r="R23" s="15"/>
      <c r="S23" s="15"/>
    </row>
    <row r="24" spans="1:19" ht="18" x14ac:dyDescent="0.2">
      <c r="A24" s="37"/>
      <c r="B24" s="26" t="s">
        <v>163</v>
      </c>
      <c r="C24" s="688" t="s">
        <v>177</v>
      </c>
      <c r="D24" s="689"/>
      <c r="E24" s="687"/>
      <c r="F24" s="362" t="s">
        <v>51</v>
      </c>
      <c r="G24" s="28">
        <f>入力シート_チオベンカルブ!R22</f>
        <v>0.4</v>
      </c>
      <c r="L24" s="70"/>
      <c r="M24" s="15"/>
      <c r="N24" s="15"/>
      <c r="O24" s="15"/>
      <c r="P24" s="15"/>
      <c r="Q24" s="15"/>
      <c r="R24" s="15"/>
      <c r="S24" s="15"/>
    </row>
    <row r="25" spans="1:19" ht="21" x14ac:dyDescent="0.2">
      <c r="A25" s="37"/>
      <c r="B25" s="26" t="s">
        <v>101</v>
      </c>
      <c r="C25" s="686" t="s">
        <v>46</v>
      </c>
      <c r="D25" s="689"/>
      <c r="E25" s="687"/>
      <c r="F25" s="362" t="s">
        <v>43</v>
      </c>
      <c r="G25" s="43">
        <f>入力シート_チオベンカルブ!R12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入力シート_チオベンカルブ!R13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入力シート_チオベンカルブ!R13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入力シート_チオベンカルブ!R11</f>
        <v>0.22</v>
      </c>
      <c r="L29" s="70"/>
      <c r="M29" s="15"/>
      <c r="N29" s="15"/>
      <c r="O29" s="15"/>
      <c r="P29" s="15"/>
      <c r="Q29" s="15"/>
      <c r="R29" s="15"/>
      <c r="S29" s="15"/>
    </row>
    <row r="30" spans="1:19" ht="14" x14ac:dyDescent="0.3">
      <c r="A30" s="37"/>
      <c r="B30" s="49" t="s">
        <v>107</v>
      </c>
      <c r="C30" s="692" t="s">
        <v>53</v>
      </c>
      <c r="D30" s="692"/>
      <c r="E30" s="692"/>
      <c r="F30" s="364" t="s">
        <v>108</v>
      </c>
      <c r="G30" s="51">
        <f>入力シート_チオベンカルブ!R9</f>
        <v>0.9</v>
      </c>
      <c r="L30" s="70"/>
      <c r="M30" s="15"/>
      <c r="N30" s="15"/>
      <c r="O30" s="15"/>
      <c r="P30" s="15"/>
      <c r="Q30" s="15"/>
      <c r="R30" s="15"/>
      <c r="S30" s="15"/>
    </row>
    <row r="31" spans="1:19" ht="18" x14ac:dyDescent="0.4">
      <c r="A31" s="37"/>
      <c r="B31" s="52" t="s">
        <v>109</v>
      </c>
      <c r="C31" s="692" t="s">
        <v>110</v>
      </c>
      <c r="D31" s="692"/>
      <c r="E31" s="692"/>
      <c r="F31" s="364" t="s">
        <v>111</v>
      </c>
      <c r="G31" s="51">
        <f>IF(A31="",入力シート_チオベンカルブ!R10,A31)</f>
        <v>900</v>
      </c>
      <c r="L31" s="70"/>
      <c r="M31" s="15"/>
      <c r="N31" s="15"/>
      <c r="O31" s="15"/>
      <c r="P31" s="15"/>
      <c r="Q31" s="15"/>
      <c r="R31" s="15"/>
      <c r="S31" s="15"/>
    </row>
    <row r="32" spans="1:19" ht="18.5" thickBot="1" x14ac:dyDescent="0.45">
      <c r="A32" s="37"/>
      <c r="B32" s="53" t="s">
        <v>112</v>
      </c>
      <c r="C32" s="695" t="s">
        <v>113</v>
      </c>
      <c r="D32" s="695"/>
      <c r="E32" s="695"/>
      <c r="F32" s="365" t="s">
        <v>114</v>
      </c>
      <c r="G32" s="55">
        <f>入力シート_チオベンカルブ!R25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入力シート_チオベンカルブ!R24</f>
        <v>1.62</v>
      </c>
      <c r="L34" s="15"/>
      <c r="M34" s="15"/>
      <c r="N34" s="15"/>
      <c r="O34" s="15"/>
      <c r="P34" s="15"/>
      <c r="Q34" s="15"/>
      <c r="R34" s="15"/>
      <c r="S34" s="15"/>
    </row>
    <row r="35" spans="1:19" ht="18" x14ac:dyDescent="0.2">
      <c r="B35" s="26" t="s">
        <v>118</v>
      </c>
      <c r="C35" s="686" t="s">
        <v>119</v>
      </c>
      <c r="D35" s="689"/>
      <c r="E35" s="687"/>
      <c r="F35" s="362" t="s">
        <v>120</v>
      </c>
      <c r="G35" s="43">
        <f>+入力シート_チオベンカルブ!J35*0.365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3.150669002545206</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5.8600000000000012</v>
      </c>
    </row>
    <row r="42" spans="1:19" ht="18.5" thickBot="1" x14ac:dyDescent="0.25">
      <c r="B42" s="61" t="s">
        <v>131</v>
      </c>
      <c r="R42" s="60"/>
    </row>
    <row r="43" spans="1:19" x14ac:dyDescent="0.2">
      <c r="B43" s="12"/>
      <c r="C43" s="697" t="s">
        <v>132</v>
      </c>
      <c r="D43" s="698"/>
      <c r="E43" s="698"/>
      <c r="F43" s="367"/>
      <c r="G43" s="125">
        <f>SQRT(1+4*$G38*G25/$G39)</f>
        <v>2.2352365304853401</v>
      </c>
      <c r="H43" s="122"/>
      <c r="I43" s="122"/>
      <c r="N43" s="60"/>
      <c r="R43" s="47"/>
    </row>
    <row r="44" spans="1:19" x14ac:dyDescent="0.2">
      <c r="B44" s="62" t="s">
        <v>133</v>
      </c>
      <c r="C44" s="687"/>
      <c r="D44" s="692"/>
      <c r="E44" s="692"/>
      <c r="F44" s="63"/>
      <c r="G44" s="126">
        <f>EXP(G14/(2*G25)*(1-G43))</f>
        <v>2.0783465018853167E-3</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2.0079012516303636E-3</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2.0079012516303636E-3</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チオベンカルブ</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2.0079012516303636E-3</v>
      </c>
      <c r="H63" s="139"/>
      <c r="I63" s="139"/>
      <c r="J63" s="79"/>
      <c r="K63" s="84"/>
      <c r="L63" s="691"/>
      <c r="M63" s="691"/>
      <c r="N63" s="691"/>
      <c r="O63" s="74"/>
      <c r="P63" s="85"/>
      <c r="Q63" s="47"/>
    </row>
    <row r="64" spans="1:17" ht="16.5" x14ac:dyDescent="0.2">
      <c r="B64" s="87"/>
      <c r="C64" s="693" t="s">
        <v>150</v>
      </c>
      <c r="D64" s="693"/>
      <c r="E64" s="693"/>
      <c r="F64" s="88">
        <f>+G64/G63*F63</f>
        <v>9.9606492021261115</v>
      </c>
      <c r="G64" s="83">
        <f>+G7</f>
        <v>0.02</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9.9</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2.5377922796137052E-4</v>
      </c>
      <c r="H68" s="139"/>
      <c r="I68" s="139"/>
      <c r="J68" s="79"/>
    </row>
    <row r="69" spans="2:10" x14ac:dyDescent="0.2">
      <c r="B69" s="81"/>
      <c r="C69" s="686" t="s">
        <v>150</v>
      </c>
      <c r="D69" s="687"/>
      <c r="E69" s="364" t="s">
        <v>153</v>
      </c>
      <c r="F69" s="86">
        <f>+G69/G68*F68</f>
        <v>9.9606492021261115</v>
      </c>
      <c r="G69" s="83">
        <f>+G64</f>
        <v>0.02</v>
      </c>
      <c r="H69" s="139"/>
      <c r="I69" s="139"/>
      <c r="J69" s="79"/>
    </row>
    <row r="70" spans="2:10" x14ac:dyDescent="0.2">
      <c r="B70" s="81"/>
      <c r="C70" s="683" t="s">
        <v>154</v>
      </c>
      <c r="D70" s="683"/>
      <c r="E70" s="93">
        <f>+F69/F68*E68</f>
        <v>78.808656487221796</v>
      </c>
      <c r="F70" s="47"/>
      <c r="G70" s="47"/>
      <c r="H70" s="47"/>
      <c r="I70" s="47"/>
      <c r="J70" s="79"/>
    </row>
    <row r="71" spans="2:10" x14ac:dyDescent="0.2">
      <c r="B71" s="81"/>
      <c r="C71" s="683" t="s">
        <v>155</v>
      </c>
      <c r="D71" s="683"/>
      <c r="E71" s="83">
        <f>入力シート_チオベンカルブ!R15</f>
        <v>0.2</v>
      </c>
      <c r="F71" s="47"/>
      <c r="G71" s="47"/>
      <c r="H71" s="47"/>
      <c r="I71" s="47"/>
      <c r="J71" s="79"/>
    </row>
    <row r="72" spans="2:10" ht="13.5" thickBot="1" x14ac:dyDescent="0.25">
      <c r="B72" s="81"/>
      <c r="C72" s="47"/>
      <c r="D72" s="47"/>
      <c r="E72" s="74">
        <f>IF(E70&gt;10,ROUNDDOWN(E70,0),IF(E70&gt;1,ROUNDDOWN(E70,1),IF(E70&gt;0.1,ROUNDDOWN(E70,2),IF(E70&gt;0.01,ROUNDDOWN(E70,3),ROUNDDOWN(E70,4)))))</f>
        <v>78</v>
      </c>
      <c r="F72" s="47"/>
      <c r="G72" s="47"/>
      <c r="H72" s="47"/>
      <c r="I72" s="47"/>
      <c r="J72" s="79"/>
    </row>
    <row r="73" spans="2:10" ht="13.5" thickBot="1" x14ac:dyDescent="0.25">
      <c r="B73" s="81"/>
      <c r="C73" s="684" t="s">
        <v>156</v>
      </c>
      <c r="D73" s="685"/>
      <c r="E73" s="109">
        <f>IF(E70&gt;E71,E71,E70)</f>
        <v>0.2</v>
      </c>
      <c r="F73" s="95" t="s">
        <v>157</v>
      </c>
      <c r="G73" s="47"/>
      <c r="H73" s="47"/>
      <c r="I73" s="47"/>
      <c r="J73" s="79"/>
    </row>
    <row r="74" spans="2:10" x14ac:dyDescent="0.2">
      <c r="B74" s="81"/>
      <c r="C74" s="47"/>
      <c r="D74" s="47"/>
      <c r="E74" s="74">
        <f>IF(E73&gt;10,ROUNDDOWN(E73,0),IF(E73&gt;1,ROUNDDOWN(E73,1),IF(E73&gt;0.1,ROUNDDOWN(E73,2),IF(E73&gt;0.01,ROUNDDOWN(E73,3),ROUNDDOWN(E73,4)))))</f>
        <v>0.2</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2.0079012516303636E-3</v>
      </c>
      <c r="H77" s="139"/>
      <c r="I77" s="139"/>
      <c r="J77" s="79"/>
    </row>
    <row r="78" spans="2:10" x14ac:dyDescent="0.2">
      <c r="B78" s="81"/>
      <c r="C78" s="686" t="s">
        <v>150</v>
      </c>
      <c r="D78" s="687"/>
      <c r="E78" s="364" t="s">
        <v>153</v>
      </c>
      <c r="F78" s="86">
        <f>+F64</f>
        <v>9.9606492021261115</v>
      </c>
      <c r="G78" s="83">
        <f>+G69</f>
        <v>0.02</v>
      </c>
      <c r="H78" s="139"/>
      <c r="I78" s="139"/>
      <c r="J78" s="79"/>
    </row>
    <row r="79" spans="2:10" x14ac:dyDescent="0.2">
      <c r="B79" s="81"/>
      <c r="C79" s="683" t="s">
        <v>154</v>
      </c>
      <c r="D79" s="683"/>
      <c r="E79" s="93">
        <f>+F78/F77*E77</f>
        <v>9.9606492021261115</v>
      </c>
      <c r="F79" s="47"/>
      <c r="G79" s="47"/>
      <c r="H79" s="47"/>
      <c r="I79" s="47"/>
      <c r="J79" s="79"/>
    </row>
    <row r="80" spans="2:10" x14ac:dyDescent="0.2">
      <c r="B80" s="81"/>
      <c r="C80" s="683" t="s">
        <v>155</v>
      </c>
      <c r="D80" s="683"/>
      <c r="E80" s="83">
        <f>+E71</f>
        <v>0.2</v>
      </c>
      <c r="F80" s="47"/>
      <c r="G80" s="47"/>
      <c r="H80" s="47"/>
      <c r="I80" s="47"/>
      <c r="J80" s="79"/>
    </row>
    <row r="81" spans="2:10" ht="13.5" thickBot="1" x14ac:dyDescent="0.25">
      <c r="B81" s="81"/>
      <c r="C81" s="47"/>
      <c r="D81" s="47"/>
      <c r="E81" s="74">
        <f>IF(E79&gt;10,ROUNDDOWN(E79,0),IF(E79&gt;1,ROUNDDOWN(E79,1),IF(E79&gt;0.1,ROUNDDOWN(E79,2),IF(E79&gt;0.01,ROUNDDOWN(E79,3),ROUNDDOWN(E79,4)))))</f>
        <v>9.9</v>
      </c>
      <c r="F81" s="47"/>
      <c r="G81" s="47"/>
      <c r="H81" s="47"/>
      <c r="I81" s="47"/>
      <c r="J81" s="79"/>
    </row>
    <row r="82" spans="2:10" ht="13.5" thickBot="1" x14ac:dyDescent="0.25">
      <c r="B82" s="81"/>
      <c r="C82" s="684" t="s">
        <v>156</v>
      </c>
      <c r="D82" s="685"/>
      <c r="E82" s="109">
        <f>IF(E79&gt;E80,E80,E79)</f>
        <v>0.2</v>
      </c>
      <c r="F82" s="95" t="s">
        <v>157</v>
      </c>
      <c r="G82" s="47"/>
      <c r="H82" s="47"/>
      <c r="I82" s="47"/>
      <c r="J82" s="79"/>
    </row>
    <row r="83" spans="2:10" x14ac:dyDescent="0.2">
      <c r="B83" s="81"/>
      <c r="C83" s="47"/>
      <c r="D83" s="47"/>
      <c r="E83" s="74">
        <f>IF(E82&gt;10,ROUNDDOWN(E82,0),IF(E82&gt;1,ROUNDDOWN(E82,1),IF(E82&gt;0.1,ROUNDDOWN(E82,2),IF(E82&gt;0.01,ROUNDDOWN(E82,3),ROUNDDOWN(E82,4)))))</f>
        <v>0.2</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41" priority="5">
      <formula>$A41&gt;0</formula>
    </cfRule>
  </conditionalFormatting>
  <conditionalFormatting sqref="G30">
    <cfRule type="expression" dxfId="40" priority="4">
      <formula>$A$29&gt;0</formula>
    </cfRule>
  </conditionalFormatting>
  <conditionalFormatting sqref="G31">
    <cfRule type="expression" dxfId="39" priority="3">
      <formula>$A$30&gt;0</formula>
    </cfRule>
  </conditionalFormatting>
  <conditionalFormatting sqref="G32">
    <cfRule type="expression" dxfId="38" priority="2">
      <formula>$A$31&gt;0</formula>
    </cfRule>
  </conditionalFormatting>
  <conditionalFormatting sqref="G9">
    <cfRule type="expression" dxfId="37" priority="6">
      <formula>#REF!&gt;0</formula>
    </cfRule>
  </conditionalFormatting>
  <conditionalFormatting sqref="G11 G25:I27">
    <cfRule type="expression" dxfId="36" priority="7">
      <formula>#REF!&gt;0</formula>
    </cfRule>
  </conditionalFormatting>
  <conditionalFormatting sqref="G18">
    <cfRule type="expression" dxfId="35" priority="8">
      <formula>#REF!&gt;0</formula>
    </cfRule>
  </conditionalFormatting>
  <conditionalFormatting sqref="G22:G24">
    <cfRule type="expression" dxfId="34" priority="9">
      <formula>$A$25&gt;0</formula>
    </cfRule>
  </conditionalFormatting>
  <conditionalFormatting sqref="G23:G24">
    <cfRule type="expression" dxfId="33" priority="10">
      <formula>#REF!&gt;0</formula>
    </cfRule>
  </conditionalFormatting>
  <conditionalFormatting sqref="G21">
    <cfRule type="expression" dxfId="32" priority="11">
      <formula>$A$23&gt;0</formula>
    </cfRule>
  </conditionalFormatting>
  <conditionalFormatting sqref="G12">
    <cfRule type="expression" dxfId="31" priority="1">
      <formula>#REF!&gt;0</formula>
    </cfRule>
  </conditionalFormatting>
  <conditionalFormatting sqref="G34">
    <cfRule type="expression" dxfId="30" priority="12">
      <formula>#REF!&gt;0</formula>
    </cfRule>
  </conditionalFormatting>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250</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250000</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t="str">
        <f>VLOOKUP($X$23,'パラメーター 一覧表'!$A$20:$F$49,6)</f>
        <v>-</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5.0000000000000001E-4</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2.9999999999999996E-3</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349</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304</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+計算シート_PCB!G39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計算シート_PCB!G41</f>
        <v>1351</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IF(入力シート_PCB!$Y$14=1,"目標土壌溶出量濃度",IF(入力シート_PCB!$Y$14=2,"目標土壌溶出量濃度",IF(入力シート_PCB!$Y$14=3,"目標土壌溶出量濃度","PRB通過後の観測点における目標地下水濃度")))</f>
        <v>目標土壌溶出量濃度</v>
      </c>
      <c r="E41" s="527"/>
      <c r="F41" s="527"/>
      <c r="G41" s="528">
        <f>IF($X$14=1,IF(計算シート_PCB!E83&gt;10000,"&gt;10,000",+計算シート_PCB!E83),計算シート_PCB!E74)</f>
        <v>3.0000000000000001E-3</v>
      </c>
      <c r="H41" s="528"/>
      <c r="I41" s="244" t="s">
        <v>28</v>
      </c>
      <c r="J41" s="155"/>
      <c r="K41" s="529">
        <f>+計算シート_PCB!E83</f>
        <v>3.0000000000000001E-3</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29" priority="3">
      <formula>LEN(TRIM(Y13))=0</formula>
    </cfRule>
  </conditionalFormatting>
  <conditionalFormatting sqref="D35:H35 J35:L35">
    <cfRule type="expression" dxfId="28" priority="2">
      <formula>$X$14=1</formula>
    </cfRule>
  </conditionalFormatting>
  <conditionalFormatting sqref="I35">
    <cfRule type="expression" dxfId="27"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32770"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32771"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+入力シート_PCB!F20</f>
        <v>PCB</v>
      </c>
      <c r="D6" s="721"/>
      <c r="E6" s="722"/>
      <c r="F6" s="17"/>
      <c r="G6" s="18" t="str">
        <f>$C$6</f>
        <v>PCB</v>
      </c>
      <c r="L6" s="102"/>
      <c r="M6" s="15"/>
      <c r="N6" s="15"/>
      <c r="O6" s="15"/>
      <c r="P6" s="15"/>
      <c r="Q6" s="15"/>
      <c r="R6" s="15"/>
      <c r="S6" s="15"/>
    </row>
    <row r="7" spans="2:19" ht="13.5" thickBot="1" x14ac:dyDescent="0.25">
      <c r="B7" s="19" t="s">
        <v>87</v>
      </c>
      <c r="C7" s="723" t="s">
        <v>88</v>
      </c>
      <c r="D7" s="724"/>
      <c r="E7" s="725"/>
      <c r="F7" s="20" t="s">
        <v>89</v>
      </c>
      <c r="G7" s="21">
        <f>+入力シート_PCB!R14</f>
        <v>5.0000000000000001E-4</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++入力シート_PCB!J32</f>
        <v>30</v>
      </c>
      <c r="L9" s="102"/>
      <c r="M9" s="15"/>
      <c r="N9" s="15"/>
      <c r="O9" s="15"/>
      <c r="P9" s="15"/>
      <c r="Q9" s="15"/>
      <c r="R9" s="15"/>
      <c r="S9" s="15"/>
    </row>
    <row r="10" spans="2:19" ht="18" x14ac:dyDescent="0.2">
      <c r="B10" s="26" t="s">
        <v>91</v>
      </c>
      <c r="C10" s="686" t="s">
        <v>72</v>
      </c>
      <c r="D10" s="689"/>
      <c r="E10" s="687"/>
      <c r="F10" s="362" t="s">
        <v>43</v>
      </c>
      <c r="G10" s="28">
        <f>+入力シート_PCB!J33</f>
        <v>15</v>
      </c>
      <c r="L10" s="102"/>
      <c r="M10" s="15"/>
      <c r="N10" s="15"/>
      <c r="O10" s="15"/>
      <c r="P10" s="15"/>
      <c r="Q10" s="15"/>
      <c r="R10" s="15"/>
      <c r="S10" s="15"/>
    </row>
    <row r="11" spans="2:19" ht="18" x14ac:dyDescent="0.2">
      <c r="B11" s="26" t="s">
        <v>73</v>
      </c>
      <c r="C11" s="686" t="s">
        <v>74</v>
      </c>
      <c r="D11" s="689"/>
      <c r="E11" s="687"/>
      <c r="F11" s="362" t="s">
        <v>43</v>
      </c>
      <c r="G11" s="28">
        <f>+入力シート_PCB!J24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入力シート_PCB!J30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入力シート_PCB!R20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入力シート_PCB!F27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入力シート_PCB!R21</f>
        <v>0.3</v>
      </c>
      <c r="L23" s="70"/>
      <c r="M23" s="15"/>
      <c r="N23" s="15"/>
      <c r="O23" s="15"/>
      <c r="P23" s="15"/>
      <c r="Q23" s="15"/>
      <c r="R23" s="15"/>
      <c r="S23" s="15"/>
    </row>
    <row r="24" spans="1:19" ht="18" x14ac:dyDescent="0.2">
      <c r="A24" s="37"/>
      <c r="B24" s="26" t="s">
        <v>163</v>
      </c>
      <c r="C24" s="688" t="s">
        <v>177</v>
      </c>
      <c r="D24" s="689"/>
      <c r="E24" s="687"/>
      <c r="F24" s="362" t="s">
        <v>51</v>
      </c>
      <c r="G24" s="28">
        <f>入力シート_PCB!R22</f>
        <v>0.4</v>
      </c>
      <c r="L24" s="70"/>
      <c r="M24" s="15"/>
      <c r="N24" s="15"/>
      <c r="O24" s="15"/>
      <c r="P24" s="15"/>
      <c r="Q24" s="15"/>
      <c r="R24" s="15"/>
      <c r="S24" s="15"/>
    </row>
    <row r="25" spans="1:19" ht="21" x14ac:dyDescent="0.2">
      <c r="A25" s="37"/>
      <c r="B25" s="26" t="s">
        <v>101</v>
      </c>
      <c r="C25" s="686" t="s">
        <v>46</v>
      </c>
      <c r="D25" s="689"/>
      <c r="E25" s="687"/>
      <c r="F25" s="362" t="s">
        <v>43</v>
      </c>
      <c r="G25" s="43">
        <f>入力シート_PCB!R12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入力シート_PCB!R13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入力シート_PCB!R13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t="str">
        <f>入力シート_PCB!R11</f>
        <v>-</v>
      </c>
      <c r="L29" s="70"/>
      <c r="M29" s="15"/>
      <c r="N29" s="15"/>
      <c r="O29" s="15"/>
      <c r="P29" s="15"/>
      <c r="Q29" s="15"/>
      <c r="R29" s="15"/>
      <c r="S29" s="15"/>
    </row>
    <row r="30" spans="1:19" ht="14" x14ac:dyDescent="0.3">
      <c r="A30" s="37"/>
      <c r="B30" s="49" t="s">
        <v>107</v>
      </c>
      <c r="C30" s="692" t="s">
        <v>53</v>
      </c>
      <c r="D30" s="692"/>
      <c r="E30" s="692"/>
      <c r="F30" s="364" t="s">
        <v>108</v>
      </c>
      <c r="G30" s="51">
        <f>入力シート_PCB!R9</f>
        <v>250</v>
      </c>
      <c r="L30" s="70"/>
      <c r="M30" s="15"/>
      <c r="N30" s="15"/>
      <c r="O30" s="15"/>
      <c r="P30" s="15"/>
      <c r="Q30" s="15"/>
      <c r="R30" s="15"/>
      <c r="S30" s="15"/>
    </row>
    <row r="31" spans="1:19" ht="18" x14ac:dyDescent="0.4">
      <c r="A31" s="37"/>
      <c r="B31" s="52" t="s">
        <v>109</v>
      </c>
      <c r="C31" s="692" t="s">
        <v>110</v>
      </c>
      <c r="D31" s="692"/>
      <c r="E31" s="692"/>
      <c r="F31" s="364" t="s">
        <v>111</v>
      </c>
      <c r="G31" s="51">
        <f>IF(A31="",入力シート_PCB!R10,A31)</f>
        <v>250000</v>
      </c>
      <c r="L31" s="70"/>
      <c r="M31" s="15"/>
      <c r="N31" s="15"/>
      <c r="O31" s="15"/>
      <c r="P31" s="15"/>
      <c r="Q31" s="15"/>
      <c r="R31" s="15"/>
      <c r="S31" s="15"/>
    </row>
    <row r="32" spans="1:19" ht="18.5" thickBot="1" x14ac:dyDescent="0.45">
      <c r="A32" s="37"/>
      <c r="B32" s="53" t="s">
        <v>112</v>
      </c>
      <c r="C32" s="695" t="s">
        <v>113</v>
      </c>
      <c r="D32" s="695"/>
      <c r="E32" s="695"/>
      <c r="F32" s="365" t="s">
        <v>114</v>
      </c>
      <c r="G32" s="55">
        <f>入力シート_PCB!R25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入力シート_PCB!R24</f>
        <v>1.62</v>
      </c>
      <c r="L34" s="15"/>
      <c r="M34" s="15"/>
      <c r="N34" s="15"/>
      <c r="O34" s="15"/>
      <c r="P34" s="15"/>
      <c r="Q34" s="15"/>
      <c r="R34" s="15"/>
      <c r="S34" s="15"/>
    </row>
    <row r="35" spans="1:19" ht="18" x14ac:dyDescent="0.2">
      <c r="B35" s="26" t="s">
        <v>118</v>
      </c>
      <c r="C35" s="686" t="s">
        <v>119</v>
      </c>
      <c r="D35" s="689"/>
      <c r="E35" s="687"/>
      <c r="F35" s="362" t="s">
        <v>120</v>
      </c>
      <c r="G35" s="43">
        <f>+入力シート_PCB!J35*0.365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1351</v>
      </c>
    </row>
    <row r="42" spans="1:19" ht="18.5" thickBot="1" x14ac:dyDescent="0.25">
      <c r="B42" s="61" t="s">
        <v>131</v>
      </c>
      <c r="R42" s="60"/>
    </row>
    <row r="43" spans="1:19" x14ac:dyDescent="0.2">
      <c r="B43" s="12"/>
      <c r="C43" s="697" t="s">
        <v>132</v>
      </c>
      <c r="D43" s="698"/>
      <c r="E43" s="698"/>
      <c r="F43" s="367"/>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364"/>
      <c r="G45" s="127">
        <f>IF(G14-$G39*$G18/$G41*G43&lt;=0,2-ERFC((-G14+$G39*$G18/$G41*G43)/(2*SQRT(G25*$G39*$G18/$G41))),ERFC((G14-$G39*$G18/$G41*G43)/(2*SQRT(G25*$G39*$G18/$G41))))</f>
        <v>2.3875627160367765E-46</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1.1533183137478504E-46</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PCB</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1.1533183137478504E-46</v>
      </c>
      <c r="H63" s="139"/>
      <c r="I63" s="139"/>
      <c r="J63" s="79"/>
      <c r="K63" s="84"/>
      <c r="L63" s="691"/>
      <c r="M63" s="691"/>
      <c r="N63" s="691"/>
      <c r="O63" s="74"/>
      <c r="P63" s="85"/>
      <c r="Q63" s="47"/>
    </row>
    <row r="64" spans="1:17" ht="16.5" x14ac:dyDescent="0.2">
      <c r="B64" s="87"/>
      <c r="C64" s="693" t="s">
        <v>150</v>
      </c>
      <c r="D64" s="693"/>
      <c r="E64" s="693"/>
      <c r="F64" s="88">
        <f>+G64/G63*F63</f>
        <v>4.3353165734027772E+42</v>
      </c>
      <c r="G64" s="83">
        <f>+G7</f>
        <v>5.0000000000000001E-4</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4.3353165734027797E+42</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1.4576823985690728E-47</v>
      </c>
      <c r="H68" s="139"/>
      <c r="I68" s="139"/>
      <c r="J68" s="79"/>
    </row>
    <row r="69" spans="2:10" x14ac:dyDescent="0.2">
      <c r="B69" s="81"/>
      <c r="C69" s="686" t="s">
        <v>150</v>
      </c>
      <c r="D69" s="687"/>
      <c r="E69" s="364" t="s">
        <v>153</v>
      </c>
      <c r="F69" s="86">
        <f>+G69/G68*F68</f>
        <v>4.3353165734027772E+42</v>
      </c>
      <c r="G69" s="83">
        <f>+G64</f>
        <v>5.0000000000000001E-4</v>
      </c>
      <c r="H69" s="139"/>
      <c r="I69" s="139"/>
      <c r="J69" s="79"/>
    </row>
    <row r="70" spans="2:10" x14ac:dyDescent="0.2">
      <c r="B70" s="81"/>
      <c r="C70" s="683" t="s">
        <v>154</v>
      </c>
      <c r="D70" s="683"/>
      <c r="E70" s="93">
        <f>+F69/F68*E68</f>
        <v>3.4301024728762775E+43</v>
      </c>
      <c r="F70" s="47"/>
      <c r="G70" s="47"/>
      <c r="H70" s="47"/>
      <c r="I70" s="47"/>
      <c r="J70" s="79"/>
    </row>
    <row r="71" spans="2:10" x14ac:dyDescent="0.2">
      <c r="B71" s="81"/>
      <c r="C71" s="683" t="s">
        <v>155</v>
      </c>
      <c r="D71" s="683"/>
      <c r="E71" s="83">
        <f>入力シート_PCB!R15</f>
        <v>2.9999999999999996E-3</v>
      </c>
      <c r="F71" s="47"/>
      <c r="G71" s="47"/>
      <c r="H71" s="47"/>
      <c r="I71" s="47"/>
      <c r="J71" s="79"/>
    </row>
    <row r="72" spans="2:10" ht="13.5" thickBot="1" x14ac:dyDescent="0.25">
      <c r="B72" s="81"/>
      <c r="C72" s="47"/>
      <c r="D72" s="47"/>
      <c r="E72" s="74">
        <f>IF(E70&gt;10,ROUNDDOWN(E70,0),IF(E70&gt;1,ROUNDDOWN(E70,1),IF(E70&gt;0.1,ROUNDDOWN(E70,2),IF(E70&gt;0.01,ROUNDDOWN(E70,3),ROUNDDOWN(E70,4)))))</f>
        <v>3.4301024728762799E+43</v>
      </c>
      <c r="F72" s="47"/>
      <c r="G72" s="47"/>
      <c r="H72" s="47"/>
      <c r="I72" s="47"/>
      <c r="J72" s="79"/>
    </row>
    <row r="73" spans="2:10" ht="13.5" thickBot="1" x14ac:dyDescent="0.25">
      <c r="B73" s="81"/>
      <c r="C73" s="684" t="s">
        <v>156</v>
      </c>
      <c r="D73" s="685"/>
      <c r="E73" s="109">
        <f>IF(E70&gt;E71,E71,E70)</f>
        <v>2.9999999999999996E-3</v>
      </c>
      <c r="F73" s="95" t="s">
        <v>157</v>
      </c>
      <c r="G73" s="47"/>
      <c r="H73" s="47"/>
      <c r="I73" s="47"/>
      <c r="J73" s="79"/>
    </row>
    <row r="74" spans="2:10" x14ac:dyDescent="0.2">
      <c r="B74" s="81"/>
      <c r="C74" s="47"/>
      <c r="D74" s="47"/>
      <c r="E74" s="74">
        <f>IF(E73&gt;10,ROUNDDOWN(E73,0),IF(E73&gt;1,ROUNDDOWN(E73,1),IF(E73&gt;0.1,ROUNDDOWN(E73,2),IF(E73&gt;0.01,ROUNDDOWN(E73,3),ROUNDDOWN(E73,4)))))</f>
        <v>3.0000000000000001E-3</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1.1533183137478504E-46</v>
      </c>
      <c r="H77" s="139"/>
      <c r="I77" s="139"/>
      <c r="J77" s="79"/>
    </row>
    <row r="78" spans="2:10" x14ac:dyDescent="0.2">
      <c r="B78" s="81"/>
      <c r="C78" s="686" t="s">
        <v>150</v>
      </c>
      <c r="D78" s="687"/>
      <c r="E78" s="364" t="s">
        <v>153</v>
      </c>
      <c r="F78" s="86">
        <f>+F64</f>
        <v>4.3353165734027772E+42</v>
      </c>
      <c r="G78" s="83">
        <f>+G69</f>
        <v>5.0000000000000001E-4</v>
      </c>
      <c r="H78" s="139"/>
      <c r="I78" s="139"/>
      <c r="J78" s="79"/>
    </row>
    <row r="79" spans="2:10" x14ac:dyDescent="0.2">
      <c r="B79" s="81"/>
      <c r="C79" s="683" t="s">
        <v>154</v>
      </c>
      <c r="D79" s="683"/>
      <c r="E79" s="93">
        <f>+F78/F77*E77</f>
        <v>4.3353165734027772E+42</v>
      </c>
      <c r="F79" s="47"/>
      <c r="G79" s="47"/>
      <c r="H79" s="47"/>
      <c r="I79" s="47"/>
      <c r="J79" s="79"/>
    </row>
    <row r="80" spans="2:10" x14ac:dyDescent="0.2">
      <c r="B80" s="81"/>
      <c r="C80" s="683" t="s">
        <v>155</v>
      </c>
      <c r="D80" s="683"/>
      <c r="E80" s="83">
        <f>+E71</f>
        <v>2.9999999999999996E-3</v>
      </c>
      <c r="F80" s="47"/>
      <c r="G80" s="47"/>
      <c r="H80" s="47"/>
      <c r="I80" s="47"/>
      <c r="J80" s="79"/>
    </row>
    <row r="81" spans="2:10" ht="13.5" thickBot="1" x14ac:dyDescent="0.25">
      <c r="B81" s="81"/>
      <c r="C81" s="47"/>
      <c r="D81" s="47"/>
      <c r="E81" s="74">
        <f>IF(E79&gt;10,ROUNDDOWN(E79,0),IF(E79&gt;1,ROUNDDOWN(E79,1),IF(E79&gt;0.1,ROUNDDOWN(E79,2),IF(E79&gt;0.01,ROUNDDOWN(E79,3),ROUNDDOWN(E79,4)))))</f>
        <v>4.3353165734027797E+42</v>
      </c>
      <c r="F81" s="47"/>
      <c r="G81" s="47"/>
      <c r="H81" s="47"/>
      <c r="I81" s="47"/>
      <c r="J81" s="79"/>
    </row>
    <row r="82" spans="2:10" ht="13.5" thickBot="1" x14ac:dyDescent="0.25">
      <c r="B82" s="81"/>
      <c r="C82" s="684" t="s">
        <v>156</v>
      </c>
      <c r="D82" s="685"/>
      <c r="E82" s="109">
        <f>IF(E79&gt;E80,E80,E79)</f>
        <v>2.9999999999999996E-3</v>
      </c>
      <c r="F82" s="95" t="s">
        <v>157</v>
      </c>
      <c r="G82" s="47"/>
      <c r="H82" s="47"/>
      <c r="I82" s="47"/>
      <c r="J82" s="79"/>
    </row>
    <row r="83" spans="2:10" x14ac:dyDescent="0.2">
      <c r="B83" s="81"/>
      <c r="C83" s="47"/>
      <c r="D83" s="47"/>
      <c r="E83" s="74">
        <f>IF(E82&gt;10,ROUNDDOWN(E82,0),IF(E82&gt;1,ROUNDDOWN(E82,1),IF(E82&gt;0.1,ROUNDDOWN(E82,2),IF(E82&gt;0.01,ROUNDDOWN(E82,3),ROUNDDOWN(E82,4)))))</f>
        <v>3.0000000000000001E-3</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26" priority="5">
      <formula>$A41&gt;0</formula>
    </cfRule>
  </conditionalFormatting>
  <conditionalFormatting sqref="G30">
    <cfRule type="expression" dxfId="25" priority="4">
      <formula>$A$29&gt;0</formula>
    </cfRule>
  </conditionalFormatting>
  <conditionalFormatting sqref="G31">
    <cfRule type="expression" dxfId="24" priority="3">
      <formula>$A$30&gt;0</formula>
    </cfRule>
  </conditionalFormatting>
  <conditionalFormatting sqref="G32">
    <cfRule type="expression" dxfId="23" priority="2">
      <formula>$A$31&gt;0</formula>
    </cfRule>
  </conditionalFormatting>
  <conditionalFormatting sqref="G9">
    <cfRule type="expression" dxfId="22" priority="6">
      <formula>#REF!&gt;0</formula>
    </cfRule>
  </conditionalFormatting>
  <conditionalFormatting sqref="G11 G25:I27">
    <cfRule type="expression" dxfId="21" priority="7">
      <formula>#REF!&gt;0</formula>
    </cfRule>
  </conditionalFormatting>
  <conditionalFormatting sqref="G18">
    <cfRule type="expression" dxfId="20" priority="8">
      <formula>#REF!&gt;0</formula>
    </cfRule>
  </conditionalFormatting>
  <conditionalFormatting sqref="G22:G24">
    <cfRule type="expression" dxfId="19" priority="9">
      <formula>$A$25&gt;0</formula>
    </cfRule>
  </conditionalFormatting>
  <conditionalFormatting sqref="G23:G24">
    <cfRule type="expression" dxfId="18" priority="10">
      <formula>#REF!&gt;0</formula>
    </cfRule>
  </conditionalFormatting>
  <conditionalFormatting sqref="G21">
    <cfRule type="expression" dxfId="17" priority="11">
      <formula>$A$23&gt;0</formula>
    </cfRule>
  </conditionalFormatting>
  <conditionalFormatting sqref="G12">
    <cfRule type="expression" dxfId="16" priority="1">
      <formula>#REF!&gt;0</formula>
    </cfRule>
  </conditionalFormatting>
  <conditionalFormatting sqref="G34">
    <cfRule type="expression" dxfId="15" priority="12">
      <formula>#REF!&gt;0</formula>
    </cfRule>
  </conditionalFormatting>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0.65</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650</v>
      </c>
      <c r="S10" s="208" t="s">
        <v>27</v>
      </c>
      <c r="T10" s="203"/>
      <c r="U10" s="190"/>
      <c r="W10" s="182" t="s">
        <v>90</v>
      </c>
      <c r="X10" s="154">
        <f>VLOOKUP($X$23,'パラメーター 一覧表'!$A$20:$F$49,3)</f>
        <v>5</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0.16</v>
      </c>
      <c r="S11" s="208" t="s">
        <v>25</v>
      </c>
      <c r="T11" s="203"/>
      <c r="U11" s="190"/>
      <c r="W11" s="182" t="s">
        <v>271</v>
      </c>
      <c r="X11" s="154">
        <f>+X10</f>
        <v>5</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0.1</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1</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350</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305</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1"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1"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1" t="s">
        <v>79</v>
      </c>
      <c r="L30" s="325"/>
      <c r="M30" s="203"/>
      <c r="N30" s="189"/>
      <c r="O30" s="199"/>
      <c r="P30" s="229" t="s">
        <v>192</v>
      </c>
      <c r="Q30" s="229" t="s">
        <v>193</v>
      </c>
      <c r="R30" s="273">
        <f>+計算シート_有機リン!G39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計算シート_有機リン!G41</f>
        <v>4.5100000000000007</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1"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1"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IF(入力シート_有機リン!$Y$14=1,"目標土壌溶出量濃度",IF(入力シート_有機リン!$Y$14=2,"目標土壌溶出量濃度",IF(入力シート_有機リン!$Y$14=3,"目標土壌溶出量濃度","PRB通過後の観測点における目標地下水濃度")))</f>
        <v>目標土壌溶出量濃度</v>
      </c>
      <c r="E41" s="527"/>
      <c r="F41" s="527"/>
      <c r="G41" s="528">
        <f>IF($X$14=1,IF(計算シート_有機リン!E83&gt;10000,"&gt;10,000",+計算シート_有機リン!E83),計算シート_有機リン!E74)</f>
        <v>1</v>
      </c>
      <c r="H41" s="528"/>
      <c r="I41" s="244" t="s">
        <v>28</v>
      </c>
      <c r="J41" s="155"/>
      <c r="K41" s="529">
        <f>+計算シート_有機リン!E83</f>
        <v>1</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C1:D3"/>
    <mergeCell ref="E11:K11"/>
    <mergeCell ref="D16:E18"/>
    <mergeCell ref="F19:H19"/>
    <mergeCell ref="D20:E20"/>
    <mergeCell ref="F20:H20"/>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D41:F41"/>
    <mergeCell ref="G41:H41"/>
    <mergeCell ref="K41:M41"/>
    <mergeCell ref="N41:O41"/>
    <mergeCell ref="C32:C33"/>
    <mergeCell ref="D32:E33"/>
    <mergeCell ref="F32:H32"/>
    <mergeCell ref="F33:H33"/>
    <mergeCell ref="D35:E35"/>
    <mergeCell ref="F35:H35"/>
  </mergeCells>
  <phoneticPr fontId="4"/>
  <conditionalFormatting sqref="Y13">
    <cfRule type="containsBlanks" dxfId="14" priority="3">
      <formula>LEN(TRIM(Y13))=0</formula>
    </cfRule>
  </conditionalFormatting>
  <conditionalFormatting sqref="D35:H35 J35:L35">
    <cfRule type="expression" dxfId="13" priority="2">
      <formula>$X$14=1</formula>
    </cfRule>
  </conditionalFormatting>
  <conditionalFormatting sqref="I35">
    <cfRule type="expression" dxfId="12" priority="1">
      <formula>$X$14=1</formula>
    </cfRule>
  </conditionalFormatting>
  <dataValidations count="2">
    <dataValidation showInputMessage="1" showErrorMessage="1" errorTitle="物質種類の選択" error="プルダウンリストから選択して下さい" sqref="F20:H20"/>
    <dataValidation type="decimal" allowBlank="1" showInputMessage="1" showErrorMessage="1" errorTitle="入力値確認" error="入力可能な厚さは、_x000a_0～10ｍの範囲です。" sqref="J24">
      <formula1>0</formula1>
      <formula2>10</formula2>
    </dataValidation>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33794"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33795"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A17"/>
  <sheetViews>
    <sheetView showGridLines="0" showRowColHeaders="0" workbookViewId="0">
      <selection activeCell="J31" sqref="J31"/>
    </sheetView>
  </sheetViews>
  <sheetFormatPr defaultColWidth="9" defaultRowHeight="13" x14ac:dyDescent="0.2"/>
  <cols>
    <col min="1" max="16384" width="9" style="175"/>
  </cols>
  <sheetData>
    <row r="1" spans="1:1" x14ac:dyDescent="0.2">
      <c r="A1" s="174" t="s">
        <v>201</v>
      </c>
    </row>
    <row r="2" spans="1:1" ht="14" x14ac:dyDescent="0.2">
      <c r="A2" s="176" t="s">
        <v>202</v>
      </c>
    </row>
    <row r="3" spans="1:1" x14ac:dyDescent="0.2">
      <c r="A3" s="177" t="s">
        <v>203</v>
      </c>
    </row>
    <row r="4" spans="1:1" x14ac:dyDescent="0.2">
      <c r="A4" s="177" t="s">
        <v>204</v>
      </c>
    </row>
    <row r="5" spans="1:1" x14ac:dyDescent="0.2">
      <c r="A5" s="177" t="s">
        <v>205</v>
      </c>
    </row>
    <row r="6" spans="1:1" x14ac:dyDescent="0.2">
      <c r="A6" s="177" t="s">
        <v>206</v>
      </c>
    </row>
    <row r="7" spans="1:1" x14ac:dyDescent="0.2">
      <c r="A7" s="177" t="s">
        <v>207</v>
      </c>
    </row>
    <row r="8" spans="1:1" x14ac:dyDescent="0.2">
      <c r="A8" s="177" t="s">
        <v>208</v>
      </c>
    </row>
    <row r="9" spans="1:1" x14ac:dyDescent="0.2">
      <c r="A9" s="177" t="s">
        <v>209</v>
      </c>
    </row>
    <row r="10" spans="1:1" x14ac:dyDescent="0.2">
      <c r="A10" s="177"/>
    </row>
    <row r="11" spans="1:1" ht="14" x14ac:dyDescent="0.2">
      <c r="A11" s="174" t="s">
        <v>210</v>
      </c>
    </row>
    <row r="12" spans="1:1" ht="16" x14ac:dyDescent="0.2">
      <c r="A12" s="174" t="s">
        <v>211</v>
      </c>
    </row>
    <row r="13" spans="1:1" x14ac:dyDescent="0.2">
      <c r="A13" s="177" t="s">
        <v>212</v>
      </c>
    </row>
    <row r="14" spans="1:1" x14ac:dyDescent="0.2">
      <c r="A14" s="177" t="s">
        <v>213</v>
      </c>
    </row>
    <row r="15" spans="1:1" x14ac:dyDescent="0.2">
      <c r="A15" s="177" t="s">
        <v>214</v>
      </c>
    </row>
    <row r="16" spans="1:1" x14ac:dyDescent="0.2">
      <c r="A16" s="177" t="s">
        <v>215</v>
      </c>
    </row>
    <row r="17" spans="1:1" x14ac:dyDescent="0.2">
      <c r="A17" s="177" t="s">
        <v>216</v>
      </c>
    </row>
  </sheetData>
  <phoneticPr fontId="4"/>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90" zoomScaleNormal="90" workbookViewId="0">
      <selection activeCell="O72" sqref="O72"/>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+入力シート_有機リン!F20</f>
        <v>有機リン</v>
      </c>
      <c r="D6" s="721"/>
      <c r="E6" s="722"/>
      <c r="F6" s="17"/>
      <c r="G6" s="18" t="str">
        <f>$C$6</f>
        <v>有機リン</v>
      </c>
      <c r="L6" s="102"/>
      <c r="M6" s="15"/>
      <c r="N6" s="15"/>
      <c r="O6" s="15"/>
      <c r="P6" s="15"/>
      <c r="Q6" s="15"/>
      <c r="R6" s="15"/>
      <c r="S6" s="15"/>
    </row>
    <row r="7" spans="2:19" ht="13.5" thickBot="1" x14ac:dyDescent="0.25">
      <c r="B7" s="19" t="s">
        <v>87</v>
      </c>
      <c r="C7" s="723" t="s">
        <v>88</v>
      </c>
      <c r="D7" s="724"/>
      <c r="E7" s="725"/>
      <c r="F7" s="20" t="s">
        <v>89</v>
      </c>
      <c r="G7" s="21">
        <f>+入力シート_有機リン!R14</f>
        <v>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43</v>
      </c>
      <c r="G9" s="25">
        <f>++入力シート_有機リン!J32</f>
        <v>30</v>
      </c>
      <c r="L9" s="102"/>
      <c r="M9" s="15"/>
      <c r="N9" s="15"/>
      <c r="O9" s="15"/>
      <c r="P9" s="15"/>
      <c r="Q9" s="15"/>
      <c r="R9" s="15"/>
      <c r="S9" s="15"/>
    </row>
    <row r="10" spans="2:19" ht="18" x14ac:dyDescent="0.2">
      <c r="B10" s="26" t="s">
        <v>91</v>
      </c>
      <c r="C10" s="686" t="s">
        <v>72</v>
      </c>
      <c r="D10" s="689"/>
      <c r="E10" s="687"/>
      <c r="F10" s="362" t="s">
        <v>43</v>
      </c>
      <c r="G10" s="28">
        <f>+入力シート_有機リン!J33</f>
        <v>15</v>
      </c>
      <c r="L10" s="102"/>
      <c r="M10" s="15"/>
      <c r="N10" s="15"/>
      <c r="O10" s="15"/>
      <c r="P10" s="15"/>
      <c r="Q10" s="15"/>
      <c r="R10" s="15"/>
      <c r="S10" s="15"/>
    </row>
    <row r="11" spans="2:19" ht="18" x14ac:dyDescent="0.2">
      <c r="B11" s="26" t="s">
        <v>73</v>
      </c>
      <c r="C11" s="686" t="s">
        <v>74</v>
      </c>
      <c r="D11" s="689"/>
      <c r="E11" s="687"/>
      <c r="F11" s="362" t="s">
        <v>43</v>
      </c>
      <c r="G11" s="28">
        <f>+入力シート_有機リン!J24</f>
        <v>8</v>
      </c>
      <c r="L11" s="102"/>
      <c r="M11" s="15"/>
      <c r="N11" s="15"/>
      <c r="O11" s="15"/>
      <c r="P11" s="15"/>
      <c r="Q11" s="15"/>
      <c r="R11" s="15"/>
      <c r="S11" s="15"/>
    </row>
    <row r="12" spans="2:19" ht="18.5" thickBot="1" x14ac:dyDescent="0.25">
      <c r="B12" s="29" t="s">
        <v>75</v>
      </c>
      <c r="C12" s="703" t="s">
        <v>76</v>
      </c>
      <c r="D12" s="704"/>
      <c r="E12" s="705"/>
      <c r="F12" s="30" t="s">
        <v>43</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入力シート_有機リン!J30</f>
        <v>50</v>
      </c>
      <c r="L14" s="102"/>
      <c r="M14" s="15"/>
      <c r="N14" s="15"/>
      <c r="O14" s="15"/>
      <c r="P14" s="15"/>
      <c r="Q14" s="15"/>
      <c r="R14" s="15"/>
      <c r="S14" s="15"/>
    </row>
    <row r="15" spans="2:19" ht="14" hidden="1" x14ac:dyDescent="0.2">
      <c r="B15" s="140" t="s">
        <v>80</v>
      </c>
      <c r="C15" s="709" t="s">
        <v>81</v>
      </c>
      <c r="D15" s="710"/>
      <c r="E15" s="711"/>
      <c r="F15" s="141" t="s">
        <v>79</v>
      </c>
      <c r="G15" s="142">
        <f>+G14</f>
        <v>50</v>
      </c>
      <c r="L15" s="102"/>
      <c r="M15" s="15"/>
      <c r="N15" s="15"/>
      <c r="O15" s="15"/>
      <c r="P15" s="15"/>
      <c r="Q15" s="15"/>
      <c r="R15" s="15"/>
      <c r="S15" s="15"/>
    </row>
    <row r="16" spans="2:19" ht="14.5" hidden="1" thickBot="1" x14ac:dyDescent="0.25">
      <c r="B16" s="33" t="s">
        <v>83</v>
      </c>
      <c r="C16" s="712" t="s">
        <v>84</v>
      </c>
      <c r="D16" s="713"/>
      <c r="E16" s="714"/>
      <c r="F16" s="34" t="s">
        <v>79</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入力シート_有機リン!R20</f>
        <v>3.0000000000000001E-5</v>
      </c>
      <c r="L21" s="70"/>
      <c r="M21" s="15"/>
      <c r="N21" s="15"/>
      <c r="O21" s="15"/>
      <c r="P21" s="15"/>
      <c r="Q21" s="15"/>
      <c r="R21" s="15"/>
      <c r="S21" s="15"/>
    </row>
    <row r="22" spans="1:19" ht="18" x14ac:dyDescent="0.2">
      <c r="A22" s="37"/>
      <c r="B22" s="26" t="s">
        <v>98</v>
      </c>
      <c r="C22" s="686" t="s">
        <v>50</v>
      </c>
      <c r="D22" s="689"/>
      <c r="E22" s="687"/>
      <c r="F22" s="362" t="s">
        <v>99</v>
      </c>
      <c r="G22" s="28">
        <f>入力シート_有機リン!F27</f>
        <v>5.0000000000000001E-3</v>
      </c>
      <c r="L22" s="70"/>
      <c r="M22" s="15"/>
      <c r="N22" s="15"/>
      <c r="O22" s="15"/>
      <c r="P22" s="15"/>
      <c r="Q22" s="15"/>
      <c r="R22" s="15"/>
      <c r="S22" s="15"/>
    </row>
    <row r="23" spans="1:19" ht="18" x14ac:dyDescent="0.2">
      <c r="A23" s="37"/>
      <c r="B23" s="26" t="s">
        <v>176</v>
      </c>
      <c r="C23" s="688" t="s">
        <v>178</v>
      </c>
      <c r="D23" s="689"/>
      <c r="E23" s="687"/>
      <c r="F23" s="362" t="s">
        <v>51</v>
      </c>
      <c r="G23" s="28">
        <f>入力シート_有機リン!R21</f>
        <v>0.3</v>
      </c>
      <c r="L23" s="70"/>
      <c r="M23" s="15"/>
      <c r="N23" s="15"/>
      <c r="O23" s="15"/>
      <c r="P23" s="15"/>
      <c r="Q23" s="15"/>
      <c r="R23" s="15"/>
      <c r="S23" s="15"/>
    </row>
    <row r="24" spans="1:19" ht="18" x14ac:dyDescent="0.2">
      <c r="A24" s="37"/>
      <c r="B24" s="26" t="s">
        <v>163</v>
      </c>
      <c r="C24" s="688" t="s">
        <v>177</v>
      </c>
      <c r="D24" s="689"/>
      <c r="E24" s="687"/>
      <c r="F24" s="362" t="s">
        <v>51</v>
      </c>
      <c r="G24" s="28">
        <f>入力シート_有機リン!R22</f>
        <v>0.4</v>
      </c>
      <c r="L24" s="70"/>
      <c r="M24" s="15"/>
      <c r="N24" s="15"/>
      <c r="O24" s="15"/>
      <c r="P24" s="15"/>
      <c r="Q24" s="15"/>
      <c r="R24" s="15"/>
      <c r="S24" s="15"/>
    </row>
    <row r="25" spans="1:19" ht="21" x14ac:dyDescent="0.2">
      <c r="A25" s="37"/>
      <c r="B25" s="26" t="s">
        <v>101</v>
      </c>
      <c r="C25" s="686" t="s">
        <v>46</v>
      </c>
      <c r="D25" s="689"/>
      <c r="E25" s="687"/>
      <c r="F25" s="362" t="s">
        <v>43</v>
      </c>
      <c r="G25" s="43">
        <f>入力シート_有機リン!R12</f>
        <v>5</v>
      </c>
      <c r="H25" s="71"/>
      <c r="I25" s="71"/>
      <c r="L25" s="70"/>
      <c r="M25" s="15"/>
      <c r="N25" s="15"/>
      <c r="O25" s="15"/>
      <c r="P25" s="15"/>
      <c r="Q25" s="15"/>
      <c r="R25" s="15"/>
      <c r="S25" s="15"/>
    </row>
    <row r="26" spans="1:19" ht="22.5" customHeight="1" x14ac:dyDescent="0.2">
      <c r="A26" s="37"/>
      <c r="B26" s="26" t="s">
        <v>102</v>
      </c>
      <c r="C26" s="686" t="s">
        <v>47</v>
      </c>
      <c r="D26" s="689"/>
      <c r="E26" s="687"/>
      <c r="F26" s="362" t="s">
        <v>43</v>
      </c>
      <c r="G26" s="43">
        <f>入力シート_有機リン!R13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43</v>
      </c>
      <c r="G27" s="46">
        <f>入力シート_有機リン!R13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94</v>
      </c>
      <c r="G29" s="48">
        <f>入力シート_有機リン!R11</f>
        <v>0.16</v>
      </c>
      <c r="L29" s="70"/>
      <c r="M29" s="15"/>
      <c r="N29" s="15"/>
      <c r="O29" s="15"/>
      <c r="P29" s="15"/>
      <c r="Q29" s="15"/>
      <c r="R29" s="15"/>
      <c r="S29" s="15"/>
    </row>
    <row r="30" spans="1:19" ht="14" x14ac:dyDescent="0.3">
      <c r="A30" s="37"/>
      <c r="B30" s="49" t="s">
        <v>107</v>
      </c>
      <c r="C30" s="692" t="s">
        <v>53</v>
      </c>
      <c r="D30" s="692"/>
      <c r="E30" s="692"/>
      <c r="F30" s="364" t="s">
        <v>108</v>
      </c>
      <c r="G30" s="51">
        <f>入力シート_有機リン!R9</f>
        <v>0.65</v>
      </c>
      <c r="L30" s="70"/>
      <c r="M30" s="15"/>
      <c r="N30" s="15"/>
      <c r="O30" s="15"/>
      <c r="P30" s="15"/>
      <c r="Q30" s="15"/>
      <c r="R30" s="15"/>
      <c r="S30" s="15"/>
    </row>
    <row r="31" spans="1:19" ht="18" x14ac:dyDescent="0.4">
      <c r="A31" s="37"/>
      <c r="B31" s="52" t="s">
        <v>109</v>
      </c>
      <c r="C31" s="692" t="s">
        <v>110</v>
      </c>
      <c r="D31" s="692"/>
      <c r="E31" s="692"/>
      <c r="F31" s="364" t="s">
        <v>111</v>
      </c>
      <c r="G31" s="51">
        <f>IF(A31="",入力シート_有機リン!R10,A31)</f>
        <v>650</v>
      </c>
      <c r="L31" s="70"/>
      <c r="M31" s="15"/>
      <c r="N31" s="15"/>
      <c r="O31" s="15"/>
      <c r="P31" s="15"/>
      <c r="Q31" s="15"/>
      <c r="R31" s="15"/>
      <c r="S31" s="15"/>
    </row>
    <row r="32" spans="1:19" ht="18.5" thickBot="1" x14ac:dyDescent="0.45">
      <c r="A32" s="37"/>
      <c r="B32" s="53" t="s">
        <v>112</v>
      </c>
      <c r="C32" s="695" t="s">
        <v>113</v>
      </c>
      <c r="D32" s="695"/>
      <c r="E32" s="695"/>
      <c r="F32" s="365" t="s">
        <v>114</v>
      </c>
      <c r="G32" s="55">
        <f>入力シート_有機リン!R25</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367" t="s">
        <v>117</v>
      </c>
      <c r="G34" s="172">
        <f>入力シート_有機リン!R24</f>
        <v>1.62</v>
      </c>
      <c r="L34" s="15"/>
      <c r="M34" s="15"/>
      <c r="N34" s="15"/>
      <c r="O34" s="15"/>
      <c r="P34" s="15"/>
      <c r="Q34" s="15"/>
      <c r="R34" s="15"/>
      <c r="S34" s="15"/>
    </row>
    <row r="35" spans="1:19" ht="18" x14ac:dyDescent="0.2">
      <c r="B35" s="26" t="s">
        <v>118</v>
      </c>
      <c r="C35" s="686" t="s">
        <v>119</v>
      </c>
      <c r="D35" s="689"/>
      <c r="E35" s="687"/>
      <c r="F35" s="362" t="s">
        <v>120</v>
      </c>
      <c r="G35" s="43">
        <f>+入力シート_有機リン!J35*0.365</f>
        <v>0.36499999999999999</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4.3321698784996583</v>
      </c>
    </row>
    <row r="39" spans="1:19" ht="18" x14ac:dyDescent="0.2">
      <c r="B39" s="26" t="s">
        <v>127</v>
      </c>
      <c r="C39" s="686" t="s">
        <v>55</v>
      </c>
      <c r="D39" s="689"/>
      <c r="E39" s="687"/>
      <c r="F39" s="362" t="s">
        <v>128</v>
      </c>
      <c r="G39" s="132">
        <f>+G40*G22/G23</f>
        <v>15.768000000000002</v>
      </c>
      <c r="R39" s="60"/>
    </row>
    <row r="40" spans="1:19" ht="18" x14ac:dyDescent="0.2">
      <c r="B40" s="26" t="s">
        <v>96</v>
      </c>
      <c r="C40" s="686" t="s">
        <v>49</v>
      </c>
      <c r="D40" s="689"/>
      <c r="E40" s="687"/>
      <c r="F40" s="362" t="s">
        <v>128</v>
      </c>
      <c r="G40" s="133">
        <f>+G21*86400*365</f>
        <v>946.08</v>
      </c>
      <c r="R40" s="60"/>
    </row>
    <row r="41" spans="1:19" ht="18.5" thickBot="1" x14ac:dyDescent="0.25">
      <c r="B41" s="44" t="s">
        <v>130</v>
      </c>
      <c r="C41" s="701" t="s">
        <v>56</v>
      </c>
      <c r="D41" s="702"/>
      <c r="E41" s="694"/>
      <c r="F41" s="45"/>
      <c r="G41" s="148">
        <f>1+G30*G34/G23</f>
        <v>4.5100000000000007</v>
      </c>
    </row>
    <row r="42" spans="1:19" ht="18.5" thickBot="1" x14ac:dyDescent="0.25">
      <c r="B42" s="61" t="s">
        <v>131</v>
      </c>
      <c r="R42" s="60"/>
    </row>
    <row r="43" spans="1:19" x14ac:dyDescent="0.2">
      <c r="B43" s="12"/>
      <c r="C43" s="697" t="s">
        <v>132</v>
      </c>
      <c r="D43" s="698"/>
      <c r="E43" s="698"/>
      <c r="F43" s="367"/>
      <c r="G43" s="125">
        <f>SQRT(1+4*$G38*G25/$G39)</f>
        <v>2.5485070585388212</v>
      </c>
      <c r="H43" s="122"/>
      <c r="I43" s="122"/>
      <c r="N43" s="60"/>
      <c r="R43" s="47"/>
    </row>
    <row r="44" spans="1:19" x14ac:dyDescent="0.2">
      <c r="B44" s="62" t="s">
        <v>133</v>
      </c>
      <c r="C44" s="687"/>
      <c r="D44" s="692"/>
      <c r="E44" s="692"/>
      <c r="F44" s="63"/>
      <c r="G44" s="126">
        <f>EXP(G14/(2*G25)*(1-G43))</f>
        <v>4.3396993836885645E-4</v>
      </c>
      <c r="H44" s="122"/>
      <c r="I44" s="122"/>
      <c r="N44" s="60"/>
    </row>
    <row r="45" spans="1:19" x14ac:dyDescent="0.2">
      <c r="B45" s="62" t="s">
        <v>57</v>
      </c>
      <c r="C45" s="687"/>
      <c r="D45" s="692"/>
      <c r="E45" s="692"/>
      <c r="F45" s="364"/>
      <c r="G45" s="127">
        <f>IF(G14-$G39*$G18/$G41*G43&lt;=0,2-ERFC((-G14+$G39*$G18/$G41*G43)/(2*SQRT(G25*$G39*$G18/$G41))),ERFC((G14-$G39*$G18/$G41*G43)/(2*SQRT(G25*$G39*$G18/$G41))))</f>
        <v>2</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367" t="s">
        <v>137</v>
      </c>
      <c r="G50" s="135">
        <f>IF(+G44*G45*G46*G47/2=0,1E-300,+G44*G45*G46*G47/2)</f>
        <v>4.1926059087372562E-4</v>
      </c>
      <c r="H50" s="124"/>
      <c r="I50" s="124"/>
      <c r="K50" s="47"/>
      <c r="L50" s="47"/>
      <c r="M50" s="47"/>
      <c r="N50" s="47"/>
      <c r="O50" s="47"/>
      <c r="P50" s="47"/>
      <c r="Q50" s="47"/>
    </row>
    <row r="51" spans="1:17" ht="21.5" thickBot="1" x14ac:dyDescent="0.6">
      <c r="A51" s="67"/>
      <c r="B51" s="136" t="s">
        <v>138</v>
      </c>
      <c r="C51" s="694" t="s">
        <v>139</v>
      </c>
      <c r="D51" s="695"/>
      <c r="E51" s="695"/>
      <c r="F51" s="365" t="s">
        <v>137</v>
      </c>
      <c r="G51" s="137">
        <f>+G44*G46*G47</f>
        <v>4.1926059087372562E-4</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362" t="s">
        <v>141</v>
      </c>
      <c r="G53" s="73">
        <f>G9*G10*G35*(1-G36)</f>
        <v>164.25</v>
      </c>
      <c r="K53" s="47"/>
      <c r="L53" s="47"/>
      <c r="M53" s="47"/>
      <c r="N53" s="47"/>
      <c r="O53" s="15"/>
      <c r="P53" s="15"/>
      <c r="Q53" s="15"/>
    </row>
    <row r="54" spans="1:17" ht="16.5" x14ac:dyDescent="0.2">
      <c r="A54" s="68"/>
      <c r="B54" s="72" t="s">
        <v>124</v>
      </c>
      <c r="C54" s="686" t="s">
        <v>142</v>
      </c>
      <c r="D54" s="689"/>
      <c r="E54" s="687"/>
      <c r="F54" s="362" t="s">
        <v>141</v>
      </c>
      <c r="G54" s="73">
        <f>G40*G22*G9*G11</f>
        <v>1135.296</v>
      </c>
      <c r="K54" s="47"/>
      <c r="L54" s="47"/>
      <c r="M54" s="47"/>
      <c r="N54" s="47"/>
      <c r="O54" s="15"/>
      <c r="P54" s="15"/>
      <c r="Q54" s="15"/>
    </row>
    <row r="55" spans="1:17" ht="16.5" x14ac:dyDescent="0.2">
      <c r="A55" s="67"/>
      <c r="B55" s="72" t="s">
        <v>124</v>
      </c>
      <c r="C55" s="686" t="s">
        <v>143</v>
      </c>
      <c r="D55" s="689"/>
      <c r="E55" s="687"/>
      <c r="F55" s="362"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362" t="s">
        <v>137</v>
      </c>
      <c r="G57" s="106">
        <f>+G53/(G54+G53)</f>
        <v>0.12639029322548029</v>
      </c>
      <c r="H57" s="107" t="s">
        <v>182</v>
      </c>
      <c r="K57" s="47"/>
      <c r="L57" s="47"/>
      <c r="M57" s="47"/>
      <c r="N57" s="47"/>
      <c r="O57" s="47"/>
      <c r="P57" s="47"/>
      <c r="Q57" s="47"/>
    </row>
    <row r="58" spans="1:17" ht="20.5" x14ac:dyDescent="0.2">
      <c r="A58" s="68"/>
      <c r="B58" s="72" t="s">
        <v>181</v>
      </c>
      <c r="C58" s="688" t="s">
        <v>180</v>
      </c>
      <c r="D58" s="689"/>
      <c r="E58" s="687"/>
      <c r="F58" s="362" t="s">
        <v>137</v>
      </c>
      <c r="G58" s="106">
        <v>1</v>
      </c>
      <c r="H58" s="108" t="s">
        <v>183</v>
      </c>
      <c r="K58" s="64"/>
      <c r="L58" s="366"/>
      <c r="M58" s="366"/>
      <c r="N58" s="366"/>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有機リン</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363"/>
      <c r="M61" s="363"/>
      <c r="N61" s="363"/>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4.1926059087372562E-4</v>
      </c>
      <c r="H63" s="139"/>
      <c r="I63" s="139"/>
      <c r="J63" s="79"/>
      <c r="K63" s="84"/>
      <c r="L63" s="691"/>
      <c r="M63" s="691"/>
      <c r="N63" s="691"/>
      <c r="O63" s="74"/>
      <c r="P63" s="85"/>
      <c r="Q63" s="47"/>
    </row>
    <row r="64" spans="1:17" ht="16.5" x14ac:dyDescent="0.2">
      <c r="B64" s="87"/>
      <c r="C64" s="693" t="s">
        <v>150</v>
      </c>
      <c r="D64" s="693"/>
      <c r="E64" s="693"/>
      <c r="F64" s="88">
        <f>+G64/G63*F63</f>
        <v>238.51514350920323</v>
      </c>
      <c r="G64" s="83">
        <f>+G7</f>
        <v>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238</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364">
        <v>1</v>
      </c>
      <c r="F68" s="86">
        <f>+G57</f>
        <v>0.12639029322548029</v>
      </c>
      <c r="G68" s="86">
        <f>+F68*G63</f>
        <v>5.2990469018418307E-5</v>
      </c>
      <c r="H68" s="139"/>
      <c r="I68" s="139"/>
      <c r="J68" s="79"/>
    </row>
    <row r="69" spans="2:10" x14ac:dyDescent="0.2">
      <c r="B69" s="81"/>
      <c r="C69" s="686" t="s">
        <v>150</v>
      </c>
      <c r="D69" s="687"/>
      <c r="E69" s="364" t="s">
        <v>153</v>
      </c>
      <c r="F69" s="86">
        <f>+G69/G68*F68</f>
        <v>238.51514350920323</v>
      </c>
      <c r="G69" s="83">
        <f>+G64</f>
        <v>0.1</v>
      </c>
      <c r="H69" s="139"/>
      <c r="I69" s="139"/>
      <c r="J69" s="79"/>
    </row>
    <row r="70" spans="2:10" x14ac:dyDescent="0.2">
      <c r="B70" s="81"/>
      <c r="C70" s="683" t="s">
        <v>154</v>
      </c>
      <c r="D70" s="683"/>
      <c r="E70" s="93">
        <f>+F69/F68*E68</f>
        <v>1887.1318154448159</v>
      </c>
      <c r="F70" s="47"/>
      <c r="G70" s="47"/>
      <c r="H70" s="47"/>
      <c r="I70" s="47"/>
      <c r="J70" s="79"/>
    </row>
    <row r="71" spans="2:10" x14ac:dyDescent="0.2">
      <c r="B71" s="81"/>
      <c r="C71" s="683" t="s">
        <v>155</v>
      </c>
      <c r="D71" s="683"/>
      <c r="E71" s="83">
        <f>入力シート_有機リン!R15</f>
        <v>1</v>
      </c>
      <c r="F71" s="47"/>
      <c r="G71" s="47"/>
      <c r="H71" s="47"/>
      <c r="I71" s="47"/>
      <c r="J71" s="79"/>
    </row>
    <row r="72" spans="2:10" ht="13.5" thickBot="1" x14ac:dyDescent="0.25">
      <c r="B72" s="81"/>
      <c r="C72" s="47"/>
      <c r="D72" s="47"/>
      <c r="E72" s="74">
        <f>IF(E70&gt;10,ROUNDDOWN(E70,0),IF(E70&gt;1,ROUNDDOWN(E70,1),IF(E70&gt;0.1,ROUNDDOWN(E70,2),IF(E70&gt;0.01,ROUNDDOWN(E70,3),ROUNDDOWN(E70,4)))))</f>
        <v>1887</v>
      </c>
      <c r="F72" s="47"/>
      <c r="G72" s="47"/>
      <c r="H72" s="47"/>
      <c r="I72" s="47"/>
      <c r="J72" s="79"/>
    </row>
    <row r="73" spans="2:10" ht="13.5" thickBot="1" x14ac:dyDescent="0.25">
      <c r="B73" s="81"/>
      <c r="C73" s="684" t="s">
        <v>156</v>
      </c>
      <c r="D73" s="685"/>
      <c r="E73" s="109">
        <f>IF(E70&gt;E71,E71,E70)</f>
        <v>1</v>
      </c>
      <c r="F73" s="95" t="s">
        <v>157</v>
      </c>
      <c r="G73" s="47"/>
      <c r="H73" s="47"/>
      <c r="I73" s="47"/>
      <c r="J73" s="79"/>
    </row>
    <row r="74" spans="2:10" x14ac:dyDescent="0.2">
      <c r="B74" s="81"/>
      <c r="C74" s="47"/>
      <c r="D74" s="47"/>
      <c r="E74" s="74">
        <f>IF(E73&gt;10,ROUNDDOWN(E73,0),IF(E73&gt;1,ROUNDDOWN(E73,1),IF(E73&gt;0.1,ROUNDDOWN(E73,2),IF(E73&gt;0.01,ROUNDDOWN(E73,3),ROUNDDOWN(E73,4)))))</f>
        <v>1</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364">
        <v>1</v>
      </c>
      <c r="F77" s="86">
        <f>G58</f>
        <v>1</v>
      </c>
      <c r="G77" s="86">
        <f>+F77*G63</f>
        <v>4.1926059087372562E-4</v>
      </c>
      <c r="H77" s="139"/>
      <c r="I77" s="139"/>
      <c r="J77" s="79"/>
    </row>
    <row r="78" spans="2:10" x14ac:dyDescent="0.2">
      <c r="B78" s="81"/>
      <c r="C78" s="686" t="s">
        <v>150</v>
      </c>
      <c r="D78" s="687"/>
      <c r="E78" s="364" t="s">
        <v>153</v>
      </c>
      <c r="F78" s="86">
        <f>+F64</f>
        <v>238.51514350920323</v>
      </c>
      <c r="G78" s="83">
        <f>+G69</f>
        <v>0.1</v>
      </c>
      <c r="H78" s="139"/>
      <c r="I78" s="139"/>
      <c r="J78" s="79"/>
    </row>
    <row r="79" spans="2:10" x14ac:dyDescent="0.2">
      <c r="B79" s="81"/>
      <c r="C79" s="683" t="s">
        <v>154</v>
      </c>
      <c r="D79" s="683"/>
      <c r="E79" s="93">
        <f>+F78/F77*E77</f>
        <v>238.51514350920323</v>
      </c>
      <c r="F79" s="47"/>
      <c r="G79" s="47"/>
      <c r="H79" s="47"/>
      <c r="I79" s="47"/>
      <c r="J79" s="79"/>
    </row>
    <row r="80" spans="2:10" x14ac:dyDescent="0.2">
      <c r="B80" s="81"/>
      <c r="C80" s="683" t="s">
        <v>155</v>
      </c>
      <c r="D80" s="683"/>
      <c r="E80" s="83">
        <f>+E71</f>
        <v>1</v>
      </c>
      <c r="F80" s="47"/>
      <c r="G80" s="47"/>
      <c r="H80" s="47"/>
      <c r="I80" s="47"/>
      <c r="J80" s="79"/>
    </row>
    <row r="81" spans="2:10" ht="13.5" thickBot="1" x14ac:dyDescent="0.25">
      <c r="B81" s="81"/>
      <c r="C81" s="47"/>
      <c r="D81" s="47"/>
      <c r="E81" s="74">
        <f>IF(E79&gt;10,ROUNDDOWN(E79,0),IF(E79&gt;1,ROUNDDOWN(E79,1),IF(E79&gt;0.1,ROUNDDOWN(E79,2),IF(E79&gt;0.01,ROUNDDOWN(E79,3),ROUNDDOWN(E79,4)))))</f>
        <v>238</v>
      </c>
      <c r="F81" s="47"/>
      <c r="G81" s="47"/>
      <c r="H81" s="47"/>
      <c r="I81" s="47"/>
      <c r="J81" s="79"/>
    </row>
    <row r="82" spans="2:10" ht="13.5" thickBot="1" x14ac:dyDescent="0.25">
      <c r="B82" s="81"/>
      <c r="C82" s="684" t="s">
        <v>156</v>
      </c>
      <c r="D82" s="685"/>
      <c r="E82" s="109">
        <f>IF(E79&gt;E80,E80,E79)</f>
        <v>1</v>
      </c>
      <c r="F82" s="95" t="s">
        <v>157</v>
      </c>
      <c r="G82" s="47"/>
      <c r="H82" s="47"/>
      <c r="I82" s="47"/>
      <c r="J82" s="79"/>
    </row>
    <row r="83" spans="2:10" x14ac:dyDescent="0.2">
      <c r="B83" s="81"/>
      <c r="C83" s="47"/>
      <c r="D83" s="47"/>
      <c r="E83" s="74">
        <f>IF(E82&gt;10,ROUNDDOWN(E82,0),IF(E82&gt;1,ROUNDDOWN(E82,1),IF(E82&gt;0.1,ROUNDDOWN(E82,2),IF(E82&gt;0.01,ROUNDDOWN(E82,3),ROUNDDOWN(E82,4)))))</f>
        <v>1</v>
      </c>
      <c r="F83" s="47"/>
      <c r="G83" s="47"/>
      <c r="H83" s="47"/>
      <c r="I83" s="47"/>
      <c r="J83" s="79"/>
    </row>
    <row r="84" spans="2:10" ht="13.5" thickBot="1" x14ac:dyDescent="0.25">
      <c r="B84" s="96"/>
      <c r="C84" s="97"/>
      <c r="D84" s="97"/>
      <c r="E84" s="97"/>
      <c r="F84" s="97"/>
      <c r="G84" s="97"/>
      <c r="H84" s="97"/>
      <c r="I84" s="97"/>
      <c r="J84" s="98"/>
    </row>
  </sheetData>
  <mergeCells count="60">
    <mergeCell ref="C21:E21"/>
    <mergeCell ref="C5:E5"/>
    <mergeCell ref="C6:E6"/>
    <mergeCell ref="C7:E7"/>
    <mergeCell ref="C9:E9"/>
    <mergeCell ref="C10:E10"/>
    <mergeCell ref="C11:E11"/>
    <mergeCell ref="C12:E12"/>
    <mergeCell ref="C14:E14"/>
    <mergeCell ref="C15:E15"/>
    <mergeCell ref="C16:E16"/>
    <mergeCell ref="C18:E18"/>
    <mergeCell ref="C35:E35"/>
    <mergeCell ref="C22:E22"/>
    <mergeCell ref="C23:E23"/>
    <mergeCell ref="C24:E24"/>
    <mergeCell ref="C25:E25"/>
    <mergeCell ref="C26:E26"/>
    <mergeCell ref="C27:E27"/>
    <mergeCell ref="C29:E29"/>
    <mergeCell ref="C30:E30"/>
    <mergeCell ref="C31:E31"/>
    <mergeCell ref="C32:E32"/>
    <mergeCell ref="C34:E34"/>
    <mergeCell ref="L49:N49"/>
    <mergeCell ref="C50:E50"/>
    <mergeCell ref="C36:E36"/>
    <mergeCell ref="C38:E38"/>
    <mergeCell ref="C39:E39"/>
    <mergeCell ref="C40:E40"/>
    <mergeCell ref="C41:E41"/>
    <mergeCell ref="C43:E43"/>
    <mergeCell ref="C44:E44"/>
    <mergeCell ref="C45:E45"/>
    <mergeCell ref="C46:E46"/>
    <mergeCell ref="C47:E47"/>
    <mergeCell ref="C51:E51"/>
    <mergeCell ref="L52:N52"/>
    <mergeCell ref="C53:E53"/>
    <mergeCell ref="C54:E54"/>
    <mergeCell ref="C55:E55"/>
    <mergeCell ref="C57:E57"/>
    <mergeCell ref="C56:E56"/>
    <mergeCell ref="C58:E58"/>
    <mergeCell ref="C62:E62"/>
    <mergeCell ref="L62:N62"/>
    <mergeCell ref="C63:E63"/>
    <mergeCell ref="L63:N63"/>
    <mergeCell ref="C82:D82"/>
    <mergeCell ref="C64:E64"/>
    <mergeCell ref="C65:E65"/>
    <mergeCell ref="C68:D68"/>
    <mergeCell ref="C69:D69"/>
    <mergeCell ref="C70:D70"/>
    <mergeCell ref="C71:D71"/>
    <mergeCell ref="C73:D73"/>
    <mergeCell ref="C77:D77"/>
    <mergeCell ref="C78:D78"/>
    <mergeCell ref="C79:D79"/>
    <mergeCell ref="C80:D80"/>
  </mergeCells>
  <phoneticPr fontId="4"/>
  <conditionalFormatting sqref="G29">
    <cfRule type="expression" dxfId="11" priority="5">
      <formula>$A41&gt;0</formula>
    </cfRule>
  </conditionalFormatting>
  <conditionalFormatting sqref="G30">
    <cfRule type="expression" dxfId="10" priority="4">
      <formula>$A$29&gt;0</formula>
    </cfRule>
  </conditionalFormatting>
  <conditionalFormatting sqref="G31">
    <cfRule type="expression" dxfId="9" priority="3">
      <formula>$A$30&gt;0</formula>
    </cfRule>
  </conditionalFormatting>
  <conditionalFormatting sqref="G32">
    <cfRule type="expression" dxfId="8" priority="2">
      <formula>$A$31&gt;0</formula>
    </cfRule>
  </conditionalFormatting>
  <conditionalFormatting sqref="G9">
    <cfRule type="expression" dxfId="7" priority="6">
      <formula>#REF!&gt;0</formula>
    </cfRule>
  </conditionalFormatting>
  <conditionalFormatting sqref="G11 G25:I27">
    <cfRule type="expression" dxfId="6" priority="7">
      <formula>#REF!&gt;0</formula>
    </cfRule>
  </conditionalFormatting>
  <conditionalFormatting sqref="G18">
    <cfRule type="expression" dxfId="5" priority="8">
      <formula>#REF!&gt;0</formula>
    </cfRule>
  </conditionalFormatting>
  <conditionalFormatting sqref="G22:G24">
    <cfRule type="expression" dxfId="4" priority="9">
      <formula>$A$25&gt;0</formula>
    </cfRule>
  </conditionalFormatting>
  <conditionalFormatting sqref="G23:G24">
    <cfRule type="expression" dxfId="3" priority="10">
      <formula>#REF!&gt;0</formula>
    </cfRule>
  </conditionalFormatting>
  <conditionalFormatting sqref="G21">
    <cfRule type="expression" dxfId="2" priority="11">
      <formula>$A$23&gt;0</formula>
    </cfRule>
  </conditionalFormatting>
  <conditionalFormatting sqref="G12">
    <cfRule type="expression" dxfId="1" priority="1">
      <formula>#REF!&gt;0</formula>
    </cfRule>
  </conditionalFormatting>
  <conditionalFormatting sqref="G34">
    <cfRule type="expression" dxfId="0" priority="12">
      <formula>#REF!&gt;0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84"/>
  <sheetViews>
    <sheetView showGridLines="0" topLeftCell="A52" zoomScale="90" zoomScaleNormal="90" workbookViewId="0">
      <selection activeCell="D74" sqref="D74"/>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9.453125"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 (一物質)'!F20</f>
        <v>カドミウム及びその化合物</v>
      </c>
      <c r="D6" s="721"/>
      <c r="E6" s="722"/>
      <c r="F6" s="17"/>
      <c r="G6" s="18" t="str">
        <f>$C$6</f>
        <v>カドミウム及びその化合物</v>
      </c>
      <c r="L6" s="102"/>
      <c r="M6" s="15"/>
      <c r="N6" s="15"/>
      <c r="O6" s="15"/>
      <c r="P6" s="15"/>
      <c r="Q6" s="15"/>
      <c r="R6" s="15"/>
      <c r="S6" s="15"/>
    </row>
    <row r="7" spans="2:19" ht="13.5" thickBot="1" x14ac:dyDescent="0.25">
      <c r="B7" s="19" t="s">
        <v>87</v>
      </c>
      <c r="C7" s="723" t="s">
        <v>88</v>
      </c>
      <c r="D7" s="724"/>
      <c r="E7" s="725"/>
      <c r="F7" s="20" t="s">
        <v>89</v>
      </c>
      <c r="G7" s="21">
        <f>+'入力シート (一物質)'!R14</f>
        <v>0.01</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71</v>
      </c>
      <c r="G9" s="25">
        <f>++'入力シート (一物質)'!J32</f>
        <v>30</v>
      </c>
      <c r="L9" s="102"/>
      <c r="M9" s="15"/>
      <c r="N9" s="15"/>
      <c r="O9" s="15"/>
      <c r="P9" s="15"/>
      <c r="Q9" s="15"/>
      <c r="R9" s="15"/>
      <c r="S9" s="15"/>
    </row>
    <row r="10" spans="2:19" ht="18" x14ac:dyDescent="0.2">
      <c r="B10" s="26" t="s">
        <v>91</v>
      </c>
      <c r="C10" s="686" t="s">
        <v>72</v>
      </c>
      <c r="D10" s="689"/>
      <c r="E10" s="687"/>
      <c r="F10" s="27" t="s">
        <v>71</v>
      </c>
      <c r="G10" s="28">
        <f>+'入力シート (一物質)'!J33</f>
        <v>15</v>
      </c>
      <c r="L10" s="102"/>
      <c r="M10" s="15"/>
      <c r="N10" s="15"/>
      <c r="O10" s="15"/>
      <c r="P10" s="15"/>
      <c r="Q10" s="15"/>
      <c r="R10" s="15"/>
      <c r="S10" s="15"/>
    </row>
    <row r="11" spans="2:19" ht="18" x14ac:dyDescent="0.2">
      <c r="B11" s="26" t="s">
        <v>73</v>
      </c>
      <c r="C11" s="686" t="s">
        <v>74</v>
      </c>
      <c r="D11" s="689"/>
      <c r="E11" s="687"/>
      <c r="F11" s="27" t="s">
        <v>71</v>
      </c>
      <c r="G11" s="28">
        <f>+'入力シート (一物質)'!J24</f>
        <v>8</v>
      </c>
      <c r="L11" s="102"/>
      <c r="M11" s="15"/>
      <c r="N11" s="15"/>
      <c r="O11" s="15"/>
      <c r="P11" s="15"/>
      <c r="Q11" s="15"/>
      <c r="R11" s="15"/>
      <c r="S11" s="15"/>
    </row>
    <row r="12" spans="2:19" ht="18.5" thickBot="1" x14ac:dyDescent="0.25">
      <c r="B12" s="29" t="s">
        <v>75</v>
      </c>
      <c r="C12" s="703" t="s">
        <v>76</v>
      </c>
      <c r="D12" s="704"/>
      <c r="E12" s="705"/>
      <c r="F12" s="30" t="s">
        <v>71</v>
      </c>
      <c r="G12" s="31">
        <f>+G11</f>
        <v>8</v>
      </c>
      <c r="L12" s="102"/>
      <c r="M12" s="15"/>
      <c r="N12" s="15"/>
      <c r="O12" s="15"/>
      <c r="P12" s="15"/>
      <c r="Q12" s="15"/>
      <c r="R12" s="15"/>
      <c r="S12" s="15"/>
    </row>
    <row r="13" spans="2:19" ht="18" thickBot="1" x14ac:dyDescent="0.25">
      <c r="B13" s="32" t="s">
        <v>77</v>
      </c>
      <c r="L13" s="102"/>
      <c r="M13" s="15"/>
      <c r="N13" s="15"/>
      <c r="O13" s="15"/>
      <c r="P13" s="15"/>
      <c r="Q13" s="15"/>
      <c r="R13" s="15"/>
      <c r="S13" s="15"/>
    </row>
    <row r="14" spans="2:19" ht="14.5" thickBot="1" x14ac:dyDescent="0.25">
      <c r="B14" s="143" t="s">
        <v>78</v>
      </c>
      <c r="C14" s="706" t="s">
        <v>84</v>
      </c>
      <c r="D14" s="707"/>
      <c r="E14" s="708"/>
      <c r="F14" s="144" t="s">
        <v>79</v>
      </c>
      <c r="G14" s="145">
        <f>'入力シート (一物質)'!J30</f>
        <v>50</v>
      </c>
      <c r="L14" s="102"/>
      <c r="M14" s="15"/>
      <c r="N14" s="15"/>
      <c r="O14" s="15"/>
      <c r="P14" s="15"/>
      <c r="Q14" s="15"/>
      <c r="R14" s="15"/>
      <c r="S14" s="15"/>
    </row>
    <row r="15" spans="2:19" ht="14" hidden="1" x14ac:dyDescent="0.2">
      <c r="B15" s="140" t="s">
        <v>80</v>
      </c>
      <c r="C15" s="709" t="s">
        <v>81</v>
      </c>
      <c r="D15" s="710"/>
      <c r="E15" s="711"/>
      <c r="F15" s="141" t="s">
        <v>82</v>
      </c>
      <c r="G15" s="142">
        <f>+G14</f>
        <v>50</v>
      </c>
      <c r="L15" s="102"/>
      <c r="M15" s="15"/>
      <c r="N15" s="15"/>
      <c r="O15" s="15"/>
      <c r="P15" s="15"/>
      <c r="Q15" s="15"/>
      <c r="R15" s="15"/>
      <c r="S15" s="15"/>
    </row>
    <row r="16" spans="2:19" ht="14.5" hidden="1" thickBot="1" x14ac:dyDescent="0.25">
      <c r="B16" s="33" t="s">
        <v>83</v>
      </c>
      <c r="C16" s="712" t="s">
        <v>84</v>
      </c>
      <c r="D16" s="713"/>
      <c r="E16" s="714"/>
      <c r="F16" s="34" t="s">
        <v>82</v>
      </c>
      <c r="G16" s="35">
        <f>+G15</f>
        <v>50</v>
      </c>
      <c r="L16" s="102"/>
      <c r="M16" s="15"/>
      <c r="N16" s="15"/>
      <c r="O16" s="15"/>
      <c r="P16" s="15"/>
      <c r="Q16" s="15"/>
      <c r="R16" s="15"/>
      <c r="S16" s="15"/>
    </row>
    <row r="17" spans="1:19" ht="14.5" thickBot="1" x14ac:dyDescent="0.25">
      <c r="B17" s="36" t="s">
        <v>92</v>
      </c>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L18" s="102"/>
      <c r="M18" s="15"/>
      <c r="N18" s="15"/>
      <c r="O18" s="15"/>
      <c r="P18" s="15"/>
      <c r="Q18" s="15"/>
      <c r="R18" s="15"/>
      <c r="S18" s="15"/>
    </row>
    <row r="19" spans="1:19" x14ac:dyDescent="0.2">
      <c r="L19" s="70"/>
      <c r="M19" s="15"/>
      <c r="N19" s="15"/>
      <c r="O19" s="15"/>
      <c r="P19" s="15"/>
      <c r="Q19" s="15"/>
      <c r="R19" s="15"/>
      <c r="S19" s="15"/>
    </row>
    <row r="20" spans="1:19" ht="13.5" thickBot="1" x14ac:dyDescent="0.25">
      <c r="B20" s="41" t="s">
        <v>95</v>
      </c>
      <c r="L20" s="70"/>
      <c r="M20" s="15"/>
      <c r="N20" s="15"/>
      <c r="O20" s="15"/>
      <c r="P20" s="15"/>
      <c r="Q20" s="15"/>
      <c r="R20" s="15"/>
      <c r="S20" s="15"/>
    </row>
    <row r="21" spans="1:19" ht="18" x14ac:dyDescent="0.2">
      <c r="A21" s="37"/>
      <c r="B21" s="23" t="s">
        <v>96</v>
      </c>
      <c r="C21" s="699" t="s">
        <v>49</v>
      </c>
      <c r="D21" s="700"/>
      <c r="E21" s="697"/>
      <c r="F21" s="24" t="s">
        <v>97</v>
      </c>
      <c r="G21" s="42">
        <f>'入力シート (一物質)'!R24</f>
        <v>3.0000000000000001E-5</v>
      </c>
      <c r="L21" s="70"/>
      <c r="M21" s="15"/>
      <c r="N21" s="15"/>
      <c r="O21" s="15"/>
      <c r="P21" s="15"/>
      <c r="Q21" s="15"/>
      <c r="R21" s="15"/>
      <c r="S21" s="15"/>
    </row>
    <row r="22" spans="1:19" ht="18" x14ac:dyDescent="0.2">
      <c r="A22" s="37"/>
      <c r="B22" s="26" t="s">
        <v>98</v>
      </c>
      <c r="C22" s="686" t="s">
        <v>50</v>
      </c>
      <c r="D22" s="689"/>
      <c r="E22" s="687"/>
      <c r="F22" s="113" t="s">
        <v>99</v>
      </c>
      <c r="G22" s="28">
        <f>'入力シート (一物質)'!F27</f>
        <v>5.0000000000000001E-3</v>
      </c>
      <c r="L22" s="70"/>
      <c r="M22" s="15"/>
      <c r="N22" s="15"/>
      <c r="O22" s="15"/>
      <c r="P22" s="15"/>
      <c r="Q22" s="15"/>
      <c r="R22" s="15"/>
      <c r="S22" s="15"/>
    </row>
    <row r="23" spans="1:19" ht="18" x14ac:dyDescent="0.2">
      <c r="A23" s="37"/>
      <c r="B23" s="26" t="s">
        <v>176</v>
      </c>
      <c r="C23" s="688" t="s">
        <v>178</v>
      </c>
      <c r="D23" s="689"/>
      <c r="E23" s="687"/>
      <c r="F23" s="113" t="s">
        <v>100</v>
      </c>
      <c r="G23" s="28">
        <f>'入力シート (一物質)'!R25</f>
        <v>0.3</v>
      </c>
      <c r="L23" s="70"/>
      <c r="M23" s="15"/>
      <c r="N23" s="15"/>
      <c r="O23" s="15"/>
      <c r="P23" s="15"/>
      <c r="Q23" s="15"/>
      <c r="R23" s="15"/>
      <c r="S23" s="15"/>
    </row>
    <row r="24" spans="1:19" ht="18" x14ac:dyDescent="0.2">
      <c r="A24" s="37"/>
      <c r="B24" s="26" t="s">
        <v>175</v>
      </c>
      <c r="C24" s="688" t="s">
        <v>177</v>
      </c>
      <c r="D24" s="689"/>
      <c r="E24" s="687"/>
      <c r="F24" s="113" t="s">
        <v>51</v>
      </c>
      <c r="G24" s="28">
        <f>'入力シート (一物質)'!R26</f>
        <v>0.4</v>
      </c>
      <c r="L24" s="70"/>
      <c r="M24" s="15"/>
      <c r="N24" s="15"/>
      <c r="O24" s="15"/>
      <c r="P24" s="15"/>
      <c r="Q24" s="15"/>
      <c r="R24" s="15"/>
      <c r="S24" s="15"/>
    </row>
    <row r="25" spans="1:19" ht="21" x14ac:dyDescent="0.2">
      <c r="A25" s="37"/>
      <c r="B25" s="26" t="s">
        <v>101</v>
      </c>
      <c r="C25" s="686" t="s">
        <v>46</v>
      </c>
      <c r="D25" s="689"/>
      <c r="E25" s="687"/>
      <c r="F25" s="113" t="s">
        <v>71</v>
      </c>
      <c r="G25" s="43">
        <f>'入力シート (一物質)'!R12</f>
        <v>5</v>
      </c>
      <c r="H25" s="71"/>
      <c r="I25" s="71"/>
      <c r="L25" s="70"/>
      <c r="M25" s="15"/>
      <c r="N25" s="15"/>
      <c r="O25" s="15"/>
      <c r="P25" s="15"/>
      <c r="Q25" s="15"/>
      <c r="R25" s="15"/>
      <c r="S25" s="15"/>
    </row>
    <row r="26" spans="1:19" ht="22.5" customHeight="1" x14ac:dyDescent="0.2">
      <c r="A26" s="37"/>
      <c r="B26" s="26" t="s">
        <v>102</v>
      </c>
      <c r="C26" s="686" t="s">
        <v>47</v>
      </c>
      <c r="D26" s="689"/>
      <c r="E26" s="687"/>
      <c r="F26" s="113" t="s">
        <v>71</v>
      </c>
      <c r="G26" s="43">
        <f>'入力シート (一物質)'!R13</f>
        <v>0.5</v>
      </c>
      <c r="H26" s="71"/>
      <c r="I26" s="71"/>
      <c r="L26" s="70"/>
      <c r="M26" s="15"/>
      <c r="N26" s="15"/>
      <c r="O26" s="15"/>
      <c r="P26" s="15"/>
      <c r="Q26" s="15"/>
      <c r="R26" s="15"/>
      <c r="S26" s="15"/>
    </row>
    <row r="27" spans="1:19" ht="22.5" customHeight="1" thickBot="1" x14ac:dyDescent="0.25">
      <c r="A27" s="37"/>
      <c r="B27" s="44" t="s">
        <v>103</v>
      </c>
      <c r="C27" s="701" t="s">
        <v>48</v>
      </c>
      <c r="D27" s="702"/>
      <c r="E27" s="694"/>
      <c r="F27" s="45" t="s">
        <v>71</v>
      </c>
      <c r="G27" s="46">
        <f>'入力シート (一物質)'!R13</f>
        <v>0.5</v>
      </c>
      <c r="H27" s="71"/>
      <c r="I27" s="71"/>
      <c r="L27" s="70"/>
      <c r="M27" s="15"/>
      <c r="N27" s="15"/>
      <c r="O27" s="15"/>
      <c r="P27" s="15"/>
      <c r="Q27" s="15"/>
      <c r="R27" s="15"/>
      <c r="S27" s="15"/>
    </row>
    <row r="28" spans="1:19" ht="18" thickBot="1" x14ac:dyDescent="0.25">
      <c r="B28" s="32" t="s">
        <v>104</v>
      </c>
      <c r="C28" s="47"/>
      <c r="L28" s="70"/>
      <c r="M28" s="15"/>
      <c r="N28" s="15"/>
      <c r="O28" s="15"/>
      <c r="P28" s="15"/>
      <c r="Q28" s="15"/>
      <c r="R28" s="15"/>
      <c r="S28" s="15"/>
    </row>
    <row r="29" spans="1:19" ht="21" x14ac:dyDescent="0.2">
      <c r="A29" s="37"/>
      <c r="B29" s="23" t="s">
        <v>105</v>
      </c>
      <c r="C29" s="699" t="s">
        <v>52</v>
      </c>
      <c r="D29" s="700"/>
      <c r="E29" s="697"/>
      <c r="F29" s="24" t="s">
        <v>106</v>
      </c>
      <c r="G29" s="48" t="str">
        <f>'入力シート (一物質)'!R11</f>
        <v>-</v>
      </c>
      <c r="L29" s="70"/>
      <c r="M29" s="15"/>
      <c r="N29" s="15"/>
      <c r="O29" s="15"/>
      <c r="P29" s="15"/>
      <c r="Q29" s="15"/>
      <c r="R29" s="15"/>
      <c r="S29" s="15"/>
    </row>
    <row r="30" spans="1:19" ht="14" x14ac:dyDescent="0.3">
      <c r="A30" s="37"/>
      <c r="B30" s="49" t="s">
        <v>107</v>
      </c>
      <c r="C30" s="692" t="s">
        <v>53</v>
      </c>
      <c r="D30" s="692"/>
      <c r="E30" s="692"/>
      <c r="F30" s="50" t="s">
        <v>108</v>
      </c>
      <c r="G30" s="51">
        <f>'入力シート (一物質)'!R9</f>
        <v>11</v>
      </c>
      <c r="L30" s="70"/>
      <c r="M30" s="15"/>
      <c r="N30" s="15"/>
      <c r="O30" s="15"/>
      <c r="P30" s="15"/>
      <c r="Q30" s="15"/>
      <c r="R30" s="15"/>
      <c r="S30" s="15"/>
    </row>
    <row r="31" spans="1:19" ht="18" x14ac:dyDescent="0.4">
      <c r="A31" s="37"/>
      <c r="B31" s="52" t="s">
        <v>109</v>
      </c>
      <c r="C31" s="692" t="s">
        <v>110</v>
      </c>
      <c r="D31" s="692"/>
      <c r="E31" s="692"/>
      <c r="F31" s="50" t="s">
        <v>111</v>
      </c>
      <c r="G31" s="51" t="str">
        <f>IF(A31="",'入力シート (一物質)'!R10,A31)</f>
        <v>-</v>
      </c>
      <c r="L31" s="70"/>
      <c r="M31" s="15"/>
      <c r="N31" s="15"/>
      <c r="O31" s="15"/>
      <c r="P31" s="15"/>
      <c r="Q31" s="15"/>
      <c r="R31" s="15"/>
      <c r="S31" s="15"/>
    </row>
    <row r="32" spans="1:19" ht="18.5" thickBot="1" x14ac:dyDescent="0.45">
      <c r="A32" s="37"/>
      <c r="B32" s="53" t="s">
        <v>112</v>
      </c>
      <c r="C32" s="695" t="s">
        <v>113</v>
      </c>
      <c r="D32" s="695"/>
      <c r="E32" s="695"/>
      <c r="F32" s="54" t="s">
        <v>114</v>
      </c>
      <c r="G32" s="55">
        <f>'入力シート (一物質)'!R29</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58" t="s">
        <v>117</v>
      </c>
      <c r="G34" s="172">
        <f>'入力シート (一物質)'!R28</f>
        <v>1.62</v>
      </c>
      <c r="L34" s="15"/>
      <c r="M34" s="15"/>
      <c r="N34" s="15"/>
      <c r="O34" s="15"/>
      <c r="P34" s="15"/>
      <c r="Q34" s="15"/>
      <c r="R34" s="15"/>
      <c r="S34" s="15"/>
    </row>
    <row r="35" spans="1:19" ht="18" x14ac:dyDescent="0.2">
      <c r="B35" s="26" t="s">
        <v>118</v>
      </c>
      <c r="C35" s="686" t="s">
        <v>119</v>
      </c>
      <c r="D35" s="689"/>
      <c r="E35" s="687"/>
      <c r="F35" s="27" t="s">
        <v>120</v>
      </c>
      <c r="G35" s="43">
        <f>+'入力シート (一物質)'!J35*0.365</f>
        <v>0</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f>IF(G29="-",0,LN(2)/G29)</f>
        <v>0</v>
      </c>
    </row>
    <row r="39" spans="1:19" ht="18" x14ac:dyDescent="0.2">
      <c r="B39" s="26" t="s">
        <v>127</v>
      </c>
      <c r="C39" s="686" t="s">
        <v>55</v>
      </c>
      <c r="D39" s="689"/>
      <c r="E39" s="687"/>
      <c r="F39" s="113" t="s">
        <v>128</v>
      </c>
      <c r="G39" s="132">
        <f>+G40*G22/G23</f>
        <v>15.768000000000002</v>
      </c>
      <c r="R39" s="60"/>
    </row>
    <row r="40" spans="1:19" ht="18" x14ac:dyDescent="0.2">
      <c r="B40" s="26" t="s">
        <v>129</v>
      </c>
      <c r="C40" s="686" t="s">
        <v>49</v>
      </c>
      <c r="D40" s="689"/>
      <c r="E40" s="687"/>
      <c r="F40" s="113" t="s">
        <v>128</v>
      </c>
      <c r="G40" s="133">
        <f>+G21*86400*365</f>
        <v>946.08</v>
      </c>
      <c r="R40" s="60"/>
    </row>
    <row r="41" spans="1:19" ht="18.5" thickBot="1" x14ac:dyDescent="0.25">
      <c r="B41" s="44" t="s">
        <v>130</v>
      </c>
      <c r="C41" s="701" t="s">
        <v>56</v>
      </c>
      <c r="D41" s="702"/>
      <c r="E41" s="694"/>
      <c r="F41" s="45"/>
      <c r="G41" s="148">
        <f>1+G30*G34/G23</f>
        <v>60.400000000000006</v>
      </c>
    </row>
    <row r="42" spans="1:19" ht="18.5" thickBot="1" x14ac:dyDescent="0.25">
      <c r="B42" s="61" t="s">
        <v>131</v>
      </c>
      <c r="R42" s="60"/>
    </row>
    <row r="43" spans="1:19" x14ac:dyDescent="0.2">
      <c r="B43" s="12"/>
      <c r="C43" s="697" t="s">
        <v>132</v>
      </c>
      <c r="D43" s="698"/>
      <c r="E43" s="698"/>
      <c r="F43" s="58"/>
      <c r="G43" s="125">
        <f>SQRT(1+4*$G38*G25/$G39)</f>
        <v>1</v>
      </c>
      <c r="H43" s="122"/>
      <c r="I43" s="122"/>
      <c r="N43" s="60"/>
      <c r="R43" s="47"/>
    </row>
    <row r="44" spans="1:19" x14ac:dyDescent="0.2">
      <c r="B44" s="62" t="s">
        <v>133</v>
      </c>
      <c r="C44" s="687"/>
      <c r="D44" s="692"/>
      <c r="E44" s="692"/>
      <c r="F44" s="63"/>
      <c r="G44" s="126">
        <f>EXP(G14/(2*G25)*(1-G43))</f>
        <v>1</v>
      </c>
      <c r="H44" s="122"/>
      <c r="I44" s="122"/>
      <c r="N44" s="60"/>
    </row>
    <row r="45" spans="1:19" x14ac:dyDescent="0.2">
      <c r="B45" s="62" t="s">
        <v>57</v>
      </c>
      <c r="C45" s="687"/>
      <c r="D45" s="692"/>
      <c r="E45" s="692"/>
      <c r="F45" s="110"/>
      <c r="G45" s="127">
        <f>IF(G14-$G39*$G18/$G41*G43&lt;=0,2-ERFC((-G14+$G39*$G18/$G41*G43)/(2*SQRT(G25*$G39*$G18/$G41))),ERFC((G14-$G39*$G18/$G41*G43)/(2*SQRT(G25*$G39*$G18/$G41))))</f>
        <v>0.13918439659076476</v>
      </c>
      <c r="H45" s="123"/>
      <c r="I45" s="123"/>
      <c r="N45" s="60"/>
    </row>
    <row r="46" spans="1:19" x14ac:dyDescent="0.2">
      <c r="B46" s="62" t="s">
        <v>58</v>
      </c>
      <c r="C46" s="687"/>
      <c r="D46" s="692"/>
      <c r="E46" s="692"/>
      <c r="F46" s="63"/>
      <c r="G46" s="126">
        <f>ERF(($G9)/(4*(G26*G14)^0.5))</f>
        <v>0.96610514647531076</v>
      </c>
      <c r="H46" s="122"/>
      <c r="I46" s="122"/>
    </row>
    <row r="47" spans="1:19" ht="13.5" thickBot="1" x14ac:dyDescent="0.25">
      <c r="B47" s="128" t="s">
        <v>59</v>
      </c>
      <c r="C47" s="694"/>
      <c r="D47" s="695"/>
      <c r="E47" s="695"/>
      <c r="F47" s="129"/>
      <c r="G47" s="130">
        <f>MAX(ERF(($G11)/(2*(G14*G27)^0.5)),+$G$11/$G$12)</f>
        <v>1</v>
      </c>
      <c r="H47" s="122"/>
      <c r="I47" s="122"/>
      <c r="J47" s="7" t="s">
        <v>134</v>
      </c>
      <c r="K47" s="47"/>
      <c r="L47" s="47"/>
      <c r="M47" s="47"/>
      <c r="O47" s="47"/>
      <c r="P47" s="47"/>
      <c r="Q47" s="47"/>
    </row>
    <row r="48" spans="1:19" x14ac:dyDescent="0.2">
      <c r="H48" s="47"/>
      <c r="I48" s="47"/>
      <c r="K48" s="47"/>
      <c r="L48" s="47"/>
      <c r="M48" s="47"/>
      <c r="O48" s="47"/>
      <c r="P48" s="47"/>
      <c r="Q48" s="47"/>
    </row>
    <row r="49" spans="1:17" ht="13.5" thickBot="1" x14ac:dyDescent="0.25">
      <c r="H49" s="47"/>
      <c r="I49" s="47"/>
      <c r="K49" s="64"/>
      <c r="L49" s="696"/>
      <c r="M49" s="696"/>
      <c r="N49" s="696"/>
      <c r="O49" s="65"/>
      <c r="P49" s="65"/>
      <c r="Q49" s="47"/>
    </row>
    <row r="50" spans="1:17" ht="21" x14ac:dyDescent="0.55000000000000004">
      <c r="B50" s="134" t="s">
        <v>135</v>
      </c>
      <c r="C50" s="697" t="s">
        <v>136</v>
      </c>
      <c r="D50" s="698"/>
      <c r="E50" s="698"/>
      <c r="F50" s="58" t="s">
        <v>137</v>
      </c>
      <c r="G50" s="135">
        <f>IF(+G44*G45*G46*G47/2=0,1E-300,+G44*G45*G46*G47/2)</f>
        <v>6.723338092769926E-2</v>
      </c>
      <c r="H50" s="124"/>
      <c r="I50" s="124"/>
      <c r="K50" s="47"/>
      <c r="L50" s="47"/>
      <c r="M50" s="47"/>
      <c r="N50" s="47"/>
      <c r="O50" s="47"/>
      <c r="P50" s="47"/>
      <c r="Q50" s="47"/>
    </row>
    <row r="51" spans="1:17" ht="21.5" thickBot="1" x14ac:dyDescent="0.6">
      <c r="A51" s="67"/>
      <c r="B51" s="136" t="s">
        <v>138</v>
      </c>
      <c r="C51" s="694" t="s">
        <v>139</v>
      </c>
      <c r="D51" s="695"/>
      <c r="E51" s="695"/>
      <c r="F51" s="111" t="s">
        <v>137</v>
      </c>
      <c r="G51" s="137">
        <f>+G44*G46*G47</f>
        <v>0.96610514647531076</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27" t="s">
        <v>141</v>
      </c>
      <c r="G53" s="73">
        <f>G9*G10*G35*(1-G36)</f>
        <v>0</v>
      </c>
      <c r="K53" s="47"/>
      <c r="L53" s="47"/>
      <c r="M53" s="47"/>
      <c r="N53" s="47"/>
      <c r="O53" s="15"/>
      <c r="P53" s="15"/>
      <c r="Q53" s="15"/>
    </row>
    <row r="54" spans="1:17" ht="16.5" x14ac:dyDescent="0.2">
      <c r="A54" s="68"/>
      <c r="B54" s="72" t="s">
        <v>124</v>
      </c>
      <c r="C54" s="686" t="s">
        <v>142</v>
      </c>
      <c r="D54" s="689"/>
      <c r="E54" s="687"/>
      <c r="F54" s="27" t="s">
        <v>141</v>
      </c>
      <c r="G54" s="73">
        <f>G40*G22*G9*G11</f>
        <v>1135.296</v>
      </c>
      <c r="K54" s="47"/>
      <c r="L54" s="47"/>
      <c r="M54" s="47"/>
      <c r="N54" s="47"/>
      <c r="O54" s="15"/>
      <c r="P54" s="15"/>
      <c r="Q54" s="15"/>
    </row>
    <row r="55" spans="1:17" ht="16.5" x14ac:dyDescent="0.2">
      <c r="A55" s="67"/>
      <c r="B55" s="72" t="s">
        <v>124</v>
      </c>
      <c r="C55" s="686" t="s">
        <v>143</v>
      </c>
      <c r="D55" s="689"/>
      <c r="E55" s="687"/>
      <c r="F55" s="27"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27" t="s">
        <v>137</v>
      </c>
      <c r="G57" s="106">
        <f>+G53/(G54+G53)</f>
        <v>0</v>
      </c>
      <c r="H57" s="107" t="s">
        <v>182</v>
      </c>
      <c r="K57" s="47"/>
      <c r="L57" s="47"/>
      <c r="M57" s="47"/>
      <c r="N57" s="47"/>
      <c r="O57" s="47"/>
      <c r="P57" s="47"/>
      <c r="Q57" s="47"/>
    </row>
    <row r="58" spans="1:17" ht="20.5" x14ac:dyDescent="0.2">
      <c r="A58" s="68"/>
      <c r="B58" s="72" t="s">
        <v>181</v>
      </c>
      <c r="C58" s="688" t="s">
        <v>180</v>
      </c>
      <c r="D58" s="689"/>
      <c r="E58" s="687"/>
      <c r="F58" s="27" t="s">
        <v>137</v>
      </c>
      <c r="G58" s="106">
        <v>1</v>
      </c>
      <c r="H58" s="108" t="s">
        <v>183</v>
      </c>
      <c r="K58" s="64"/>
      <c r="L58" s="112"/>
      <c r="M58" s="112"/>
      <c r="N58" s="112"/>
      <c r="O58" s="65"/>
      <c r="P58" s="65"/>
      <c r="Q58" s="47"/>
    </row>
    <row r="59" spans="1:17" ht="18.5" thickBot="1" x14ac:dyDescent="0.25">
      <c r="A59" s="68"/>
      <c r="K59" s="69"/>
      <c r="L59" s="64"/>
      <c r="M59" s="64"/>
      <c r="N59" s="64"/>
      <c r="O59" s="74"/>
      <c r="P59" s="71"/>
      <c r="Q59" s="47"/>
    </row>
    <row r="60" spans="1:17" ht="18" x14ac:dyDescent="0.2">
      <c r="A60" s="67"/>
      <c r="B60" s="75" t="s">
        <v>145</v>
      </c>
      <c r="C60" s="76" t="s">
        <v>86</v>
      </c>
      <c r="D60" s="76" t="str">
        <f>+C6</f>
        <v>カドミウム及びその化合物</v>
      </c>
      <c r="E60" s="76"/>
      <c r="F60" s="76"/>
      <c r="G60" s="76"/>
      <c r="H60" s="76"/>
      <c r="I60" s="76"/>
      <c r="J60" s="77"/>
      <c r="K60" s="69"/>
      <c r="L60" s="64"/>
      <c r="M60" s="64"/>
      <c r="N60" s="64"/>
      <c r="O60" s="74"/>
      <c r="P60" s="71"/>
      <c r="Q60" s="47"/>
    </row>
    <row r="61" spans="1:17" ht="18" x14ac:dyDescent="0.2">
      <c r="A61" s="67"/>
      <c r="B61" s="78" t="s">
        <v>146</v>
      </c>
      <c r="C61" s="47"/>
      <c r="D61" s="47"/>
      <c r="E61" s="47"/>
      <c r="F61" s="47"/>
      <c r="G61" s="47"/>
      <c r="H61" s="47"/>
      <c r="I61" s="47"/>
      <c r="J61" s="79"/>
      <c r="K61" s="69"/>
      <c r="L61" s="80"/>
      <c r="M61" s="80"/>
      <c r="N61" s="80"/>
      <c r="O61" s="74"/>
      <c r="P61" s="71"/>
      <c r="Q61" s="47"/>
    </row>
    <row r="62" spans="1:17" ht="16.5" x14ac:dyDescent="0.2">
      <c r="A62" s="67"/>
      <c r="B62" s="81"/>
      <c r="C62" s="690"/>
      <c r="D62" s="690"/>
      <c r="E62" s="690"/>
      <c r="F62" s="82" t="s">
        <v>147</v>
      </c>
      <c r="G62" s="138" t="s">
        <v>148</v>
      </c>
      <c r="H62" s="47"/>
      <c r="I62" s="47"/>
      <c r="J62" s="79"/>
      <c r="K62" s="84"/>
      <c r="L62" s="691"/>
      <c r="M62" s="691"/>
      <c r="N62" s="691"/>
      <c r="O62" s="74"/>
      <c r="P62" s="85"/>
      <c r="Q62" s="47"/>
    </row>
    <row r="63" spans="1:17" ht="16.5" x14ac:dyDescent="0.2">
      <c r="B63" s="81"/>
      <c r="C63" s="692" t="s">
        <v>149</v>
      </c>
      <c r="D63" s="692"/>
      <c r="E63" s="692"/>
      <c r="F63" s="83">
        <v>1</v>
      </c>
      <c r="G63" s="86">
        <f>+G50</f>
        <v>6.723338092769926E-2</v>
      </c>
      <c r="H63" s="139"/>
      <c r="I63" s="139"/>
      <c r="J63" s="79"/>
      <c r="K63" s="84"/>
      <c r="L63" s="691"/>
      <c r="M63" s="691"/>
      <c r="N63" s="691"/>
      <c r="O63" s="74"/>
      <c r="P63" s="85"/>
      <c r="Q63" s="47"/>
    </row>
    <row r="64" spans="1:17" ht="16.5" x14ac:dyDescent="0.2">
      <c r="B64" s="87"/>
      <c r="C64" s="693" t="s">
        <v>150</v>
      </c>
      <c r="D64" s="693"/>
      <c r="E64" s="693"/>
      <c r="F64" s="88">
        <f>+G64/G63*F63</f>
        <v>0.14873564086794472</v>
      </c>
      <c r="G64" s="83">
        <f>+G7</f>
        <v>0.01</v>
      </c>
      <c r="H64" s="139"/>
      <c r="I64" s="139"/>
      <c r="J64" s="79"/>
      <c r="K64" s="47"/>
      <c r="L64" s="47"/>
      <c r="M64" s="47"/>
      <c r="N64" s="47"/>
      <c r="O64" s="47"/>
      <c r="P64" s="47"/>
      <c r="Q64" s="47"/>
    </row>
    <row r="65" spans="2:10" ht="18" x14ac:dyDescent="0.2">
      <c r="B65" s="89"/>
      <c r="C65" s="691"/>
      <c r="D65" s="691"/>
      <c r="E65" s="691"/>
      <c r="F65" s="74">
        <f>IF(F64&gt;10,ROUNDDOWN(F64,0),IF(F64&gt;1,ROUNDDOWN(F64,1),IF(F64&gt;0.1,ROUNDDOWN(F64,2),IF(F64&gt;0.01,ROUNDDOWN(F64,3),ROUNDDOWN(F64,4)))))</f>
        <v>0.14000000000000001</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138" t="s">
        <v>148</v>
      </c>
      <c r="H67" s="47"/>
      <c r="I67" s="47"/>
      <c r="J67" s="79"/>
    </row>
    <row r="68" spans="2:10" x14ac:dyDescent="0.2">
      <c r="B68" s="81"/>
      <c r="C68" s="686" t="s">
        <v>149</v>
      </c>
      <c r="D68" s="687"/>
      <c r="E68" s="50">
        <v>1</v>
      </c>
      <c r="F68" s="86">
        <f>+G57</f>
        <v>0</v>
      </c>
      <c r="G68" s="86">
        <f>+F68*G63</f>
        <v>0</v>
      </c>
      <c r="H68" s="139"/>
      <c r="I68" s="139"/>
      <c r="J68" s="79"/>
    </row>
    <row r="69" spans="2:10" x14ac:dyDescent="0.2">
      <c r="B69" s="81"/>
      <c r="C69" s="686" t="s">
        <v>150</v>
      </c>
      <c r="D69" s="687"/>
      <c r="E69" s="50" t="s">
        <v>153</v>
      </c>
      <c r="F69" s="86" t="e">
        <f>+G69/G68*F68</f>
        <v>#DIV/0!</v>
      </c>
      <c r="G69" s="83">
        <f>+G64</f>
        <v>0.01</v>
      </c>
      <c r="H69" s="139"/>
      <c r="I69" s="139"/>
      <c r="J69" s="79"/>
    </row>
    <row r="70" spans="2:10" x14ac:dyDescent="0.2">
      <c r="B70" s="81"/>
      <c r="C70" s="683" t="s">
        <v>154</v>
      </c>
      <c r="D70" s="683"/>
      <c r="E70" s="93" t="e">
        <f>+F69/F68*E68</f>
        <v>#DIV/0!</v>
      </c>
      <c r="F70" s="47"/>
      <c r="G70" s="47"/>
      <c r="H70" s="47"/>
      <c r="I70" s="47"/>
      <c r="J70" s="79"/>
    </row>
    <row r="71" spans="2:10" x14ac:dyDescent="0.2">
      <c r="B71" s="81"/>
      <c r="C71" s="683" t="s">
        <v>155</v>
      </c>
      <c r="D71" s="683"/>
      <c r="E71" s="83">
        <f>'入力シート (一物質)'!R15</f>
        <v>0.3</v>
      </c>
      <c r="F71" s="47"/>
      <c r="G71" s="47"/>
      <c r="H71" s="47"/>
      <c r="I71" s="47"/>
      <c r="J71" s="79"/>
    </row>
    <row r="72" spans="2:10" ht="13.5" thickBot="1" x14ac:dyDescent="0.25">
      <c r="B72" s="81"/>
      <c r="C72" s="47"/>
      <c r="D72" s="47"/>
      <c r="E72" s="74" t="e">
        <f>IF(E70&gt;10,ROUNDDOWN(E70,0),IF(E70&gt;1,ROUNDDOWN(E70,1),IF(E70&gt;0.1,ROUNDDOWN(E70,2),IF(E70&gt;0.01,ROUNDDOWN(E70,3),ROUNDDOWN(E70,4)))))</f>
        <v>#DIV/0!</v>
      </c>
      <c r="F72" s="47"/>
      <c r="G72" s="47"/>
      <c r="H72" s="47"/>
      <c r="I72" s="47"/>
      <c r="J72" s="79"/>
    </row>
    <row r="73" spans="2:10" ht="13.5" thickBot="1" x14ac:dyDescent="0.25">
      <c r="B73" s="81"/>
      <c r="C73" s="684" t="s">
        <v>156</v>
      </c>
      <c r="D73" s="685"/>
      <c r="E73" s="109" t="e">
        <f>IF(E70&gt;E71,E71,E70)</f>
        <v>#DIV/0!</v>
      </c>
      <c r="F73" s="95" t="s">
        <v>157</v>
      </c>
      <c r="G73" s="47"/>
      <c r="H73" s="47"/>
      <c r="I73" s="47"/>
      <c r="J73" s="79"/>
    </row>
    <row r="74" spans="2:10" x14ac:dyDescent="0.2">
      <c r="B74" s="81"/>
      <c r="C74" s="47"/>
      <c r="D74" s="47"/>
      <c r="E74" s="74" t="e">
        <f>IF(E73&gt;10,ROUNDDOWN(E73,0),IF(E73&gt;1,ROUNDDOWN(E73,1),IF(E73&gt;0.1,ROUNDDOWN(E73,2),IF(E73&gt;0.01,ROUNDDOWN(E73,3),ROUNDDOWN(E73,4)))))</f>
        <v>#DIV/0!</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138" t="s">
        <v>148</v>
      </c>
      <c r="H76" s="47"/>
      <c r="I76" s="47"/>
      <c r="J76" s="79"/>
    </row>
    <row r="77" spans="2:10" x14ac:dyDescent="0.2">
      <c r="B77" s="81"/>
      <c r="C77" s="686" t="s">
        <v>149</v>
      </c>
      <c r="D77" s="687"/>
      <c r="E77" s="50">
        <v>1</v>
      </c>
      <c r="F77" s="86">
        <f>G58</f>
        <v>1</v>
      </c>
      <c r="G77" s="86">
        <f>+F77*G63</f>
        <v>6.723338092769926E-2</v>
      </c>
      <c r="H77" s="139"/>
      <c r="I77" s="139"/>
      <c r="J77" s="79"/>
    </row>
    <row r="78" spans="2:10" x14ac:dyDescent="0.2">
      <c r="B78" s="81"/>
      <c r="C78" s="686" t="s">
        <v>150</v>
      </c>
      <c r="D78" s="687"/>
      <c r="E78" s="50" t="s">
        <v>153</v>
      </c>
      <c r="F78" s="86">
        <f>+F64</f>
        <v>0.14873564086794472</v>
      </c>
      <c r="G78" s="83">
        <f>+G69</f>
        <v>0.01</v>
      </c>
      <c r="H78" s="139"/>
      <c r="I78" s="139"/>
      <c r="J78" s="79"/>
    </row>
    <row r="79" spans="2:10" x14ac:dyDescent="0.2">
      <c r="B79" s="81"/>
      <c r="C79" s="683" t="s">
        <v>154</v>
      </c>
      <c r="D79" s="683"/>
      <c r="E79" s="93">
        <f>+F78/F77*E77</f>
        <v>0.14873564086794472</v>
      </c>
      <c r="F79" s="47"/>
      <c r="G79" s="47"/>
      <c r="H79" s="47"/>
      <c r="I79" s="47"/>
      <c r="J79" s="79"/>
    </row>
    <row r="80" spans="2:10" x14ac:dyDescent="0.2">
      <c r="B80" s="81"/>
      <c r="C80" s="683" t="s">
        <v>155</v>
      </c>
      <c r="D80" s="683"/>
      <c r="E80" s="83">
        <f>+E71</f>
        <v>0.3</v>
      </c>
      <c r="F80" s="47"/>
      <c r="G80" s="47"/>
      <c r="H80" s="47"/>
      <c r="I80" s="47"/>
      <c r="J80" s="79"/>
    </row>
    <row r="81" spans="2:10" ht="13.5" thickBot="1" x14ac:dyDescent="0.25">
      <c r="B81" s="81"/>
      <c r="C81" s="47"/>
      <c r="D81" s="47"/>
      <c r="E81" s="74">
        <f>IF(E79&gt;10,ROUNDDOWN(E79,0),IF(E79&gt;1,ROUNDDOWN(E79,1),IF(E79&gt;0.1,ROUNDDOWN(E79,2),IF(E79&gt;0.01,ROUNDDOWN(E79,3),ROUNDDOWN(E79,4)))))</f>
        <v>0.14000000000000001</v>
      </c>
      <c r="F81" s="47"/>
      <c r="G81" s="47"/>
      <c r="H81" s="47"/>
      <c r="I81" s="47"/>
      <c r="J81" s="79"/>
    </row>
    <row r="82" spans="2:10" ht="13.5" thickBot="1" x14ac:dyDescent="0.25">
      <c r="B82" s="81"/>
      <c r="C82" s="684" t="s">
        <v>156</v>
      </c>
      <c r="D82" s="685"/>
      <c r="E82" s="109">
        <f>IF(E79&gt;E80,E80,E79)</f>
        <v>0.14873564086794472</v>
      </c>
      <c r="F82" s="95" t="s">
        <v>157</v>
      </c>
      <c r="G82" s="47"/>
      <c r="H82" s="47"/>
      <c r="I82" s="47"/>
      <c r="J82" s="79"/>
    </row>
    <row r="83" spans="2:10" x14ac:dyDescent="0.2">
      <c r="B83" s="81"/>
      <c r="C83" s="47"/>
      <c r="D83" s="47"/>
      <c r="E83" s="74">
        <f>IF(E82&gt;10,ROUNDDOWN(E82,0),IF(E82&gt;1,ROUNDDOWN(E82,1),IF(E82&gt;0.1,ROUNDDOWN(E82,2),IF(E82&gt;0.01,ROUNDDOWN(E82,3),ROUNDDOWN(E82,4)))))</f>
        <v>0.14000000000000001</v>
      </c>
      <c r="F83" s="47"/>
      <c r="G83" s="47"/>
      <c r="H83" s="47"/>
      <c r="I83" s="47"/>
      <c r="J83" s="79"/>
    </row>
    <row r="84" spans="2:10" ht="13.5" thickBot="1" x14ac:dyDescent="0.25">
      <c r="B84" s="96"/>
      <c r="C84" s="97"/>
      <c r="D84" s="97"/>
      <c r="E84" s="97"/>
      <c r="F84" s="97"/>
      <c r="G84" s="97"/>
      <c r="H84" s="97"/>
      <c r="I84" s="97"/>
      <c r="J84" s="98"/>
    </row>
  </sheetData>
  <mergeCells count="60">
    <mergeCell ref="C11:E11"/>
    <mergeCell ref="C5:E5"/>
    <mergeCell ref="C6:E6"/>
    <mergeCell ref="C7:E7"/>
    <mergeCell ref="C9:E9"/>
    <mergeCell ref="C10:E10"/>
    <mergeCell ref="C29:E29"/>
    <mergeCell ref="C12:E12"/>
    <mergeCell ref="C14:E14"/>
    <mergeCell ref="C15:E15"/>
    <mergeCell ref="C16:E16"/>
    <mergeCell ref="C18:E18"/>
    <mergeCell ref="C21:E21"/>
    <mergeCell ref="C22:E22"/>
    <mergeCell ref="C23:E23"/>
    <mergeCell ref="C25:E25"/>
    <mergeCell ref="C26:E26"/>
    <mergeCell ref="C27:E27"/>
    <mergeCell ref="C24:E24"/>
    <mergeCell ref="C44:E44"/>
    <mergeCell ref="C30:E30"/>
    <mergeCell ref="C31:E31"/>
    <mergeCell ref="C32:E32"/>
    <mergeCell ref="C34:E34"/>
    <mergeCell ref="C35:E35"/>
    <mergeCell ref="C36:E36"/>
    <mergeCell ref="C38:E38"/>
    <mergeCell ref="C39:E39"/>
    <mergeCell ref="C40:E40"/>
    <mergeCell ref="C41:E41"/>
    <mergeCell ref="C43:E43"/>
    <mergeCell ref="C57:E57"/>
    <mergeCell ref="C45:E45"/>
    <mergeCell ref="C46:E46"/>
    <mergeCell ref="C47:E47"/>
    <mergeCell ref="L49:N49"/>
    <mergeCell ref="C50:E50"/>
    <mergeCell ref="C51:E51"/>
    <mergeCell ref="L52:N52"/>
    <mergeCell ref="C53:E53"/>
    <mergeCell ref="C54:E54"/>
    <mergeCell ref="C55:E55"/>
    <mergeCell ref="C56:E56"/>
    <mergeCell ref="C69:D69"/>
    <mergeCell ref="C58:E58"/>
    <mergeCell ref="C62:E62"/>
    <mergeCell ref="L62:N62"/>
    <mergeCell ref="C63:E63"/>
    <mergeCell ref="L63:N63"/>
    <mergeCell ref="C64:E64"/>
    <mergeCell ref="C65:E65"/>
    <mergeCell ref="C68:D68"/>
    <mergeCell ref="C80:D80"/>
    <mergeCell ref="C82:D82"/>
    <mergeCell ref="C70:D70"/>
    <mergeCell ref="C71:D71"/>
    <mergeCell ref="C73:D73"/>
    <mergeCell ref="C77:D77"/>
    <mergeCell ref="C78:D78"/>
    <mergeCell ref="C79:D79"/>
  </mergeCells>
  <phoneticPr fontId="4"/>
  <conditionalFormatting sqref="G29">
    <cfRule type="expression" dxfId="414" priority="5">
      <formula>$A41&gt;0</formula>
    </cfRule>
  </conditionalFormatting>
  <conditionalFormatting sqref="G30">
    <cfRule type="expression" dxfId="413" priority="4">
      <formula>$A$29&gt;0</formula>
    </cfRule>
  </conditionalFormatting>
  <conditionalFormatting sqref="G31">
    <cfRule type="expression" dxfId="412" priority="3">
      <formula>$A$30&gt;0</formula>
    </cfRule>
  </conditionalFormatting>
  <conditionalFormatting sqref="G32">
    <cfRule type="expression" dxfId="411" priority="2">
      <formula>$A$31&gt;0</formula>
    </cfRule>
  </conditionalFormatting>
  <conditionalFormatting sqref="G9">
    <cfRule type="expression" dxfId="410" priority="6">
      <formula>#REF!&gt;0</formula>
    </cfRule>
  </conditionalFormatting>
  <conditionalFormatting sqref="G11 G25:I27">
    <cfRule type="expression" dxfId="409" priority="7">
      <formula>#REF!&gt;0</formula>
    </cfRule>
  </conditionalFormatting>
  <conditionalFormatting sqref="G18">
    <cfRule type="expression" dxfId="408" priority="8">
      <formula>#REF!&gt;0</formula>
    </cfRule>
  </conditionalFormatting>
  <conditionalFormatting sqref="G22:G24">
    <cfRule type="expression" dxfId="407" priority="9">
      <formula>$A$25&gt;0</formula>
    </cfRule>
  </conditionalFormatting>
  <conditionalFormatting sqref="G23:G24">
    <cfRule type="expression" dxfId="406" priority="10">
      <formula>#REF!&gt;0</formula>
    </cfRule>
  </conditionalFormatting>
  <conditionalFormatting sqref="G21">
    <cfRule type="expression" dxfId="405" priority="11">
      <formula>$A$23&gt;0</formula>
    </cfRule>
  </conditionalFormatting>
  <conditionalFormatting sqref="G12">
    <cfRule type="expression" dxfId="404" priority="1">
      <formula>#REF!&gt;0</formula>
    </cfRule>
  </conditionalFormatting>
  <conditionalFormatting sqref="G34">
    <cfRule type="expression" dxfId="403" priority="12">
      <formula>#REF!&gt;0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S84"/>
  <sheetViews>
    <sheetView showGridLines="0" zoomScale="90" zoomScaleNormal="90" workbookViewId="0">
      <selection activeCell="L66" sqref="L66"/>
    </sheetView>
  </sheetViews>
  <sheetFormatPr defaultColWidth="9" defaultRowHeight="13" x14ac:dyDescent="0.2"/>
  <cols>
    <col min="1" max="1" width="9" style="7"/>
    <col min="2" max="2" width="18.08984375" style="7" customWidth="1"/>
    <col min="3" max="4" width="10.36328125" style="7" customWidth="1"/>
    <col min="5" max="5" width="8.90625" style="7" customWidth="1"/>
    <col min="6" max="6" width="9.6328125" style="7" customWidth="1"/>
    <col min="7" max="7" width="10" style="7" bestFit="1" customWidth="1"/>
    <col min="8" max="11" width="9.6328125" style="7" customWidth="1"/>
    <col min="12" max="12" width="20.7265625" style="7" customWidth="1"/>
    <col min="13" max="14" width="9" style="7"/>
    <col min="15" max="15" width="9.7265625" style="7" customWidth="1"/>
    <col min="16" max="16" width="9" style="7"/>
    <col min="17" max="17" width="10.453125" style="7" bestFit="1" customWidth="1"/>
    <col min="18" max="16384" width="9" style="7"/>
  </cols>
  <sheetData>
    <row r="1" spans="2:19" x14ac:dyDescent="0.2">
      <c r="I1" s="67"/>
      <c r="J1" s="67"/>
      <c r="K1" s="67"/>
      <c r="L1" s="15"/>
      <c r="M1" s="15"/>
      <c r="N1" s="15"/>
      <c r="O1" s="15"/>
      <c r="P1" s="15"/>
      <c r="Q1" s="15"/>
      <c r="R1" s="15"/>
      <c r="S1" s="15"/>
    </row>
    <row r="2" spans="2:19" ht="23.5" x14ac:dyDescent="0.2">
      <c r="B2" s="8" t="s">
        <v>85</v>
      </c>
      <c r="E2" s="67"/>
      <c r="F2" s="67"/>
      <c r="G2" s="67"/>
      <c r="I2" s="67"/>
      <c r="J2" s="121"/>
      <c r="K2" s="67"/>
      <c r="L2" s="15"/>
      <c r="M2" s="15"/>
      <c r="N2" s="15"/>
      <c r="O2" s="15"/>
      <c r="P2" s="15"/>
      <c r="Q2" s="15"/>
      <c r="R2" s="15"/>
      <c r="S2" s="15"/>
    </row>
    <row r="3" spans="2:19" ht="27.75" customHeight="1" x14ac:dyDescent="0.2">
      <c r="I3" s="67"/>
      <c r="J3" s="121"/>
      <c r="K3" s="67"/>
      <c r="L3" s="15"/>
      <c r="M3" s="15"/>
      <c r="N3" s="15"/>
      <c r="O3" s="15"/>
      <c r="P3" s="15"/>
      <c r="Q3" s="15"/>
      <c r="R3" s="15"/>
      <c r="S3" s="15"/>
    </row>
    <row r="4" spans="2:19" s="9" customFormat="1" ht="9" customHeight="1" thickBot="1" x14ac:dyDescent="0.25">
      <c r="C4" s="10"/>
      <c r="D4" s="10"/>
      <c r="E4" s="11"/>
      <c r="L4" s="99"/>
      <c r="M4" s="99"/>
      <c r="N4" s="99"/>
      <c r="O4" s="99"/>
      <c r="P4" s="99"/>
      <c r="Q4" s="99"/>
      <c r="R4" s="99"/>
      <c r="S4" s="99"/>
    </row>
    <row r="5" spans="2:19" x14ac:dyDescent="0.2">
      <c r="B5" s="12" t="s">
        <v>39</v>
      </c>
      <c r="C5" s="718" t="s">
        <v>40</v>
      </c>
      <c r="D5" s="719"/>
      <c r="E5" s="719"/>
      <c r="F5" s="13" t="s">
        <v>41</v>
      </c>
      <c r="G5" s="14" t="s">
        <v>42</v>
      </c>
      <c r="H5" s="15"/>
      <c r="K5" s="9"/>
      <c r="L5" s="99"/>
      <c r="M5" s="100"/>
      <c r="N5" s="100"/>
      <c r="O5" s="101"/>
      <c r="P5" s="99"/>
      <c r="Q5" s="99"/>
      <c r="R5" s="15"/>
      <c r="S5" s="99"/>
    </row>
    <row r="6" spans="2:19" x14ac:dyDescent="0.2">
      <c r="B6" s="16" t="s">
        <v>86</v>
      </c>
      <c r="C6" s="720" t="str">
        <f>+'入力シート (複数物質)'!F20</f>
        <v>複数物質選択</v>
      </c>
      <c r="D6" s="721"/>
      <c r="E6" s="722"/>
      <c r="F6" s="17"/>
      <c r="G6" s="18" t="str">
        <f>$C$6</f>
        <v>複数物質選択</v>
      </c>
      <c r="L6" s="102"/>
      <c r="M6" s="15"/>
      <c r="N6" s="15"/>
      <c r="O6" s="15"/>
      <c r="P6" s="15"/>
      <c r="Q6" s="15"/>
      <c r="R6" s="15"/>
      <c r="S6" s="15"/>
    </row>
    <row r="7" spans="2:19" ht="13.5" thickBot="1" x14ac:dyDescent="0.25">
      <c r="B7" s="19" t="s">
        <v>87</v>
      </c>
      <c r="C7" s="723" t="s">
        <v>88</v>
      </c>
      <c r="D7" s="724"/>
      <c r="E7" s="725"/>
      <c r="F7" s="20" t="s">
        <v>89</v>
      </c>
      <c r="G7" s="21" t="e">
        <f>+'入力シート (複数物質)'!#REF!</f>
        <v>#REF!</v>
      </c>
      <c r="L7" s="102"/>
      <c r="M7" s="15"/>
      <c r="N7" s="15"/>
      <c r="O7" s="15"/>
      <c r="P7" s="15"/>
      <c r="Q7" s="15"/>
      <c r="R7" s="15"/>
      <c r="S7" s="15"/>
    </row>
    <row r="8" spans="2:19" ht="13.5" thickBot="1" x14ac:dyDescent="0.25">
      <c r="B8" s="22" t="s">
        <v>70</v>
      </c>
      <c r="L8" s="102"/>
      <c r="M8" s="15"/>
      <c r="N8" s="15"/>
      <c r="O8" s="15"/>
      <c r="P8" s="15"/>
      <c r="Q8" s="15"/>
      <c r="R8" s="15"/>
      <c r="S8" s="15"/>
    </row>
    <row r="9" spans="2:19" ht="18" x14ac:dyDescent="0.2">
      <c r="B9" s="23" t="s">
        <v>90</v>
      </c>
      <c r="C9" s="699" t="s">
        <v>45</v>
      </c>
      <c r="D9" s="700"/>
      <c r="E9" s="697"/>
      <c r="F9" s="24" t="s">
        <v>71</v>
      </c>
      <c r="G9" s="25">
        <f>+'入力シート (複数物質)'!L46</f>
        <v>30</v>
      </c>
      <c r="L9" s="102"/>
      <c r="M9" s="15"/>
      <c r="N9" s="15"/>
      <c r="O9" s="15"/>
      <c r="P9" s="15"/>
      <c r="Q9" s="15"/>
      <c r="R9" s="15"/>
      <c r="S9" s="15"/>
    </row>
    <row r="10" spans="2:19" ht="18" x14ac:dyDescent="0.2">
      <c r="B10" s="26" t="s">
        <v>91</v>
      </c>
      <c r="C10" s="686" t="s">
        <v>72</v>
      </c>
      <c r="D10" s="689"/>
      <c r="E10" s="687"/>
      <c r="F10" s="27" t="s">
        <v>71</v>
      </c>
      <c r="G10" s="28">
        <f>+'入力シート (複数物質)'!L47</f>
        <v>15</v>
      </c>
      <c r="L10" s="102"/>
      <c r="M10" s="15"/>
      <c r="N10" s="15"/>
      <c r="O10" s="15"/>
      <c r="P10" s="15"/>
      <c r="Q10" s="15"/>
      <c r="R10" s="15"/>
      <c r="S10" s="15"/>
    </row>
    <row r="11" spans="2:19" ht="18" x14ac:dyDescent="0.2">
      <c r="B11" s="26" t="s">
        <v>73</v>
      </c>
      <c r="C11" s="686" t="s">
        <v>74</v>
      </c>
      <c r="D11" s="689"/>
      <c r="E11" s="687"/>
      <c r="F11" s="27" t="s">
        <v>71</v>
      </c>
      <c r="G11" s="28">
        <f>+'入力シート (複数物質)'!L38</f>
        <v>8</v>
      </c>
      <c r="L11" s="102"/>
      <c r="M11" s="15"/>
      <c r="N11" s="15"/>
      <c r="O11" s="15"/>
      <c r="P11" s="15"/>
      <c r="Q11" s="15"/>
      <c r="R11" s="15"/>
      <c r="S11" s="15"/>
    </row>
    <row r="12" spans="2:19" ht="18.5" thickBot="1" x14ac:dyDescent="0.25">
      <c r="B12" s="29" t="s">
        <v>75</v>
      </c>
      <c r="C12" s="703" t="s">
        <v>76</v>
      </c>
      <c r="D12" s="704"/>
      <c r="E12" s="705"/>
      <c r="F12" s="30" t="s">
        <v>71</v>
      </c>
      <c r="G12" s="31">
        <f>+G11</f>
        <v>8</v>
      </c>
      <c r="L12" s="102"/>
      <c r="M12" s="15"/>
      <c r="N12" s="15"/>
      <c r="O12" s="15"/>
      <c r="P12" s="15"/>
      <c r="Q12" s="15"/>
      <c r="R12" s="15"/>
      <c r="S12" s="15"/>
    </row>
    <row r="13" spans="2:19" ht="18" thickBot="1" x14ac:dyDescent="0.25">
      <c r="B13" s="32" t="s">
        <v>77</v>
      </c>
      <c r="H13" s="15"/>
      <c r="I13" s="15"/>
      <c r="J13" s="15"/>
      <c r="L13" s="102"/>
      <c r="M13" s="15"/>
      <c r="N13" s="15"/>
      <c r="O13" s="15"/>
      <c r="P13" s="15"/>
      <c r="Q13" s="15"/>
      <c r="R13" s="15"/>
      <c r="S13" s="15"/>
    </row>
    <row r="14" spans="2:19" ht="14.5" thickBot="1" x14ac:dyDescent="0.25">
      <c r="B14" s="143" t="s">
        <v>78</v>
      </c>
      <c r="C14" s="706" t="s">
        <v>84</v>
      </c>
      <c r="D14" s="707"/>
      <c r="E14" s="708"/>
      <c r="F14" s="144" t="s">
        <v>79</v>
      </c>
      <c r="G14" s="145">
        <f>'入力シート (複数物質)'!L44</f>
        <v>50</v>
      </c>
      <c r="H14" s="15"/>
      <c r="I14" s="15"/>
      <c r="J14" s="15"/>
      <c r="L14" s="102"/>
      <c r="M14" s="15"/>
      <c r="N14" s="15"/>
      <c r="O14" s="15"/>
      <c r="P14" s="15"/>
      <c r="Q14" s="15"/>
      <c r="R14" s="15"/>
      <c r="S14" s="15"/>
    </row>
    <row r="15" spans="2:19" ht="14" hidden="1" x14ac:dyDescent="0.2">
      <c r="B15" s="140" t="s">
        <v>80</v>
      </c>
      <c r="C15" s="709" t="s">
        <v>81</v>
      </c>
      <c r="D15" s="710"/>
      <c r="E15" s="711"/>
      <c r="F15" s="141" t="s">
        <v>82</v>
      </c>
      <c r="G15" s="142">
        <f>+G14</f>
        <v>50</v>
      </c>
      <c r="H15" s="15"/>
      <c r="I15" s="15"/>
      <c r="J15" s="15"/>
      <c r="L15" s="102"/>
      <c r="M15" s="15"/>
      <c r="N15" s="15"/>
      <c r="O15" s="15"/>
      <c r="P15" s="15"/>
      <c r="Q15" s="15"/>
      <c r="R15" s="15"/>
      <c r="S15" s="15"/>
    </row>
    <row r="16" spans="2:19" ht="14.5" hidden="1" thickBot="1" x14ac:dyDescent="0.25">
      <c r="B16" s="33" t="s">
        <v>83</v>
      </c>
      <c r="C16" s="726" t="s">
        <v>84</v>
      </c>
      <c r="D16" s="713"/>
      <c r="E16" s="714"/>
      <c r="F16" s="34" t="s">
        <v>82</v>
      </c>
      <c r="G16" s="35">
        <f>+G15</f>
        <v>50</v>
      </c>
      <c r="H16" s="15"/>
      <c r="I16" s="15"/>
      <c r="J16" s="15"/>
      <c r="L16" s="102"/>
      <c r="M16" s="15"/>
      <c r="N16" s="15"/>
      <c r="O16" s="15"/>
      <c r="P16" s="15"/>
      <c r="Q16" s="15"/>
      <c r="R16" s="15"/>
      <c r="S16" s="15"/>
    </row>
    <row r="17" spans="1:19" ht="14.5" thickBot="1" x14ac:dyDescent="0.25">
      <c r="B17" s="36" t="s">
        <v>92</v>
      </c>
      <c r="H17" s="15"/>
      <c r="I17" s="15"/>
      <c r="J17" s="15"/>
      <c r="L17" s="102"/>
      <c r="M17" s="15"/>
      <c r="N17" s="15"/>
      <c r="O17" s="15"/>
      <c r="P17" s="15"/>
      <c r="Q17" s="15"/>
      <c r="R17" s="15"/>
      <c r="S17" s="15"/>
    </row>
    <row r="18" spans="1:19" ht="18.5" thickBot="1" x14ac:dyDescent="0.25">
      <c r="A18" s="37"/>
      <c r="B18" s="38" t="s">
        <v>93</v>
      </c>
      <c r="C18" s="715" t="s">
        <v>44</v>
      </c>
      <c r="D18" s="716"/>
      <c r="E18" s="717"/>
      <c r="F18" s="39" t="s">
        <v>94</v>
      </c>
      <c r="G18" s="40">
        <f>IF(A18="",100,A18)</f>
        <v>100</v>
      </c>
      <c r="H18" s="15"/>
      <c r="I18" s="15"/>
      <c r="J18" s="15"/>
      <c r="L18" s="102"/>
      <c r="M18" s="15"/>
      <c r="N18" s="15"/>
      <c r="O18" s="15"/>
      <c r="P18" s="15"/>
      <c r="Q18" s="15"/>
      <c r="R18" s="15"/>
      <c r="S18" s="15"/>
    </row>
    <row r="19" spans="1:19" x14ac:dyDescent="0.2">
      <c r="H19" s="15"/>
      <c r="I19" s="15"/>
      <c r="J19" s="15"/>
      <c r="L19" s="70"/>
      <c r="M19" s="15"/>
      <c r="N19" s="15"/>
      <c r="O19" s="15"/>
      <c r="P19" s="15"/>
      <c r="Q19" s="15"/>
      <c r="R19" s="15"/>
      <c r="S19" s="15"/>
    </row>
    <row r="20" spans="1:19" ht="13.5" thickBot="1" x14ac:dyDescent="0.25">
      <c r="B20" s="41" t="s">
        <v>95</v>
      </c>
      <c r="H20" s="15"/>
      <c r="I20" s="15"/>
      <c r="J20" s="15"/>
      <c r="L20" s="70"/>
      <c r="M20" s="15"/>
      <c r="N20" s="15"/>
      <c r="O20" s="15"/>
      <c r="P20" s="15"/>
      <c r="Q20" s="15"/>
      <c r="R20" s="15"/>
      <c r="S20" s="15"/>
    </row>
    <row r="21" spans="1:19" ht="18" x14ac:dyDescent="0.2">
      <c r="A21" s="37"/>
      <c r="B21" s="23" t="s">
        <v>96</v>
      </c>
      <c r="C21" s="699" t="s">
        <v>49</v>
      </c>
      <c r="D21" s="700"/>
      <c r="E21" s="697"/>
      <c r="F21" s="24" t="s">
        <v>97</v>
      </c>
      <c r="G21" s="42">
        <f>'入力シート (複数物質)'!Y9</f>
        <v>3.0000000000000001E-5</v>
      </c>
      <c r="H21" s="15"/>
      <c r="I21" s="15"/>
      <c r="J21" s="15"/>
      <c r="L21" s="70"/>
      <c r="M21" s="15"/>
      <c r="N21" s="15"/>
      <c r="O21" s="15"/>
      <c r="P21" s="15"/>
      <c r="Q21" s="15"/>
      <c r="R21" s="15"/>
      <c r="S21" s="15"/>
    </row>
    <row r="22" spans="1:19" ht="18" x14ac:dyDescent="0.2">
      <c r="A22" s="37"/>
      <c r="B22" s="26" t="s">
        <v>98</v>
      </c>
      <c r="C22" s="686" t="s">
        <v>50</v>
      </c>
      <c r="D22" s="689"/>
      <c r="E22" s="687"/>
      <c r="F22" s="113" t="s">
        <v>99</v>
      </c>
      <c r="G22" s="28">
        <f>'入力シート (複数物質)'!F41</f>
        <v>5.0000000000000001E-3</v>
      </c>
      <c r="H22" s="15"/>
      <c r="I22" s="15"/>
      <c r="J22" s="15"/>
      <c r="L22" s="70"/>
      <c r="M22" s="15"/>
      <c r="N22" s="15"/>
      <c r="O22" s="15"/>
      <c r="P22" s="15"/>
      <c r="Q22" s="15"/>
      <c r="R22" s="15"/>
      <c r="S22" s="15"/>
    </row>
    <row r="23" spans="1:19" ht="18" x14ac:dyDescent="0.2">
      <c r="A23" s="37"/>
      <c r="B23" s="26" t="s">
        <v>176</v>
      </c>
      <c r="C23" s="688" t="s">
        <v>178</v>
      </c>
      <c r="D23" s="689"/>
      <c r="E23" s="687"/>
      <c r="F23" s="113" t="s">
        <v>51</v>
      </c>
      <c r="G23" s="28">
        <f>'入力シート (複数物質)'!Y10</f>
        <v>0.3</v>
      </c>
      <c r="H23" s="15"/>
      <c r="I23" s="15"/>
      <c r="J23" s="15"/>
      <c r="L23" s="70"/>
      <c r="M23" s="15"/>
      <c r="N23" s="15"/>
      <c r="O23" s="15"/>
      <c r="P23" s="15"/>
      <c r="Q23" s="15"/>
      <c r="R23" s="15"/>
      <c r="S23" s="15"/>
    </row>
    <row r="24" spans="1:19" ht="18" x14ac:dyDescent="0.2">
      <c r="A24" s="37"/>
      <c r="B24" s="26" t="s">
        <v>175</v>
      </c>
      <c r="C24" s="688" t="s">
        <v>177</v>
      </c>
      <c r="D24" s="689"/>
      <c r="E24" s="687"/>
      <c r="F24" s="113" t="s">
        <v>51</v>
      </c>
      <c r="G24" s="28">
        <f>'入力シート (複数物質)'!Y11</f>
        <v>0.4</v>
      </c>
      <c r="H24" s="15"/>
      <c r="I24" s="15"/>
      <c r="J24" s="15"/>
      <c r="L24" s="70"/>
      <c r="M24" s="15"/>
      <c r="N24" s="15"/>
      <c r="O24" s="15"/>
      <c r="P24" s="15"/>
      <c r="Q24" s="15"/>
      <c r="R24" s="15"/>
      <c r="S24" s="15"/>
    </row>
    <row r="25" spans="1:19" ht="21" x14ac:dyDescent="0.2">
      <c r="A25" s="37"/>
      <c r="B25" s="26" t="s">
        <v>101</v>
      </c>
      <c r="C25" s="686" t="s">
        <v>46</v>
      </c>
      <c r="D25" s="689"/>
      <c r="E25" s="687"/>
      <c r="F25" s="113" t="s">
        <v>71</v>
      </c>
      <c r="G25" s="43" t="e">
        <f>'入力シート (複数物質)'!#REF!</f>
        <v>#REF!</v>
      </c>
      <c r="H25" s="71"/>
      <c r="I25" s="71"/>
      <c r="J25" s="15"/>
      <c r="L25" s="70"/>
      <c r="M25" s="15"/>
      <c r="N25" s="15"/>
      <c r="O25" s="15"/>
      <c r="P25" s="15"/>
      <c r="Q25" s="15"/>
      <c r="R25" s="15"/>
      <c r="S25" s="15"/>
    </row>
    <row r="26" spans="1:19" ht="22.5" customHeight="1" x14ac:dyDescent="0.2">
      <c r="A26" s="37"/>
      <c r="B26" s="26" t="s">
        <v>102</v>
      </c>
      <c r="C26" s="686" t="s">
        <v>47</v>
      </c>
      <c r="D26" s="689"/>
      <c r="E26" s="687"/>
      <c r="F26" s="113" t="s">
        <v>71</v>
      </c>
      <c r="G26" s="43" t="e">
        <f>'入力シート (複数物質)'!#REF!</f>
        <v>#REF!</v>
      </c>
      <c r="H26" s="71"/>
      <c r="I26" s="71"/>
      <c r="J26" s="15"/>
      <c r="L26" s="70"/>
      <c r="M26" s="15"/>
      <c r="N26" s="15"/>
      <c r="O26" s="15"/>
      <c r="P26" s="15"/>
      <c r="Q26" s="15"/>
      <c r="R26" s="15"/>
      <c r="S26" s="15"/>
    </row>
    <row r="27" spans="1:19" ht="22.5" customHeight="1" thickBot="1" x14ac:dyDescent="0.25">
      <c r="A27" s="37"/>
      <c r="B27" s="44" t="s">
        <v>103</v>
      </c>
      <c r="C27" s="701" t="s">
        <v>48</v>
      </c>
      <c r="D27" s="702"/>
      <c r="E27" s="694"/>
      <c r="F27" s="45" t="s">
        <v>71</v>
      </c>
      <c r="G27" s="46" t="e">
        <f>'入力シート (複数物質)'!#REF!</f>
        <v>#REF!</v>
      </c>
      <c r="H27" s="71"/>
      <c r="I27" s="71"/>
      <c r="J27" s="15"/>
      <c r="L27" s="70"/>
      <c r="M27" s="15"/>
      <c r="N27" s="15"/>
      <c r="O27" s="15"/>
      <c r="P27" s="15"/>
      <c r="Q27" s="15"/>
      <c r="R27" s="15"/>
      <c r="S27" s="15"/>
    </row>
    <row r="28" spans="1:19" ht="18" thickBot="1" x14ac:dyDescent="0.25">
      <c r="B28" s="32" t="s">
        <v>104</v>
      </c>
      <c r="C28" s="47"/>
      <c r="H28" s="15"/>
      <c r="I28" s="15"/>
      <c r="J28" s="15"/>
      <c r="L28" s="70"/>
      <c r="M28" s="15"/>
      <c r="N28" s="15"/>
      <c r="O28" s="15"/>
      <c r="P28" s="15"/>
      <c r="Q28" s="15"/>
      <c r="R28" s="15"/>
      <c r="S28" s="15"/>
    </row>
    <row r="29" spans="1:19" ht="21" x14ac:dyDescent="0.2">
      <c r="A29" s="37"/>
      <c r="B29" s="23" t="s">
        <v>105</v>
      </c>
      <c r="C29" s="699" t="s">
        <v>52</v>
      </c>
      <c r="D29" s="700"/>
      <c r="E29" s="697"/>
      <c r="F29" s="24" t="s">
        <v>106</v>
      </c>
      <c r="G29" s="48" t="e">
        <f>'入力シート (複数物質)'!#REF!</f>
        <v>#REF!</v>
      </c>
      <c r="L29" s="70"/>
      <c r="M29" s="15"/>
      <c r="N29" s="15"/>
      <c r="O29" s="15"/>
      <c r="P29" s="15"/>
      <c r="Q29" s="15"/>
      <c r="R29" s="15"/>
      <c r="S29" s="15"/>
    </row>
    <row r="30" spans="1:19" ht="14" x14ac:dyDescent="0.3">
      <c r="A30" s="37"/>
      <c r="B30" s="49" t="s">
        <v>107</v>
      </c>
      <c r="C30" s="692" t="s">
        <v>53</v>
      </c>
      <c r="D30" s="692"/>
      <c r="E30" s="692"/>
      <c r="F30" s="50" t="s">
        <v>108</v>
      </c>
      <c r="G30" s="51" t="e">
        <f>'入力シート (複数物質)'!#REF!</f>
        <v>#REF!</v>
      </c>
      <c r="L30" s="70"/>
      <c r="M30" s="15"/>
      <c r="N30" s="15"/>
      <c r="O30" s="15"/>
      <c r="P30" s="15"/>
      <c r="Q30" s="15"/>
      <c r="R30" s="15"/>
      <c r="S30" s="15"/>
    </row>
    <row r="31" spans="1:19" ht="18" x14ac:dyDescent="0.4">
      <c r="A31" s="37"/>
      <c r="B31" s="52" t="s">
        <v>109</v>
      </c>
      <c r="C31" s="692" t="s">
        <v>110</v>
      </c>
      <c r="D31" s="692"/>
      <c r="E31" s="692"/>
      <c r="F31" s="50" t="s">
        <v>111</v>
      </c>
      <c r="G31" s="51" t="e">
        <f>'入力シート (複数物質)'!#REF!</f>
        <v>#REF!</v>
      </c>
      <c r="L31" s="70"/>
      <c r="M31" s="15"/>
      <c r="N31" s="15"/>
      <c r="O31" s="15"/>
      <c r="P31" s="15"/>
      <c r="Q31" s="15"/>
      <c r="R31" s="15"/>
      <c r="S31" s="15"/>
    </row>
    <row r="32" spans="1:19" ht="18.5" thickBot="1" x14ac:dyDescent="0.45">
      <c r="A32" s="37"/>
      <c r="B32" s="53" t="s">
        <v>112</v>
      </c>
      <c r="C32" s="695" t="s">
        <v>113</v>
      </c>
      <c r="D32" s="695"/>
      <c r="E32" s="695"/>
      <c r="F32" s="54" t="s">
        <v>114</v>
      </c>
      <c r="G32" s="55">
        <f>'入力シート (複数物質)'!Y14</f>
        <v>1E-3</v>
      </c>
      <c r="L32" s="70"/>
      <c r="M32" s="15"/>
      <c r="N32" s="15"/>
      <c r="O32" s="15"/>
      <c r="P32" s="15"/>
      <c r="Q32" s="15"/>
      <c r="R32" s="15"/>
      <c r="S32" s="15"/>
    </row>
    <row r="33" spans="1:19" ht="13.5" thickBot="1" x14ac:dyDescent="0.25">
      <c r="L33" s="70"/>
      <c r="M33" s="15"/>
      <c r="N33" s="15"/>
      <c r="O33" s="15"/>
      <c r="P33" s="15"/>
      <c r="Q33" s="15"/>
      <c r="R33" s="15"/>
      <c r="S33" s="15"/>
    </row>
    <row r="34" spans="1:19" ht="18" x14ac:dyDescent="0.4">
      <c r="A34" s="56"/>
      <c r="B34" s="57" t="s">
        <v>115</v>
      </c>
      <c r="C34" s="699" t="s">
        <v>116</v>
      </c>
      <c r="D34" s="700"/>
      <c r="E34" s="697"/>
      <c r="F34" s="58" t="s">
        <v>117</v>
      </c>
      <c r="G34" s="172">
        <f>'入力シート (複数物質)'!Y13</f>
        <v>1.62</v>
      </c>
      <c r="L34" s="15"/>
      <c r="M34" s="15"/>
      <c r="N34" s="15"/>
      <c r="O34" s="15"/>
      <c r="P34" s="15"/>
      <c r="Q34" s="15"/>
      <c r="R34" s="15"/>
      <c r="S34" s="15"/>
    </row>
    <row r="35" spans="1:19" ht="18" x14ac:dyDescent="0.2">
      <c r="B35" s="26" t="s">
        <v>118</v>
      </c>
      <c r="C35" s="686" t="s">
        <v>119</v>
      </c>
      <c r="D35" s="689"/>
      <c r="E35" s="687"/>
      <c r="F35" s="27" t="s">
        <v>120</v>
      </c>
      <c r="G35" s="43" t="e">
        <f>+'入力シート (複数物質)'!O49*0.365</f>
        <v>#VALUE!</v>
      </c>
      <c r="L35" s="15"/>
      <c r="M35" s="15"/>
      <c r="N35" s="15"/>
      <c r="O35" s="15"/>
      <c r="P35" s="15"/>
      <c r="Q35" s="15"/>
      <c r="R35" s="15"/>
      <c r="S35" s="15"/>
    </row>
    <row r="36" spans="1:19" ht="17" thickBot="1" x14ac:dyDescent="0.25">
      <c r="B36" s="59" t="s">
        <v>121</v>
      </c>
      <c r="C36" s="701" t="s">
        <v>122</v>
      </c>
      <c r="D36" s="702"/>
      <c r="E36" s="694"/>
      <c r="F36" s="45" t="s">
        <v>123</v>
      </c>
      <c r="G36" s="46">
        <v>0</v>
      </c>
      <c r="L36" s="15"/>
      <c r="M36" s="15"/>
      <c r="N36" s="15"/>
      <c r="O36" s="15"/>
      <c r="P36" s="15"/>
      <c r="Q36" s="15"/>
      <c r="R36" s="15"/>
      <c r="S36" s="15"/>
    </row>
    <row r="37" spans="1:19" ht="13.5" thickBot="1" x14ac:dyDescent="0.25">
      <c r="B37" s="7" t="s">
        <v>124</v>
      </c>
      <c r="N37" s="60"/>
    </row>
    <row r="38" spans="1:19" ht="18" x14ac:dyDescent="0.2">
      <c r="B38" s="23" t="s">
        <v>125</v>
      </c>
      <c r="C38" s="699" t="s">
        <v>54</v>
      </c>
      <c r="D38" s="700"/>
      <c r="E38" s="697"/>
      <c r="F38" s="24" t="s">
        <v>126</v>
      </c>
      <c r="G38" s="131" t="e">
        <f>IF(G29="-",0,LN(2)/G29)</f>
        <v>#REF!</v>
      </c>
    </row>
    <row r="39" spans="1:19" ht="18" x14ac:dyDescent="0.2">
      <c r="B39" s="26" t="s">
        <v>127</v>
      </c>
      <c r="C39" s="686" t="s">
        <v>55</v>
      </c>
      <c r="D39" s="689"/>
      <c r="E39" s="687"/>
      <c r="F39" s="113" t="s">
        <v>128</v>
      </c>
      <c r="G39" s="132">
        <f>+G40*G22/G23</f>
        <v>15.768000000000002</v>
      </c>
      <c r="R39" s="60"/>
    </row>
    <row r="40" spans="1:19" ht="18" x14ac:dyDescent="0.2">
      <c r="B40" s="26" t="s">
        <v>129</v>
      </c>
      <c r="C40" s="686" t="s">
        <v>49</v>
      </c>
      <c r="D40" s="689"/>
      <c r="E40" s="687"/>
      <c r="F40" s="113" t="s">
        <v>128</v>
      </c>
      <c r="G40" s="133">
        <f>+G21*86400*365</f>
        <v>946.08</v>
      </c>
      <c r="R40" s="60"/>
    </row>
    <row r="41" spans="1:19" ht="18.5" thickBot="1" x14ac:dyDescent="0.25">
      <c r="B41" s="44" t="s">
        <v>130</v>
      </c>
      <c r="C41" s="701" t="s">
        <v>56</v>
      </c>
      <c r="D41" s="702"/>
      <c r="E41" s="694"/>
      <c r="F41" s="45"/>
      <c r="G41" s="148" t="e">
        <f>1+G30*G34/G23</f>
        <v>#REF!</v>
      </c>
    </row>
    <row r="42" spans="1:19" ht="18.5" thickBot="1" x14ac:dyDescent="0.25">
      <c r="B42" s="61" t="s">
        <v>131</v>
      </c>
      <c r="R42" s="60"/>
    </row>
    <row r="43" spans="1:19" x14ac:dyDescent="0.2">
      <c r="B43" s="12"/>
      <c r="C43" s="697" t="s">
        <v>132</v>
      </c>
      <c r="D43" s="698"/>
      <c r="E43" s="698"/>
      <c r="F43" s="58"/>
      <c r="G43" s="125" t="e">
        <f>SQRT(1+4*$G38*G25/$G39)</f>
        <v>#REF!</v>
      </c>
      <c r="H43" s="122"/>
      <c r="I43" s="122"/>
      <c r="N43" s="60"/>
      <c r="R43" s="47"/>
    </row>
    <row r="44" spans="1:19" x14ac:dyDescent="0.2">
      <c r="B44" s="62" t="s">
        <v>133</v>
      </c>
      <c r="C44" s="687"/>
      <c r="D44" s="692"/>
      <c r="E44" s="692"/>
      <c r="F44" s="63"/>
      <c r="G44" s="126" t="e">
        <f>EXP(G14/(2*G25)*(1-G43))</f>
        <v>#REF!</v>
      </c>
      <c r="H44" s="122"/>
      <c r="I44" s="122"/>
      <c r="N44" s="60"/>
    </row>
    <row r="45" spans="1:19" x14ac:dyDescent="0.2">
      <c r="B45" s="62" t="s">
        <v>57</v>
      </c>
      <c r="C45" s="687"/>
      <c r="D45" s="692"/>
      <c r="E45" s="692"/>
      <c r="F45" s="110"/>
      <c r="G45" s="127" t="e">
        <f>IF(G14-$G39*$G18/$G41*G43&lt;=0,2-ERFC((-G14+$G39*$G18/$G41*G43)/(2*SQRT(G25*$G39*$G18/$G41))),ERFC((G14-$G39*$G18/$G41*G43)/(2*SQRT(G25*$G39*$G18/$G41))))</f>
        <v>#REF!</v>
      </c>
      <c r="H45" s="146"/>
      <c r="I45" s="146"/>
      <c r="N45" s="60"/>
    </row>
    <row r="46" spans="1:19" x14ac:dyDescent="0.2">
      <c r="B46" s="62" t="s">
        <v>58</v>
      </c>
      <c r="C46" s="687"/>
      <c r="D46" s="692"/>
      <c r="E46" s="692"/>
      <c r="F46" s="63"/>
      <c r="G46" s="126" t="e">
        <f>ERF(($G9)/(4*(G26*G14)^0.5))</f>
        <v>#REF!</v>
      </c>
      <c r="H46" s="122"/>
      <c r="I46" s="122"/>
    </row>
    <row r="47" spans="1:19" ht="13.5" thickBot="1" x14ac:dyDescent="0.25">
      <c r="B47" s="128" t="s">
        <v>59</v>
      </c>
      <c r="C47" s="694"/>
      <c r="D47" s="695"/>
      <c r="E47" s="695"/>
      <c r="F47" s="129"/>
      <c r="G47" s="130" t="e">
        <f>MAX(ERF(($G11)/(2*(G14*G27)^0.5)),+$G$11/$G$12)</f>
        <v>#REF!</v>
      </c>
      <c r="H47" s="122"/>
      <c r="I47" s="122"/>
      <c r="J47" s="7" t="s">
        <v>134</v>
      </c>
      <c r="K47" s="47"/>
      <c r="L47" s="47"/>
      <c r="M47" s="47"/>
      <c r="O47" s="47"/>
      <c r="P47" s="47"/>
      <c r="Q47" s="47"/>
    </row>
    <row r="48" spans="1:19" x14ac:dyDescent="0.2">
      <c r="K48" s="47"/>
      <c r="L48" s="47"/>
      <c r="M48" s="47"/>
      <c r="O48" s="47"/>
      <c r="P48" s="47"/>
      <c r="Q48" s="47"/>
    </row>
    <row r="49" spans="1:17" x14ac:dyDescent="0.2">
      <c r="K49" s="64"/>
      <c r="L49" s="696"/>
      <c r="M49" s="696"/>
      <c r="N49" s="696"/>
      <c r="O49" s="65"/>
      <c r="P49" s="65"/>
      <c r="Q49" s="47"/>
    </row>
    <row r="50" spans="1:17" ht="21" x14ac:dyDescent="0.55000000000000004">
      <c r="B50" s="147" t="s">
        <v>135</v>
      </c>
      <c r="C50" s="692" t="s">
        <v>136</v>
      </c>
      <c r="D50" s="692"/>
      <c r="E50" s="692"/>
      <c r="F50" s="110" t="s">
        <v>137</v>
      </c>
      <c r="G50" s="66" t="e">
        <f>IF(+G44*G45*G46*G47/2=0,1E-300,+G44*G45*G46*G47/2)</f>
        <v>#REF!</v>
      </c>
      <c r="H50" s="124"/>
      <c r="I50" s="124"/>
      <c r="K50" s="47"/>
      <c r="L50" s="47"/>
      <c r="M50" s="47"/>
      <c r="N50" s="47"/>
      <c r="O50" s="47"/>
      <c r="P50" s="47"/>
      <c r="Q50" s="47"/>
    </row>
    <row r="51" spans="1:17" ht="21" x14ac:dyDescent="0.55000000000000004">
      <c r="A51" s="67"/>
      <c r="B51" s="147" t="s">
        <v>138</v>
      </c>
      <c r="C51" s="692" t="s">
        <v>139</v>
      </c>
      <c r="D51" s="692"/>
      <c r="E51" s="692"/>
      <c r="F51" s="110" t="s">
        <v>137</v>
      </c>
      <c r="G51" s="66" t="e">
        <f>+G44*G46*G47</f>
        <v>#REF!</v>
      </c>
      <c r="H51" s="124"/>
      <c r="I51" s="124"/>
      <c r="K51" s="47"/>
      <c r="L51" s="47"/>
      <c r="M51" s="47"/>
      <c r="N51" s="47"/>
      <c r="O51" s="15"/>
      <c r="P51" s="15"/>
      <c r="Q51" s="15"/>
    </row>
    <row r="52" spans="1:17" ht="18" x14ac:dyDescent="0.2">
      <c r="A52" s="68"/>
      <c r="K52" s="69"/>
      <c r="L52" s="691"/>
      <c r="M52" s="691"/>
      <c r="N52" s="691"/>
      <c r="O52" s="70"/>
      <c r="P52" s="71"/>
      <c r="Q52" s="15"/>
    </row>
    <row r="53" spans="1:17" ht="16.5" x14ac:dyDescent="0.2">
      <c r="A53" s="68"/>
      <c r="B53" s="72" t="s">
        <v>124</v>
      </c>
      <c r="C53" s="686" t="s">
        <v>140</v>
      </c>
      <c r="D53" s="689"/>
      <c r="E53" s="687"/>
      <c r="F53" s="27" t="s">
        <v>141</v>
      </c>
      <c r="G53" s="73" t="e">
        <f>G9*G10*G35*(1-G36)</f>
        <v>#VALUE!</v>
      </c>
      <c r="K53" s="47"/>
      <c r="L53" s="47"/>
      <c r="M53" s="47"/>
      <c r="N53" s="47"/>
      <c r="O53" s="15"/>
      <c r="P53" s="15"/>
      <c r="Q53" s="15"/>
    </row>
    <row r="54" spans="1:17" ht="16.5" x14ac:dyDescent="0.2">
      <c r="A54" s="68"/>
      <c r="B54" s="72" t="s">
        <v>124</v>
      </c>
      <c r="C54" s="686" t="s">
        <v>142</v>
      </c>
      <c r="D54" s="689"/>
      <c r="E54" s="687"/>
      <c r="F54" s="27" t="s">
        <v>141</v>
      </c>
      <c r="G54" s="73">
        <f>G40*G22*G9*G11</f>
        <v>1135.296</v>
      </c>
      <c r="K54" s="47"/>
      <c r="L54" s="47"/>
      <c r="M54" s="47"/>
      <c r="N54" s="47"/>
      <c r="O54" s="15"/>
      <c r="P54" s="15"/>
      <c r="Q54" s="15"/>
    </row>
    <row r="55" spans="1:17" ht="16.5" x14ac:dyDescent="0.2">
      <c r="A55" s="67"/>
      <c r="B55" s="72" t="s">
        <v>124</v>
      </c>
      <c r="C55" s="686" t="s">
        <v>143</v>
      </c>
      <c r="D55" s="689"/>
      <c r="E55" s="687"/>
      <c r="F55" s="27" t="s">
        <v>144</v>
      </c>
      <c r="G55" s="73">
        <f>G9*G10*G11*G23</f>
        <v>1080</v>
      </c>
      <c r="H55" s="47"/>
      <c r="K55" s="47"/>
      <c r="L55" s="47"/>
      <c r="M55" s="47"/>
      <c r="N55" s="47"/>
      <c r="O55" s="15"/>
      <c r="P55" s="15"/>
      <c r="Q55" s="15"/>
    </row>
    <row r="56" spans="1:17" x14ac:dyDescent="0.2">
      <c r="A56" s="68"/>
      <c r="B56" s="64"/>
      <c r="C56" s="696"/>
      <c r="D56" s="696"/>
      <c r="E56" s="696"/>
      <c r="F56" s="65"/>
      <c r="G56" s="65"/>
      <c r="H56" s="47"/>
      <c r="K56" s="47"/>
      <c r="L56" s="47"/>
      <c r="M56" s="47"/>
      <c r="N56" s="47"/>
      <c r="O56" s="47"/>
      <c r="P56" s="47"/>
      <c r="Q56" s="47"/>
    </row>
    <row r="57" spans="1:17" ht="20.5" x14ac:dyDescent="0.2">
      <c r="A57" s="68"/>
      <c r="B57" s="72" t="s">
        <v>181</v>
      </c>
      <c r="C57" s="688" t="s">
        <v>179</v>
      </c>
      <c r="D57" s="689"/>
      <c r="E57" s="687"/>
      <c r="F57" s="105" t="s">
        <v>137</v>
      </c>
      <c r="G57" s="106" t="e">
        <f>+G53/(G54+G53)</f>
        <v>#VALUE!</v>
      </c>
      <c r="H57" s="107" t="s">
        <v>182</v>
      </c>
      <c r="K57" s="47"/>
      <c r="L57" s="47"/>
      <c r="M57" s="47"/>
      <c r="N57" s="47"/>
      <c r="O57" s="47"/>
      <c r="P57" s="47"/>
      <c r="Q57" s="47"/>
    </row>
    <row r="58" spans="1:17" ht="20.5" x14ac:dyDescent="0.2">
      <c r="A58" s="68"/>
      <c r="B58" s="72" t="s">
        <v>181</v>
      </c>
      <c r="C58" s="688" t="s">
        <v>180</v>
      </c>
      <c r="D58" s="689"/>
      <c r="E58" s="687"/>
      <c r="F58" s="105" t="s">
        <v>137</v>
      </c>
      <c r="G58" s="106">
        <v>1</v>
      </c>
      <c r="H58" s="108" t="s">
        <v>184</v>
      </c>
      <c r="K58" s="64"/>
      <c r="L58" s="696"/>
      <c r="M58" s="696"/>
      <c r="N58" s="696"/>
      <c r="O58" s="65"/>
      <c r="P58" s="65"/>
      <c r="Q58" s="47"/>
    </row>
    <row r="59" spans="1:17" ht="18.5" thickBot="1" x14ac:dyDescent="0.25">
      <c r="A59" s="68"/>
      <c r="K59" s="69"/>
      <c r="L59" s="691"/>
      <c r="M59" s="691"/>
      <c r="N59" s="691"/>
      <c r="O59" s="74"/>
      <c r="P59" s="71"/>
      <c r="Q59" s="47"/>
    </row>
    <row r="60" spans="1:17" ht="18" x14ac:dyDescent="0.2">
      <c r="A60" s="67"/>
      <c r="B60" s="75" t="s">
        <v>145</v>
      </c>
      <c r="C60" s="76" t="s">
        <v>86</v>
      </c>
      <c r="D60" s="76" t="str">
        <f>+C6</f>
        <v>複数物質選択</v>
      </c>
      <c r="E60" s="76"/>
      <c r="F60" s="76"/>
      <c r="G60" s="76"/>
      <c r="H60" s="76"/>
      <c r="I60" s="76"/>
      <c r="J60" s="77"/>
      <c r="K60" s="69"/>
      <c r="L60" s="691"/>
      <c r="M60" s="691"/>
      <c r="N60" s="691"/>
      <c r="O60" s="74"/>
      <c r="P60" s="71"/>
      <c r="Q60" s="47"/>
    </row>
    <row r="61" spans="1:17" ht="18" x14ac:dyDescent="0.2">
      <c r="A61" s="67"/>
      <c r="B61" s="78" t="s">
        <v>146</v>
      </c>
      <c r="C61" s="47"/>
      <c r="D61" s="47"/>
      <c r="E61" s="47"/>
      <c r="F61" s="47"/>
      <c r="G61" s="47"/>
      <c r="H61" s="47"/>
      <c r="I61" s="47"/>
      <c r="J61" s="79"/>
      <c r="K61" s="69"/>
      <c r="L61" s="80"/>
      <c r="M61" s="80"/>
      <c r="N61" s="80"/>
      <c r="O61" s="74"/>
      <c r="P61" s="71"/>
      <c r="Q61" s="47"/>
    </row>
    <row r="62" spans="1:17" ht="16.5" x14ac:dyDescent="0.2">
      <c r="A62" s="67"/>
      <c r="B62" s="81"/>
      <c r="C62" s="690"/>
      <c r="D62" s="690"/>
      <c r="E62" s="690"/>
      <c r="F62" s="82" t="s">
        <v>147</v>
      </c>
      <c r="G62" s="83" t="s">
        <v>148</v>
      </c>
      <c r="H62" s="47"/>
      <c r="I62" s="47"/>
      <c r="J62" s="79"/>
      <c r="K62" s="84"/>
      <c r="L62" s="691"/>
      <c r="M62" s="691"/>
      <c r="N62" s="691"/>
      <c r="O62" s="74"/>
      <c r="P62" s="85"/>
      <c r="Q62" s="47"/>
    </row>
    <row r="63" spans="1:17" ht="16.5" x14ac:dyDescent="0.2">
      <c r="B63" s="81"/>
      <c r="C63" s="692" t="s">
        <v>149</v>
      </c>
      <c r="D63" s="692"/>
      <c r="E63" s="692"/>
      <c r="F63" s="83">
        <v>1</v>
      </c>
      <c r="G63" s="86" t="e">
        <f>+G50</f>
        <v>#REF!</v>
      </c>
      <c r="H63" s="139"/>
      <c r="I63" s="139"/>
      <c r="J63" s="79"/>
      <c r="K63" s="84"/>
      <c r="L63" s="691"/>
      <c r="M63" s="691"/>
      <c r="N63" s="691"/>
      <c r="O63" s="74"/>
      <c r="P63" s="85"/>
      <c r="Q63" s="47"/>
    </row>
    <row r="64" spans="1:17" ht="16.5" x14ac:dyDescent="0.2">
      <c r="B64" s="87"/>
      <c r="C64" s="693" t="s">
        <v>150</v>
      </c>
      <c r="D64" s="693"/>
      <c r="E64" s="693"/>
      <c r="F64" s="88" t="e">
        <f>+G64/G63*F63</f>
        <v>#REF!</v>
      </c>
      <c r="G64" s="83" t="e">
        <f>+G7</f>
        <v>#REF!</v>
      </c>
      <c r="H64" s="139"/>
      <c r="I64" s="139"/>
      <c r="J64" s="79"/>
      <c r="K64" s="47"/>
      <c r="L64" s="47"/>
      <c r="M64" s="47"/>
      <c r="N64" s="47"/>
      <c r="O64" s="47"/>
      <c r="P64" s="47"/>
      <c r="Q64" s="47"/>
    </row>
    <row r="65" spans="2:10" ht="18" x14ac:dyDescent="0.2">
      <c r="B65" s="89"/>
      <c r="C65" s="691"/>
      <c r="D65" s="691"/>
      <c r="E65" s="691"/>
      <c r="F65" s="74" t="e">
        <f>IF(F64&gt;10,ROUNDDOWN(F64,0),IF(F64&gt;1,ROUNDDOWN(F64,1),IF(F64&gt;0.1,ROUNDDOWN(F64,2),IF(F64&gt;0.01,ROUNDDOWN(F64,3),ROUNDDOWN(F64,4)))))</f>
        <v>#REF!</v>
      </c>
      <c r="G65" s="71"/>
      <c r="H65" s="47"/>
      <c r="I65" s="47"/>
      <c r="J65" s="79"/>
    </row>
    <row r="66" spans="2:10" x14ac:dyDescent="0.2">
      <c r="B66" s="81" t="s">
        <v>151</v>
      </c>
      <c r="C66" s="47"/>
      <c r="D66" s="47"/>
      <c r="E66" s="47"/>
      <c r="F66" s="47"/>
      <c r="G66" s="47"/>
      <c r="H66" s="47"/>
      <c r="I66" s="47"/>
      <c r="J66" s="79"/>
    </row>
    <row r="67" spans="2:10" x14ac:dyDescent="0.2">
      <c r="B67" s="81"/>
      <c r="C67" s="90"/>
      <c r="D67" s="91"/>
      <c r="E67" s="92" t="s">
        <v>152</v>
      </c>
      <c r="F67" s="82" t="s">
        <v>147</v>
      </c>
      <c r="G67" s="83" t="s">
        <v>148</v>
      </c>
      <c r="H67" s="47"/>
      <c r="I67" s="47"/>
      <c r="J67" s="79"/>
    </row>
    <row r="68" spans="2:10" x14ac:dyDescent="0.2">
      <c r="B68" s="81"/>
      <c r="C68" s="686" t="s">
        <v>149</v>
      </c>
      <c r="D68" s="687"/>
      <c r="E68" s="50">
        <v>1</v>
      </c>
      <c r="F68" s="86" t="e">
        <f>+G57</f>
        <v>#VALUE!</v>
      </c>
      <c r="G68" s="86" t="e">
        <f>+F68*G63</f>
        <v>#VALUE!</v>
      </c>
      <c r="H68" s="139"/>
      <c r="I68" s="139"/>
      <c r="J68" s="79"/>
    </row>
    <row r="69" spans="2:10" x14ac:dyDescent="0.2">
      <c r="B69" s="81"/>
      <c r="C69" s="686" t="s">
        <v>150</v>
      </c>
      <c r="D69" s="687"/>
      <c r="E69" s="50" t="s">
        <v>153</v>
      </c>
      <c r="F69" s="86" t="e">
        <f>+G69/G68*F68</f>
        <v>#REF!</v>
      </c>
      <c r="G69" s="83" t="e">
        <f>+G64</f>
        <v>#REF!</v>
      </c>
      <c r="H69" s="139"/>
      <c r="I69" s="139"/>
      <c r="J69" s="79"/>
    </row>
    <row r="70" spans="2:10" x14ac:dyDescent="0.2">
      <c r="B70" s="81"/>
      <c r="C70" s="683" t="s">
        <v>154</v>
      </c>
      <c r="D70" s="683"/>
      <c r="E70" s="93" t="e">
        <f>+F69/F68*E68</f>
        <v>#REF!</v>
      </c>
      <c r="F70" s="47"/>
      <c r="G70" s="47"/>
      <c r="H70" s="47"/>
      <c r="I70" s="47"/>
      <c r="J70" s="79"/>
    </row>
    <row r="71" spans="2:10" x14ac:dyDescent="0.2">
      <c r="B71" s="81"/>
      <c r="C71" s="683" t="s">
        <v>155</v>
      </c>
      <c r="D71" s="683"/>
      <c r="E71" s="83" t="e">
        <f>'入力シート (複数物質)'!#REF!</f>
        <v>#REF!</v>
      </c>
      <c r="F71" s="47"/>
      <c r="G71" s="47"/>
      <c r="H71" s="47"/>
      <c r="I71" s="47"/>
      <c r="J71" s="79"/>
    </row>
    <row r="72" spans="2:10" ht="13.5" thickBot="1" x14ac:dyDescent="0.25">
      <c r="B72" s="81"/>
      <c r="C72" s="47"/>
      <c r="D72" s="47"/>
      <c r="E72" s="74" t="e">
        <f>IF(E70&gt;10,ROUNDDOWN(E70,0),IF(E70&gt;1,ROUNDDOWN(E70,1),IF(E70&gt;0.1,ROUNDDOWN(E70,2),IF(E70&gt;0.01,ROUNDDOWN(E70,3),ROUNDDOWN(E70,4)))))</f>
        <v>#REF!</v>
      </c>
      <c r="F72" s="47"/>
      <c r="G72" s="47"/>
      <c r="H72" s="47"/>
      <c r="I72" s="47"/>
      <c r="J72" s="79"/>
    </row>
    <row r="73" spans="2:10" ht="13.5" thickBot="1" x14ac:dyDescent="0.25">
      <c r="B73" s="81"/>
      <c r="C73" s="684" t="s">
        <v>156</v>
      </c>
      <c r="D73" s="685"/>
      <c r="E73" s="94" t="e">
        <f>IF(E70&gt;E71,E71,E70)</f>
        <v>#REF!</v>
      </c>
      <c r="F73" s="95" t="s">
        <v>157</v>
      </c>
      <c r="G73" s="47"/>
      <c r="H73" s="47"/>
      <c r="I73" s="47"/>
      <c r="J73" s="79"/>
    </row>
    <row r="74" spans="2:10" x14ac:dyDescent="0.2">
      <c r="B74" s="81"/>
      <c r="C74" s="47"/>
      <c r="D74" s="47"/>
      <c r="E74" s="74" t="e">
        <f>IF(E73&gt;10,ROUNDDOWN(E73,0),IF(E73&gt;1,ROUNDDOWN(E73,1),IF(E73&gt;0.1,ROUNDDOWN(E73,2),IF(E73&gt;0.01,ROUNDDOWN(E73,3),ROUNDDOWN(E73,4)))))</f>
        <v>#REF!</v>
      </c>
      <c r="F74" s="47"/>
      <c r="G74" s="47"/>
      <c r="H74" s="47"/>
      <c r="I74" s="47"/>
      <c r="J74" s="79"/>
    </row>
    <row r="75" spans="2:10" x14ac:dyDescent="0.2">
      <c r="B75" s="81" t="s">
        <v>158</v>
      </c>
      <c r="C75" s="47"/>
      <c r="D75" s="47"/>
      <c r="E75" s="47"/>
      <c r="F75" s="47"/>
      <c r="G75" s="47"/>
      <c r="H75" s="47"/>
      <c r="I75" s="47"/>
      <c r="J75" s="79"/>
    </row>
    <row r="76" spans="2:10" x14ac:dyDescent="0.2">
      <c r="B76" s="81"/>
      <c r="C76" s="90"/>
      <c r="D76" s="91"/>
      <c r="E76" s="92" t="s">
        <v>152</v>
      </c>
      <c r="F76" s="82" t="s">
        <v>147</v>
      </c>
      <c r="G76" s="83" t="s">
        <v>148</v>
      </c>
      <c r="H76" s="47"/>
      <c r="I76" s="47"/>
      <c r="J76" s="79"/>
    </row>
    <row r="77" spans="2:10" x14ac:dyDescent="0.2">
      <c r="B77" s="81"/>
      <c r="C77" s="686" t="s">
        <v>149</v>
      </c>
      <c r="D77" s="687"/>
      <c r="E77" s="50">
        <v>1</v>
      </c>
      <c r="F77" s="86">
        <f>G58</f>
        <v>1</v>
      </c>
      <c r="G77" s="86" t="e">
        <f>+F77*G63</f>
        <v>#REF!</v>
      </c>
      <c r="H77" s="139"/>
      <c r="I77" s="139"/>
      <c r="J77" s="79"/>
    </row>
    <row r="78" spans="2:10" x14ac:dyDescent="0.2">
      <c r="B78" s="81"/>
      <c r="C78" s="686" t="s">
        <v>150</v>
      </c>
      <c r="D78" s="687"/>
      <c r="E78" s="50" t="s">
        <v>153</v>
      </c>
      <c r="F78" s="86" t="e">
        <f>+F64</f>
        <v>#REF!</v>
      </c>
      <c r="G78" s="83" t="e">
        <f>+G69</f>
        <v>#REF!</v>
      </c>
      <c r="H78" s="139"/>
      <c r="I78" s="139"/>
      <c r="J78" s="79"/>
    </row>
    <row r="79" spans="2:10" x14ac:dyDescent="0.2">
      <c r="B79" s="81"/>
      <c r="C79" s="683" t="s">
        <v>154</v>
      </c>
      <c r="D79" s="683"/>
      <c r="E79" s="93" t="e">
        <f>+F78/F77*E77</f>
        <v>#REF!</v>
      </c>
      <c r="F79" s="47"/>
      <c r="G79" s="47"/>
      <c r="H79" s="47"/>
      <c r="I79" s="47"/>
      <c r="J79" s="79"/>
    </row>
    <row r="80" spans="2:10" x14ac:dyDescent="0.2">
      <c r="B80" s="81"/>
      <c r="C80" s="683" t="s">
        <v>155</v>
      </c>
      <c r="D80" s="683"/>
      <c r="E80" s="83" t="e">
        <f>+E71</f>
        <v>#REF!</v>
      </c>
      <c r="F80" s="47"/>
      <c r="G80" s="47"/>
      <c r="H80" s="47"/>
      <c r="I80" s="47"/>
      <c r="J80" s="79"/>
    </row>
    <row r="81" spans="2:10" ht="13.5" thickBot="1" x14ac:dyDescent="0.25">
      <c r="B81" s="81"/>
      <c r="C81" s="47"/>
      <c r="D81" s="47"/>
      <c r="E81" s="74" t="e">
        <f>IF(E79&gt;10,ROUNDDOWN(E79,0),IF(E79&gt;1,ROUNDDOWN(E79,1),IF(E79&gt;0.1,ROUNDDOWN(E79,2),IF(E79&gt;0.01,ROUNDDOWN(E79,3),ROUNDDOWN(E79,4)))))</f>
        <v>#REF!</v>
      </c>
      <c r="F81" s="47"/>
      <c r="G81" s="47"/>
      <c r="H81" s="47"/>
      <c r="I81" s="47"/>
      <c r="J81" s="79"/>
    </row>
    <row r="82" spans="2:10" ht="13.5" thickBot="1" x14ac:dyDescent="0.25">
      <c r="B82" s="81"/>
      <c r="C82" s="684" t="s">
        <v>156</v>
      </c>
      <c r="D82" s="685"/>
      <c r="E82" s="94" t="e">
        <f>IF(E79&gt;E80,E80,E79)</f>
        <v>#REF!</v>
      </c>
      <c r="F82" s="95" t="s">
        <v>157</v>
      </c>
      <c r="G82" s="47"/>
      <c r="H82" s="47"/>
      <c r="I82" s="47"/>
      <c r="J82" s="79"/>
    </row>
    <row r="83" spans="2:10" x14ac:dyDescent="0.2">
      <c r="B83" s="81"/>
      <c r="C83" s="47"/>
      <c r="D83" s="47"/>
      <c r="E83" s="74" t="e">
        <f>IF(E82&gt;10,ROUNDDOWN(E82,0),IF(E82&gt;1,ROUNDDOWN(E82,1),IF(E82&gt;0.1,ROUNDDOWN(E82,2),IF(E82&gt;0.01,ROUNDDOWN(E82,3),ROUNDDOWN(E82,4)))))</f>
        <v>#REF!</v>
      </c>
      <c r="F83" s="47"/>
      <c r="G83" s="47"/>
      <c r="H83" s="47"/>
      <c r="I83" s="47"/>
      <c r="J83" s="79"/>
    </row>
    <row r="84" spans="2:10" ht="13.5" thickBot="1" x14ac:dyDescent="0.25">
      <c r="B84" s="96"/>
      <c r="C84" s="97"/>
      <c r="D84" s="97"/>
      <c r="E84" s="97"/>
      <c r="F84" s="97"/>
      <c r="G84" s="97"/>
      <c r="H84" s="97"/>
      <c r="I84" s="97"/>
      <c r="J84" s="98"/>
    </row>
  </sheetData>
  <mergeCells count="63">
    <mergeCell ref="C11:E11"/>
    <mergeCell ref="C5:E5"/>
    <mergeCell ref="C6:E6"/>
    <mergeCell ref="C7:E7"/>
    <mergeCell ref="C9:E9"/>
    <mergeCell ref="C10:E10"/>
    <mergeCell ref="C29:E29"/>
    <mergeCell ref="C12:E12"/>
    <mergeCell ref="C14:E14"/>
    <mergeCell ref="C15:E15"/>
    <mergeCell ref="C16:E16"/>
    <mergeCell ref="C18:E18"/>
    <mergeCell ref="C21:E21"/>
    <mergeCell ref="C22:E22"/>
    <mergeCell ref="C23:E23"/>
    <mergeCell ref="C25:E25"/>
    <mergeCell ref="C26:E26"/>
    <mergeCell ref="C27:E27"/>
    <mergeCell ref="C24:E24"/>
    <mergeCell ref="C44:E44"/>
    <mergeCell ref="C30:E30"/>
    <mergeCell ref="C31:E31"/>
    <mergeCell ref="C32:E32"/>
    <mergeCell ref="C34:E34"/>
    <mergeCell ref="C35:E35"/>
    <mergeCell ref="C36:E36"/>
    <mergeCell ref="C38:E38"/>
    <mergeCell ref="C39:E39"/>
    <mergeCell ref="C40:E40"/>
    <mergeCell ref="C41:E41"/>
    <mergeCell ref="C43:E43"/>
    <mergeCell ref="C57:E57"/>
    <mergeCell ref="C45:E45"/>
    <mergeCell ref="C46:E46"/>
    <mergeCell ref="C47:E47"/>
    <mergeCell ref="L49:N49"/>
    <mergeCell ref="C50:E50"/>
    <mergeCell ref="C51:E51"/>
    <mergeCell ref="L52:N52"/>
    <mergeCell ref="C53:E53"/>
    <mergeCell ref="C54:E54"/>
    <mergeCell ref="C55:E55"/>
    <mergeCell ref="C56:E56"/>
    <mergeCell ref="C69:D69"/>
    <mergeCell ref="C58:E58"/>
    <mergeCell ref="L58:N58"/>
    <mergeCell ref="L59:N59"/>
    <mergeCell ref="L60:N60"/>
    <mergeCell ref="C62:E62"/>
    <mergeCell ref="L62:N62"/>
    <mergeCell ref="C63:E63"/>
    <mergeCell ref="L63:N63"/>
    <mergeCell ref="C64:E64"/>
    <mergeCell ref="C65:E65"/>
    <mergeCell ref="C68:D68"/>
    <mergeCell ref="C80:D80"/>
    <mergeCell ref="C82:D82"/>
    <mergeCell ref="C70:D70"/>
    <mergeCell ref="C71:D71"/>
    <mergeCell ref="C73:D73"/>
    <mergeCell ref="C77:D77"/>
    <mergeCell ref="C78:D78"/>
    <mergeCell ref="C79:D79"/>
  </mergeCells>
  <phoneticPr fontId="4"/>
  <conditionalFormatting sqref="G29">
    <cfRule type="expression" dxfId="402" priority="7">
      <formula>$A41&gt;0</formula>
    </cfRule>
  </conditionalFormatting>
  <conditionalFormatting sqref="G30">
    <cfRule type="expression" dxfId="401" priority="6">
      <formula>$A$29&gt;0</formula>
    </cfRule>
  </conditionalFormatting>
  <conditionalFormatting sqref="G31">
    <cfRule type="expression" dxfId="400" priority="5">
      <formula>$A$30&gt;0</formula>
    </cfRule>
  </conditionalFormatting>
  <conditionalFormatting sqref="G32">
    <cfRule type="expression" dxfId="399" priority="4">
      <formula>$A$31&gt;0</formula>
    </cfRule>
  </conditionalFormatting>
  <conditionalFormatting sqref="G9">
    <cfRule type="expression" dxfId="398" priority="8">
      <formula>#REF!&gt;0</formula>
    </cfRule>
  </conditionalFormatting>
  <conditionalFormatting sqref="G11 G25:I27">
    <cfRule type="expression" dxfId="397" priority="9">
      <formula>#REF!&gt;0</formula>
    </cfRule>
  </conditionalFormatting>
  <conditionalFormatting sqref="G18">
    <cfRule type="expression" dxfId="396" priority="10">
      <formula>#REF!&gt;0</formula>
    </cfRule>
  </conditionalFormatting>
  <conditionalFormatting sqref="G22">
    <cfRule type="expression" dxfId="395" priority="11">
      <formula>$A$25&gt;0</formula>
    </cfRule>
  </conditionalFormatting>
  <conditionalFormatting sqref="G21">
    <cfRule type="expression" dxfId="394" priority="13">
      <formula>$A$23&gt;0</formula>
    </cfRule>
  </conditionalFormatting>
  <conditionalFormatting sqref="G12">
    <cfRule type="expression" dxfId="393" priority="3">
      <formula>#REF!&gt;0</formula>
    </cfRule>
  </conditionalFormatting>
  <conditionalFormatting sqref="G34">
    <cfRule type="expression" dxfId="392" priority="14">
      <formula>#REF!&gt;0</formula>
    </cfRule>
  </conditionalFormatting>
  <conditionalFormatting sqref="G23:G24">
    <cfRule type="expression" dxfId="391" priority="1">
      <formula>$A$25&gt;0</formula>
    </cfRule>
  </conditionalFormatting>
  <conditionalFormatting sqref="G23:G24">
    <cfRule type="expression" dxfId="390" priority="2">
      <formula>#REF!&gt;0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88"/>
  <sheetViews>
    <sheetView showGridLines="0" zoomScale="85" zoomScaleNormal="85" zoomScaleSheetLayoutView="90" workbookViewId="0">
      <selection activeCell="O72" sqref="O72"/>
    </sheetView>
  </sheetViews>
  <sheetFormatPr defaultColWidth="9" defaultRowHeight="16.5" x14ac:dyDescent="0.2"/>
  <cols>
    <col min="1" max="2" width="1.6328125" customWidth="1"/>
    <col min="4" max="4" width="14.6328125" customWidth="1"/>
    <col min="5" max="5" width="12.6328125" customWidth="1"/>
    <col min="6" max="6" width="4.6328125" customWidth="1"/>
    <col min="7" max="8" width="10.6328125" customWidth="1"/>
    <col min="9" max="9" width="11" customWidth="1"/>
    <col min="10" max="10" width="9.6328125" customWidth="1"/>
    <col min="11" max="11" width="5.26953125" customWidth="1"/>
    <col min="12" max="12" width="11.26953125" customWidth="1"/>
    <col min="13" max="14" width="2.6328125" customWidth="1"/>
    <col min="15" max="15" width="4.26953125" customWidth="1"/>
    <col min="16" max="16" width="16.6328125" customWidth="1"/>
    <col min="17" max="17" width="6.6328125" customWidth="1"/>
    <col min="18" max="18" width="8" customWidth="1"/>
    <col min="19" max="19" width="8.26953125" customWidth="1"/>
    <col min="20" max="20" width="2.6328125" customWidth="1"/>
    <col min="21" max="21" width="1.6328125" customWidth="1"/>
    <col min="22" max="22" width="6.26953125" hidden="1" customWidth="1"/>
    <col min="23" max="23" width="9" hidden="1" customWidth="1"/>
    <col min="24" max="24" width="6.6328125" style="149" hidden="1" customWidth="1"/>
    <col min="25" max="25" width="23.453125" style="149" hidden="1" customWidth="1"/>
    <col min="26" max="30" width="9" style="149" hidden="1" customWidth="1"/>
    <col min="31" max="16384" width="9" style="149"/>
  </cols>
  <sheetData>
    <row r="1" spans="1:46" ht="1.5" customHeight="1" x14ac:dyDescent="0.2">
      <c r="A1" s="155"/>
      <c r="B1" s="155"/>
      <c r="C1" s="483"/>
      <c r="D1" s="484"/>
      <c r="E1" s="155"/>
      <c r="F1" s="155"/>
      <c r="G1" s="155"/>
      <c r="H1" s="155"/>
      <c r="I1" s="155"/>
      <c r="J1" s="155"/>
      <c r="K1" s="155"/>
      <c r="L1" s="155"/>
      <c r="M1" s="155"/>
      <c r="N1" s="155"/>
      <c r="O1" s="155"/>
      <c r="P1" s="155"/>
      <c r="Q1" s="155"/>
      <c r="R1" s="155"/>
      <c r="S1" s="155"/>
      <c r="T1" s="155"/>
      <c r="U1" s="173"/>
      <c r="AA1"/>
      <c r="AB1"/>
      <c r="AC1"/>
      <c r="AD1"/>
      <c r="AE1"/>
      <c r="AF1"/>
      <c r="AG1"/>
      <c r="AH1"/>
      <c r="AI1"/>
      <c r="AJ1"/>
      <c r="AK1"/>
      <c r="AL1"/>
      <c r="AM1"/>
      <c r="AN1"/>
      <c r="AO1"/>
      <c r="AP1"/>
      <c r="AQ1"/>
      <c r="AR1"/>
      <c r="AS1"/>
    </row>
    <row r="2" spans="1:46" ht="1.5" customHeight="1" x14ac:dyDescent="0.2">
      <c r="A2" s="155"/>
      <c r="B2" s="155"/>
      <c r="C2" s="484"/>
      <c r="D2" s="484"/>
      <c r="E2" s="155"/>
      <c r="F2" s="155"/>
      <c r="G2" s="155"/>
      <c r="H2" s="155"/>
      <c r="I2" s="155"/>
      <c r="J2" s="155"/>
      <c r="K2" s="155"/>
      <c r="L2" s="155"/>
      <c r="M2" s="155"/>
      <c r="N2" s="155"/>
      <c r="O2" s="155"/>
      <c r="P2" s="155"/>
      <c r="Q2" s="155"/>
      <c r="R2" s="155"/>
      <c r="S2" s="155"/>
      <c r="T2" s="155"/>
      <c r="U2" s="173"/>
      <c r="AA2"/>
      <c r="AB2"/>
      <c r="AC2"/>
      <c r="AD2"/>
      <c r="AE2"/>
      <c r="AF2"/>
      <c r="AG2"/>
      <c r="AH2"/>
      <c r="AI2"/>
      <c r="AJ2"/>
      <c r="AK2"/>
      <c r="AL2"/>
      <c r="AM2"/>
      <c r="AN2"/>
      <c r="AO2"/>
      <c r="AP2"/>
      <c r="AQ2"/>
      <c r="AR2"/>
      <c r="AS2"/>
    </row>
    <row r="3" spans="1:46" ht="3" customHeight="1" thickBot="1" x14ac:dyDescent="0.25">
      <c r="B3" s="155"/>
      <c r="C3" s="484"/>
      <c r="D3" s="484"/>
      <c r="E3" s="155"/>
      <c r="F3" s="155"/>
      <c r="G3" s="155"/>
      <c r="H3" s="155"/>
      <c r="I3" s="155"/>
      <c r="J3" s="155"/>
      <c r="K3" s="155"/>
      <c r="L3" s="155"/>
      <c r="M3" s="155"/>
      <c r="N3" s="155"/>
      <c r="O3" s="155"/>
      <c r="P3" s="155"/>
      <c r="Q3" s="155"/>
      <c r="R3" s="155"/>
      <c r="S3" s="155"/>
      <c r="T3" s="155"/>
      <c r="U3" s="155"/>
      <c r="AA3"/>
      <c r="AB3"/>
      <c r="AC3"/>
      <c r="AD3"/>
      <c r="AE3"/>
      <c r="AF3"/>
      <c r="AG3"/>
      <c r="AH3"/>
      <c r="AI3"/>
      <c r="AJ3"/>
      <c r="AK3"/>
      <c r="AL3"/>
      <c r="AM3"/>
      <c r="AN3"/>
      <c r="AO3"/>
      <c r="AP3"/>
      <c r="AQ3"/>
      <c r="AR3"/>
      <c r="AS3"/>
    </row>
    <row r="4" spans="1:46" ht="21" x14ac:dyDescent="0.2">
      <c r="A4" s="178"/>
      <c r="B4" s="186"/>
      <c r="C4" s="187" t="s">
        <v>314</v>
      </c>
      <c r="D4" s="186"/>
      <c r="E4" s="186"/>
      <c r="F4" s="186"/>
      <c r="G4" s="186"/>
      <c r="H4" s="186"/>
      <c r="I4" s="186"/>
      <c r="J4" s="186"/>
      <c r="K4" s="186"/>
      <c r="L4" s="186"/>
      <c r="M4" s="186"/>
      <c r="N4" s="186"/>
      <c r="O4" s="157"/>
      <c r="P4" s="186"/>
      <c r="Q4" s="186"/>
      <c r="R4" s="186"/>
      <c r="S4" s="186"/>
      <c r="T4" s="186"/>
      <c r="U4" s="188" t="s">
        <v>321</v>
      </c>
      <c r="AA4"/>
      <c r="AB4"/>
      <c r="AC4"/>
      <c r="AD4"/>
      <c r="AE4"/>
      <c r="AF4"/>
      <c r="AG4"/>
      <c r="AH4"/>
      <c r="AI4"/>
      <c r="AJ4"/>
      <c r="AK4"/>
      <c r="AL4"/>
      <c r="AM4"/>
      <c r="AN4"/>
      <c r="AO4"/>
      <c r="AP4"/>
      <c r="AQ4"/>
      <c r="AR4"/>
      <c r="AS4"/>
    </row>
    <row r="5" spans="1:46" ht="18" customHeight="1" x14ac:dyDescent="0.2">
      <c r="A5" s="179"/>
      <c r="B5" s="189"/>
      <c r="C5" s="189"/>
      <c r="D5" s="189"/>
      <c r="E5" s="189"/>
      <c r="F5" s="189"/>
      <c r="G5" s="189"/>
      <c r="H5" s="189"/>
      <c r="I5" s="189"/>
      <c r="J5" s="189"/>
      <c r="K5" s="189"/>
      <c r="L5" s="189"/>
      <c r="M5" s="189"/>
      <c r="N5" s="189"/>
      <c r="O5" s="302" t="s">
        <v>287</v>
      </c>
      <c r="P5" s="189"/>
      <c r="Q5" s="189"/>
      <c r="R5" s="189"/>
      <c r="S5" s="189"/>
      <c r="T5" s="189"/>
      <c r="U5" s="190"/>
      <c r="AA5"/>
      <c r="AB5"/>
      <c r="AC5"/>
      <c r="AD5"/>
      <c r="AE5"/>
      <c r="AF5"/>
      <c r="AG5"/>
      <c r="AH5"/>
      <c r="AI5"/>
      <c r="AJ5"/>
      <c r="AK5"/>
      <c r="AL5"/>
      <c r="AM5"/>
      <c r="AN5"/>
      <c r="AO5"/>
      <c r="AP5"/>
      <c r="AQ5"/>
      <c r="AR5"/>
      <c r="AS5"/>
    </row>
    <row r="6" spans="1:46" ht="6" customHeight="1" x14ac:dyDescent="0.2">
      <c r="A6" s="179"/>
      <c r="B6" s="189"/>
      <c r="C6" s="191"/>
      <c r="D6" s="192"/>
      <c r="E6" s="192"/>
      <c r="F6" s="192"/>
      <c r="G6" s="192"/>
      <c r="H6" s="192"/>
      <c r="I6" s="192"/>
      <c r="J6" s="192"/>
      <c r="K6" s="192"/>
      <c r="L6" s="192"/>
      <c r="M6" s="193"/>
      <c r="N6" s="189"/>
      <c r="O6" s="194"/>
      <c r="P6" s="192"/>
      <c r="Q6" s="192"/>
      <c r="R6" s="192"/>
      <c r="S6" s="192"/>
      <c r="T6" s="195"/>
      <c r="U6" s="190"/>
      <c r="AA6"/>
      <c r="AB6"/>
      <c r="AC6"/>
      <c r="AD6"/>
      <c r="AE6"/>
      <c r="AF6"/>
      <c r="AG6"/>
      <c r="AH6"/>
      <c r="AI6"/>
      <c r="AJ6"/>
      <c r="AK6"/>
      <c r="AL6"/>
      <c r="AM6"/>
      <c r="AN6"/>
      <c r="AO6"/>
      <c r="AP6"/>
      <c r="AQ6"/>
      <c r="AR6"/>
      <c r="AS6"/>
      <c r="AT6" s="152"/>
    </row>
    <row r="7" spans="1:46" ht="18" customHeight="1" thickBot="1" x14ac:dyDescent="0.25">
      <c r="A7" s="179"/>
      <c r="B7" s="189"/>
      <c r="C7" s="196" t="s">
        <v>200</v>
      </c>
      <c r="D7" s="189"/>
      <c r="E7" s="189"/>
      <c r="F7" s="189"/>
      <c r="G7" s="189"/>
      <c r="H7" s="189"/>
      <c r="I7" s="189"/>
      <c r="J7" s="189"/>
      <c r="K7" s="189"/>
      <c r="L7" s="197"/>
      <c r="M7" s="198"/>
      <c r="N7" s="189"/>
      <c r="O7" s="199" t="s">
        <v>188</v>
      </c>
      <c r="P7" s="200" t="s">
        <v>19</v>
      </c>
      <c r="Q7" s="201"/>
      <c r="R7" s="202"/>
      <c r="S7" s="202"/>
      <c r="T7" s="203"/>
      <c r="U7" s="190"/>
      <c r="AA7"/>
      <c r="AB7"/>
      <c r="AC7"/>
      <c r="AD7"/>
      <c r="AE7"/>
      <c r="AF7"/>
      <c r="AG7"/>
      <c r="AH7"/>
      <c r="AI7"/>
      <c r="AJ7"/>
      <c r="AK7"/>
      <c r="AL7"/>
      <c r="AM7"/>
      <c r="AN7"/>
      <c r="AO7"/>
      <c r="AP7"/>
      <c r="AQ7"/>
      <c r="AR7"/>
      <c r="AS7"/>
      <c r="AT7" s="152"/>
    </row>
    <row r="8" spans="1:46" ht="18" customHeight="1" thickBot="1" x14ac:dyDescent="0.25">
      <c r="A8" s="179"/>
      <c r="B8" s="189"/>
      <c r="C8" s="204" t="s">
        <v>185</v>
      </c>
      <c r="D8" s="205"/>
      <c r="E8" s="286"/>
      <c r="F8" s="197"/>
      <c r="G8" s="197"/>
      <c r="H8" s="197"/>
      <c r="I8" s="197"/>
      <c r="J8" s="197"/>
      <c r="K8" s="197"/>
      <c r="L8" s="197"/>
      <c r="M8" s="198"/>
      <c r="N8" s="189"/>
      <c r="O8" s="199"/>
      <c r="P8" s="206" t="s">
        <v>14</v>
      </c>
      <c r="Q8" s="206" t="s">
        <v>7</v>
      </c>
      <c r="R8" s="206" t="s">
        <v>15</v>
      </c>
      <c r="S8" s="206" t="s">
        <v>5</v>
      </c>
      <c r="T8" s="203"/>
      <c r="U8" s="190"/>
      <c r="AA8"/>
      <c r="AB8"/>
      <c r="AC8"/>
      <c r="AD8"/>
      <c r="AE8"/>
      <c r="AF8"/>
      <c r="AG8"/>
      <c r="AH8"/>
      <c r="AI8"/>
      <c r="AJ8"/>
      <c r="AK8"/>
      <c r="AL8"/>
      <c r="AM8"/>
      <c r="AN8"/>
      <c r="AO8"/>
      <c r="AP8"/>
      <c r="AQ8"/>
      <c r="AR8"/>
      <c r="AS8"/>
    </row>
    <row r="9" spans="1:46" ht="18" customHeight="1" thickBot="1" x14ac:dyDescent="0.25">
      <c r="A9" s="179"/>
      <c r="B9" s="189"/>
      <c r="C9" s="204" t="s">
        <v>186</v>
      </c>
      <c r="D9" s="205"/>
      <c r="E9" s="151"/>
      <c r="F9" s="197"/>
      <c r="G9" s="197"/>
      <c r="H9" s="197"/>
      <c r="I9" s="197"/>
      <c r="J9" s="197"/>
      <c r="K9" s="197"/>
      <c r="L9" s="197"/>
      <c r="M9" s="198"/>
      <c r="N9" s="189"/>
      <c r="O9" s="199"/>
      <c r="P9" s="207" t="s">
        <v>23</v>
      </c>
      <c r="Q9" s="208" t="s">
        <v>26</v>
      </c>
      <c r="R9" s="206">
        <f>IF(VLOOKUP($X$23,'パラメーター 一覧表'!$A$20:$F$49,5)=0,VLOOKUP($X$23,'パラメーター 一覧表'!$A$20:$H$49,7)*R25,VLOOKUP($X$23,'パラメーター 一覧表'!$A$20:$F$49,5))</f>
        <v>1.9E-2</v>
      </c>
      <c r="S9" s="208" t="s">
        <v>27</v>
      </c>
      <c r="T9" s="203"/>
      <c r="U9" s="190"/>
      <c r="AA9"/>
      <c r="AB9"/>
      <c r="AC9"/>
      <c r="AD9"/>
      <c r="AE9"/>
      <c r="AF9"/>
      <c r="AG9"/>
      <c r="AH9"/>
      <c r="AI9"/>
      <c r="AJ9"/>
      <c r="AK9"/>
      <c r="AL9"/>
      <c r="AM9"/>
      <c r="AN9"/>
      <c r="AO9"/>
      <c r="AP9"/>
      <c r="AQ9"/>
      <c r="AR9"/>
      <c r="AS9"/>
    </row>
    <row r="10" spans="1:46" ht="18" customHeight="1" thickBot="1" x14ac:dyDescent="0.25">
      <c r="A10" s="179"/>
      <c r="B10" s="189"/>
      <c r="C10" s="204" t="s">
        <v>187</v>
      </c>
      <c r="D10" s="205"/>
      <c r="E10" s="287"/>
      <c r="F10" s="197"/>
      <c r="G10" s="197"/>
      <c r="H10" s="197"/>
      <c r="I10" s="197"/>
      <c r="J10" s="197"/>
      <c r="K10" s="197"/>
      <c r="L10" s="197"/>
      <c r="M10" s="198"/>
      <c r="N10" s="189"/>
      <c r="O10" s="199"/>
      <c r="P10" s="207" t="s">
        <v>172</v>
      </c>
      <c r="Q10" s="208" t="s">
        <v>34</v>
      </c>
      <c r="R10" s="206">
        <f>VLOOKUP($X$23,'パラメーター 一覧表'!$A$20:$G$49,7)</f>
        <v>19</v>
      </c>
      <c r="S10" s="208" t="s">
        <v>27</v>
      </c>
      <c r="T10" s="203"/>
      <c r="U10" s="190"/>
      <c r="W10" s="182" t="s">
        <v>90</v>
      </c>
      <c r="X10" s="154">
        <f>VLOOKUP($X$23,'パラメーター 一覧表'!$A$20:$F$49,3)</f>
        <v>10</v>
      </c>
      <c r="Y10" s="154" t="s">
        <v>17</v>
      </c>
      <c r="AA10"/>
      <c r="AB10"/>
      <c r="AC10"/>
      <c r="AD10"/>
      <c r="AE10"/>
      <c r="AF10"/>
      <c r="AG10"/>
      <c r="AH10"/>
      <c r="AI10"/>
      <c r="AJ10"/>
      <c r="AK10"/>
      <c r="AL10"/>
      <c r="AM10"/>
      <c r="AN10"/>
      <c r="AO10"/>
      <c r="AP10"/>
      <c r="AQ10"/>
      <c r="AR10"/>
      <c r="AS10"/>
    </row>
    <row r="11" spans="1:46" ht="18" customHeight="1" thickBot="1" x14ac:dyDescent="0.25">
      <c r="A11" s="179"/>
      <c r="B11" s="189"/>
      <c r="C11" s="204" t="s">
        <v>276</v>
      </c>
      <c r="D11" s="205"/>
      <c r="E11" s="485"/>
      <c r="F11" s="486"/>
      <c r="G11" s="486"/>
      <c r="H11" s="486"/>
      <c r="I11" s="486"/>
      <c r="J11" s="486"/>
      <c r="K11" s="487"/>
      <c r="L11" s="209"/>
      <c r="M11" s="198"/>
      <c r="N11" s="189"/>
      <c r="O11" s="199"/>
      <c r="P11" s="207" t="s">
        <v>24</v>
      </c>
      <c r="Q11" s="208" t="s">
        <v>198</v>
      </c>
      <c r="R11" s="206">
        <f>VLOOKUP($X$23,'パラメーター 一覧表'!$A$20:$F$49,6)</f>
        <v>7.9</v>
      </c>
      <c r="S11" s="208" t="s">
        <v>25</v>
      </c>
      <c r="T11" s="203"/>
      <c r="U11" s="190"/>
      <c r="W11" s="182" t="s">
        <v>271</v>
      </c>
      <c r="X11" s="154">
        <f>+X10</f>
        <v>10</v>
      </c>
      <c r="Y11" s="154" t="s">
        <v>17</v>
      </c>
      <c r="AA11"/>
      <c r="AB11"/>
      <c r="AC11"/>
      <c r="AD11"/>
      <c r="AE11"/>
      <c r="AF11"/>
      <c r="AG11"/>
      <c r="AH11"/>
      <c r="AI11"/>
      <c r="AJ11"/>
      <c r="AK11"/>
      <c r="AL11"/>
      <c r="AM11"/>
      <c r="AN11"/>
      <c r="AO11"/>
      <c r="AP11"/>
      <c r="AQ11"/>
      <c r="AR11"/>
      <c r="AS11"/>
    </row>
    <row r="12" spans="1:46" ht="18" customHeight="1" thickBot="1" x14ac:dyDescent="0.25">
      <c r="A12" s="179"/>
      <c r="B12" s="189"/>
      <c r="C12" s="204" t="s">
        <v>275</v>
      </c>
      <c r="D12" s="205"/>
      <c r="E12" s="277"/>
      <c r="F12" s="285" t="s">
        <v>277</v>
      </c>
      <c r="G12" s="209"/>
      <c r="H12" s="209"/>
      <c r="I12" s="209"/>
      <c r="J12" s="209"/>
      <c r="K12" s="209"/>
      <c r="L12" s="205"/>
      <c r="M12" s="198"/>
      <c r="N12" s="189"/>
      <c r="O12" s="199"/>
      <c r="P12" s="207" t="s">
        <v>60</v>
      </c>
      <c r="Q12" s="208" t="s">
        <v>62</v>
      </c>
      <c r="R12" s="206">
        <f>IF(J30="",VLOOKUP($X$23,'パラメーター 一覧表'!$A$20:$I$49,8),0.1*J30)</f>
        <v>5</v>
      </c>
      <c r="S12" s="208" t="s">
        <v>64</v>
      </c>
      <c r="T12" s="203"/>
      <c r="U12" s="190"/>
      <c r="W12" s="182" t="s">
        <v>75</v>
      </c>
      <c r="X12" s="154">
        <v>10</v>
      </c>
      <c r="Y12" s="154" t="s">
        <v>64</v>
      </c>
      <c r="AA12"/>
      <c r="AB12"/>
      <c r="AC12"/>
      <c r="AD12"/>
      <c r="AE12"/>
      <c r="AF12"/>
      <c r="AG12"/>
      <c r="AH12"/>
      <c r="AI12"/>
      <c r="AJ12"/>
      <c r="AK12"/>
      <c r="AL12"/>
      <c r="AM12"/>
      <c r="AN12"/>
      <c r="AO12"/>
      <c r="AP12"/>
      <c r="AQ12"/>
      <c r="AR12"/>
      <c r="AS12"/>
    </row>
    <row r="13" spans="1:46" ht="18" customHeight="1" x14ac:dyDescent="0.2">
      <c r="A13" s="179"/>
      <c r="B13" s="189"/>
      <c r="C13" s="210"/>
      <c r="D13" s="211"/>
      <c r="E13" s="211"/>
      <c r="F13" s="211"/>
      <c r="G13" s="211"/>
      <c r="H13" s="211"/>
      <c r="I13" s="211"/>
      <c r="J13" s="211"/>
      <c r="K13" s="211"/>
      <c r="L13" s="211"/>
      <c r="M13" s="212"/>
      <c r="N13" s="189"/>
      <c r="O13" s="199"/>
      <c r="P13" s="207" t="s">
        <v>61</v>
      </c>
      <c r="Q13" s="208" t="s">
        <v>63</v>
      </c>
      <c r="R13" s="206">
        <f>IF(J30="",VLOOKUP($X$23,'パラメーター 一覧表'!$A$20:$I$49,9),0.01*J30)</f>
        <v>0.5</v>
      </c>
      <c r="S13" s="208" t="s">
        <v>64</v>
      </c>
      <c r="T13" s="203"/>
      <c r="U13" s="190"/>
      <c r="W13" s="272" t="s">
        <v>218</v>
      </c>
      <c r="X13" s="154">
        <v>1</v>
      </c>
      <c r="Y13" s="271" t="s">
        <v>269</v>
      </c>
      <c r="AA13"/>
      <c r="AB13"/>
      <c r="AC13"/>
      <c r="AD13"/>
      <c r="AE13"/>
      <c r="AF13"/>
      <c r="AG13"/>
      <c r="AH13"/>
      <c r="AI13"/>
      <c r="AJ13"/>
      <c r="AK13"/>
      <c r="AL13"/>
      <c r="AM13"/>
      <c r="AN13"/>
      <c r="AO13"/>
      <c r="AP13"/>
      <c r="AQ13"/>
      <c r="AR13"/>
      <c r="AS13"/>
    </row>
    <row r="14" spans="1:46" ht="18" customHeight="1" x14ac:dyDescent="0.2">
      <c r="A14" s="179"/>
      <c r="B14" s="189"/>
      <c r="C14" s="189"/>
      <c r="D14" s="189"/>
      <c r="E14" s="189"/>
      <c r="F14" s="189"/>
      <c r="G14" s="189"/>
      <c r="H14" s="189"/>
      <c r="I14" s="189"/>
      <c r="J14" s="189"/>
      <c r="K14" s="189"/>
      <c r="L14" s="189"/>
      <c r="M14" s="189"/>
      <c r="N14" s="189"/>
      <c r="O14" s="199"/>
      <c r="P14" s="207" t="s">
        <v>65</v>
      </c>
      <c r="Q14" s="208"/>
      <c r="R14" s="206">
        <f>VLOOKUP($X$23,'パラメーター 一覧表'!$A$20:$J$49,10)</f>
        <v>2E-3</v>
      </c>
      <c r="S14" s="208" t="s">
        <v>28</v>
      </c>
      <c r="T14" s="203"/>
      <c r="U14" s="190"/>
      <c r="W14" s="4" t="s">
        <v>219</v>
      </c>
      <c r="X14" s="183">
        <f>IF(Y14=1,2,1)</f>
        <v>1</v>
      </c>
      <c r="Y14" s="184">
        <f>'入力シート (複数物質)'!$AJ$14</f>
        <v>2</v>
      </c>
      <c r="AA14"/>
      <c r="AB14"/>
      <c r="AC14"/>
      <c r="AD14"/>
      <c r="AE14"/>
      <c r="AF14"/>
      <c r="AG14"/>
      <c r="AH14"/>
      <c r="AI14"/>
      <c r="AJ14"/>
      <c r="AK14"/>
      <c r="AL14"/>
      <c r="AM14"/>
      <c r="AN14"/>
      <c r="AO14"/>
      <c r="AP14"/>
      <c r="AQ14"/>
      <c r="AR14"/>
      <c r="AS14"/>
    </row>
    <row r="15" spans="1:46" ht="18" customHeight="1" x14ac:dyDescent="0.2">
      <c r="A15" s="179"/>
      <c r="B15" s="189"/>
      <c r="C15" s="191" t="s">
        <v>68</v>
      </c>
      <c r="D15" s="213"/>
      <c r="E15" s="213"/>
      <c r="F15" s="213"/>
      <c r="G15" s="288"/>
      <c r="H15" s="213"/>
      <c r="I15" s="213"/>
      <c r="J15" s="213"/>
      <c r="K15" s="213"/>
      <c r="L15" s="213"/>
      <c r="M15" s="195"/>
      <c r="N15" s="189"/>
      <c r="O15" s="199"/>
      <c r="P15" s="207" t="s">
        <v>159</v>
      </c>
      <c r="Q15" s="208"/>
      <c r="R15" s="206">
        <f>VLOOKUP($X$23,'パラメーター 一覧表'!$A$20:$K$49,11)</f>
        <v>0.02</v>
      </c>
      <c r="S15" s="208" t="s">
        <v>28</v>
      </c>
      <c r="T15" s="203"/>
      <c r="U15" s="190"/>
      <c r="X15" s="149">
        <v>1</v>
      </c>
      <c r="Y15" s="149" t="s">
        <v>290</v>
      </c>
      <c r="AA15"/>
      <c r="AB15"/>
      <c r="AC15"/>
      <c r="AD15"/>
      <c r="AE15"/>
      <c r="AF15"/>
      <c r="AG15"/>
      <c r="AH15"/>
      <c r="AI15"/>
      <c r="AJ15"/>
      <c r="AK15"/>
      <c r="AL15"/>
      <c r="AM15"/>
      <c r="AN15"/>
      <c r="AO15"/>
      <c r="AP15"/>
      <c r="AQ15"/>
      <c r="AR15"/>
      <c r="AS15"/>
    </row>
    <row r="16" spans="1:46" ht="18" customHeight="1" x14ac:dyDescent="0.2">
      <c r="A16" s="179"/>
      <c r="B16" s="189"/>
      <c r="C16" s="214" t="s">
        <v>188</v>
      </c>
      <c r="D16" s="488" t="s">
        <v>283</v>
      </c>
      <c r="E16" s="489"/>
      <c r="F16" s="310"/>
      <c r="G16" s="311"/>
      <c r="H16" s="312"/>
      <c r="I16" s="312"/>
      <c r="J16" s="312"/>
      <c r="K16" s="312"/>
      <c r="L16" s="312"/>
      <c r="M16" s="313"/>
      <c r="N16" s="189"/>
      <c r="O16" s="199"/>
      <c r="P16" s="320"/>
      <c r="Q16" s="202"/>
      <c r="R16" s="321"/>
      <c r="S16" s="202"/>
      <c r="T16" s="203"/>
      <c r="U16" s="190"/>
      <c r="X16" s="149">
        <v>2</v>
      </c>
      <c r="Y16" s="323" t="s">
        <v>288</v>
      </c>
      <c r="AA16"/>
      <c r="AB16"/>
      <c r="AC16"/>
      <c r="AD16"/>
      <c r="AE16"/>
      <c r="AF16"/>
      <c r="AG16"/>
      <c r="AH16"/>
      <c r="AI16"/>
      <c r="AJ16"/>
      <c r="AK16"/>
      <c r="AL16"/>
      <c r="AM16"/>
      <c r="AN16"/>
      <c r="AO16"/>
      <c r="AP16"/>
      <c r="AQ16"/>
      <c r="AR16"/>
      <c r="AS16"/>
    </row>
    <row r="17" spans="1:45" ht="18" customHeight="1" x14ac:dyDescent="0.2">
      <c r="A17" s="179"/>
      <c r="B17" s="189"/>
      <c r="C17" s="308"/>
      <c r="D17" s="490"/>
      <c r="E17" s="491"/>
      <c r="F17" s="314"/>
      <c r="G17" s="309"/>
      <c r="H17" s="189"/>
      <c r="I17" s="189"/>
      <c r="J17" s="189"/>
      <c r="K17" s="189"/>
      <c r="L17" s="189"/>
      <c r="M17" s="315"/>
      <c r="N17" s="189"/>
      <c r="O17" s="199"/>
      <c r="P17" s="320"/>
      <c r="Q17" s="202"/>
      <c r="R17" s="321"/>
      <c r="S17" s="202"/>
      <c r="T17" s="203"/>
      <c r="U17" s="190"/>
      <c r="X17" s="149">
        <v>3</v>
      </c>
      <c r="Y17" s="323" t="s">
        <v>289</v>
      </c>
      <c r="AA17"/>
      <c r="AB17"/>
      <c r="AC17"/>
      <c r="AD17"/>
      <c r="AE17"/>
      <c r="AF17"/>
      <c r="AG17"/>
      <c r="AH17"/>
      <c r="AI17"/>
      <c r="AJ17"/>
      <c r="AK17"/>
      <c r="AL17"/>
      <c r="AM17"/>
      <c r="AN17"/>
      <c r="AO17"/>
      <c r="AP17"/>
      <c r="AQ17"/>
      <c r="AR17"/>
      <c r="AS17"/>
    </row>
    <row r="18" spans="1:45" ht="18" customHeight="1" x14ac:dyDescent="0.2">
      <c r="A18" s="179"/>
      <c r="B18" s="189"/>
      <c r="C18" s="308"/>
      <c r="D18" s="492"/>
      <c r="E18" s="493"/>
      <c r="F18" s="316"/>
      <c r="G18" s="317"/>
      <c r="H18" s="318"/>
      <c r="I18" s="318"/>
      <c r="J18" s="318"/>
      <c r="K18" s="318"/>
      <c r="L18" s="318"/>
      <c r="M18" s="319"/>
      <c r="N18" s="189"/>
      <c r="O18" s="199" t="s">
        <v>189</v>
      </c>
      <c r="P18" s="217" t="s">
        <v>13</v>
      </c>
      <c r="Q18" s="218"/>
      <c r="R18" s="202"/>
      <c r="S18" s="202"/>
      <c r="T18" s="203"/>
      <c r="U18" s="190"/>
      <c r="AA18"/>
      <c r="AB18"/>
      <c r="AC18"/>
      <c r="AD18"/>
      <c r="AE18"/>
      <c r="AF18"/>
      <c r="AG18"/>
      <c r="AH18"/>
      <c r="AI18"/>
      <c r="AJ18"/>
      <c r="AK18"/>
      <c r="AL18"/>
      <c r="AM18"/>
      <c r="AN18"/>
      <c r="AO18"/>
      <c r="AP18"/>
      <c r="AQ18"/>
      <c r="AR18"/>
      <c r="AS18"/>
    </row>
    <row r="19" spans="1:45" ht="18" customHeight="1" thickBot="1" x14ac:dyDescent="0.25">
      <c r="A19" s="179"/>
      <c r="B19" s="189"/>
      <c r="C19" s="308"/>
      <c r="D19" s="189"/>
      <c r="E19" s="189"/>
      <c r="F19" s="727" t="s">
        <v>274</v>
      </c>
      <c r="G19" s="727"/>
      <c r="H19" s="727"/>
      <c r="I19" s="189"/>
      <c r="J19" s="189"/>
      <c r="K19" s="189"/>
      <c r="L19" s="189"/>
      <c r="M19" s="203"/>
      <c r="N19" s="189"/>
      <c r="O19" s="199"/>
      <c r="P19" s="219" t="s">
        <v>14</v>
      </c>
      <c r="Q19" s="219" t="s">
        <v>7</v>
      </c>
      <c r="R19" s="219" t="s">
        <v>15</v>
      </c>
      <c r="S19" s="219" t="s">
        <v>5</v>
      </c>
      <c r="T19" s="203"/>
      <c r="U19" s="190"/>
      <c r="AA19"/>
      <c r="AB19"/>
      <c r="AC19"/>
      <c r="AD19"/>
      <c r="AE19"/>
      <c r="AF19"/>
      <c r="AG19"/>
      <c r="AH19"/>
      <c r="AI19"/>
      <c r="AJ19"/>
      <c r="AK19"/>
      <c r="AL19"/>
      <c r="AM19"/>
      <c r="AN19"/>
      <c r="AO19"/>
      <c r="AP19"/>
      <c r="AQ19"/>
      <c r="AR19"/>
      <c r="AS19"/>
    </row>
    <row r="20" spans="1:45" ht="18" customHeight="1" thickBot="1" x14ac:dyDescent="0.25">
      <c r="A20" s="179"/>
      <c r="B20" s="189"/>
      <c r="C20" s="214" t="s">
        <v>189</v>
      </c>
      <c r="D20" s="495" t="s">
        <v>18</v>
      </c>
      <c r="E20" s="496"/>
      <c r="F20" s="497" t="s">
        <v>224</v>
      </c>
      <c r="G20" s="498"/>
      <c r="H20" s="499"/>
      <c r="I20" s="181"/>
      <c r="J20" s="215"/>
      <c r="K20" s="205"/>
      <c r="L20" s="205"/>
      <c r="M20" s="198"/>
      <c r="N20" s="189"/>
      <c r="O20" s="199"/>
      <c r="P20" s="220" t="s">
        <v>2</v>
      </c>
      <c r="Q20" s="221" t="s">
        <v>8</v>
      </c>
      <c r="R20" s="222">
        <f>VLOOKUP($V$23,'パラメーター 一覧表'!$A$7:$F$11,3)</f>
        <v>3.0000000000000001E-5</v>
      </c>
      <c r="S20" s="221" t="s">
        <v>6</v>
      </c>
      <c r="T20" s="203"/>
      <c r="U20" s="190"/>
      <c r="AA20"/>
      <c r="AB20"/>
      <c r="AC20"/>
      <c r="AD20"/>
      <c r="AE20"/>
      <c r="AF20"/>
      <c r="AG20"/>
      <c r="AH20"/>
      <c r="AI20"/>
      <c r="AJ20"/>
      <c r="AK20"/>
      <c r="AL20"/>
      <c r="AM20"/>
      <c r="AN20"/>
      <c r="AO20"/>
      <c r="AP20"/>
      <c r="AQ20"/>
      <c r="AR20"/>
      <c r="AS20"/>
    </row>
    <row r="21" spans="1:45" ht="18" customHeight="1" thickBot="1" x14ac:dyDescent="0.25">
      <c r="A21" s="179"/>
      <c r="B21" s="189"/>
      <c r="C21" s="216"/>
      <c r="D21" s="215"/>
      <c r="E21" s="205"/>
      <c r="F21" s="205"/>
      <c r="G21" s="215"/>
      <c r="H21" s="215"/>
      <c r="I21" s="494" t="s">
        <v>320</v>
      </c>
      <c r="J21" s="494"/>
      <c r="K21" s="494"/>
      <c r="L21" s="205"/>
      <c r="M21" s="198"/>
      <c r="N21" s="189"/>
      <c r="O21" s="199"/>
      <c r="P21" s="220" t="s">
        <v>3</v>
      </c>
      <c r="Q21" s="221" t="s">
        <v>9</v>
      </c>
      <c r="R21" s="219">
        <f>VLOOKUP($V$23,'パラメーター 一覧表'!$A$7:$F$11,4)</f>
        <v>0.3</v>
      </c>
      <c r="S21" s="221" t="s">
        <v>284</v>
      </c>
      <c r="T21" s="203"/>
      <c r="U21" s="190"/>
      <c r="AA21"/>
      <c r="AB21"/>
      <c r="AC21"/>
      <c r="AD21"/>
      <c r="AE21"/>
      <c r="AF21"/>
      <c r="AG21"/>
      <c r="AN21"/>
      <c r="AO21"/>
      <c r="AP21"/>
      <c r="AQ21"/>
      <c r="AR21"/>
      <c r="AS21"/>
    </row>
    <row r="22" spans="1:45" ht="18" customHeight="1" thickBot="1" x14ac:dyDescent="0.25">
      <c r="A22" s="179"/>
      <c r="B22" s="189"/>
      <c r="C22" s="507" t="s">
        <v>190</v>
      </c>
      <c r="D22" s="508" t="s">
        <v>302</v>
      </c>
      <c r="E22" s="508"/>
      <c r="F22" s="509" t="s">
        <v>306</v>
      </c>
      <c r="G22" s="510"/>
      <c r="H22" s="511"/>
      <c r="I22" s="512" t="str">
        <f>'入力シート (複数物質)'!$K$36</f>
        <v>砂</v>
      </c>
      <c r="J22" s="513"/>
      <c r="K22" s="514"/>
      <c r="L22" s="181"/>
      <c r="M22" s="342"/>
      <c r="N22" s="205"/>
      <c r="O22" s="199"/>
      <c r="P22" s="220" t="s">
        <v>160</v>
      </c>
      <c r="Q22" s="221" t="s">
        <v>163</v>
      </c>
      <c r="R22" s="219">
        <f>VLOOKUP($V$23,'パラメーター 一覧表'!$A$7:$G$11,5)</f>
        <v>0.4</v>
      </c>
      <c r="S22" s="221" t="s">
        <v>284</v>
      </c>
      <c r="T22" s="203"/>
      <c r="U22" s="190"/>
      <c r="V22" s="268" t="s">
        <v>265</v>
      </c>
      <c r="X22" s="149" t="s">
        <v>18</v>
      </c>
      <c r="AA22"/>
      <c r="AB22"/>
      <c r="AC22"/>
      <c r="AD22"/>
      <c r="AE22"/>
      <c r="AF22"/>
      <c r="AG22"/>
      <c r="AH22"/>
      <c r="AI22"/>
      <c r="AJ22"/>
      <c r="AK22"/>
      <c r="AL22"/>
      <c r="AM22"/>
      <c r="AN22"/>
      <c r="AO22"/>
      <c r="AP22"/>
      <c r="AQ22"/>
      <c r="AR22"/>
      <c r="AS22"/>
    </row>
    <row r="23" spans="1:45" ht="18" customHeight="1" thickBot="1" x14ac:dyDescent="0.25">
      <c r="A23" s="179"/>
      <c r="B23" s="189"/>
      <c r="C23" s="507"/>
      <c r="D23" s="508"/>
      <c r="E23" s="508"/>
      <c r="F23" s="515" t="s">
        <v>307</v>
      </c>
      <c r="G23" s="516"/>
      <c r="H23" s="517"/>
      <c r="I23" s="224" t="s">
        <v>7</v>
      </c>
      <c r="J23" s="224" t="s">
        <v>15</v>
      </c>
      <c r="K23" s="248" t="s">
        <v>5</v>
      </c>
      <c r="L23" s="248" t="s">
        <v>272</v>
      </c>
      <c r="M23" s="203"/>
      <c r="N23" s="189"/>
      <c r="O23" s="199"/>
      <c r="P23" s="220" t="s">
        <v>4</v>
      </c>
      <c r="Q23" s="221" t="s">
        <v>10</v>
      </c>
      <c r="R23" s="219">
        <f>VLOOKUP($V$23,'パラメーター 一覧表'!$A$7:$F$11,6)</f>
        <v>2.7</v>
      </c>
      <c r="S23" s="221" t="s">
        <v>285</v>
      </c>
      <c r="T23" s="203"/>
      <c r="U23" s="190"/>
      <c r="V23" s="215">
        <f>VLOOKUP(I22,W59:X63,2,FALSE)</f>
        <v>3</v>
      </c>
      <c r="X23" s="215">
        <f>VLOOKUP(F20,Y59:Z88,2,FALSE)</f>
        <v>101</v>
      </c>
      <c r="AA23"/>
      <c r="AB23"/>
      <c r="AC23"/>
      <c r="AD23"/>
      <c r="AE23"/>
      <c r="AF23"/>
      <c r="AG23"/>
      <c r="AL23"/>
      <c r="AM23"/>
      <c r="AN23"/>
      <c r="AO23"/>
      <c r="AP23"/>
      <c r="AQ23"/>
      <c r="AR23"/>
      <c r="AS23"/>
    </row>
    <row r="24" spans="1:45" ht="18" customHeight="1" thickBot="1" x14ac:dyDescent="0.25">
      <c r="A24" s="179"/>
      <c r="B24" s="189"/>
      <c r="C24" s="507"/>
      <c r="D24" s="508"/>
      <c r="E24" s="508"/>
      <c r="F24" s="504" t="s">
        <v>308</v>
      </c>
      <c r="G24" s="505"/>
      <c r="H24" s="506"/>
      <c r="I24" s="341" t="s">
        <v>297</v>
      </c>
      <c r="J24" s="185">
        <f>'入力シート (複数物質)'!$L$38</f>
        <v>8</v>
      </c>
      <c r="K24" s="360" t="s">
        <v>43</v>
      </c>
      <c r="L24" s="329" t="s">
        <v>273</v>
      </c>
      <c r="M24" s="203"/>
      <c r="N24" s="189"/>
      <c r="O24" s="199"/>
      <c r="P24" s="220" t="s">
        <v>11</v>
      </c>
      <c r="Q24" s="221" t="s">
        <v>12</v>
      </c>
      <c r="R24" s="225">
        <f>VLOOKUP($V$23,'パラメーター 一覧表'!$A$7:$G$11,7)</f>
        <v>1.62</v>
      </c>
      <c r="S24" s="221" t="s">
        <v>285</v>
      </c>
      <c r="T24" s="203"/>
      <c r="U24" s="190"/>
      <c r="V24" s="278">
        <v>1</v>
      </c>
      <c r="W24" s="279" t="s">
        <v>266</v>
      </c>
      <c r="X24" s="251">
        <v>1</v>
      </c>
      <c r="Y24" s="252" t="s">
        <v>221</v>
      </c>
      <c r="Z24" s="171"/>
      <c r="AA24"/>
      <c r="AB24"/>
      <c r="AC24"/>
      <c r="AD24"/>
      <c r="AE24"/>
      <c r="AF24"/>
      <c r="AG24"/>
      <c r="AH24"/>
      <c r="AI24"/>
      <c r="AJ24"/>
      <c r="AK24"/>
      <c r="AL24"/>
      <c r="AM24"/>
      <c r="AN24"/>
      <c r="AO24"/>
      <c r="AP24"/>
      <c r="AQ24"/>
      <c r="AR24"/>
      <c r="AS24"/>
    </row>
    <row r="25" spans="1:45" ht="18" customHeight="1" x14ac:dyDescent="0.2">
      <c r="A25" s="179"/>
      <c r="B25" s="189"/>
      <c r="C25" s="340"/>
      <c r="D25" s="181"/>
      <c r="E25" s="181"/>
      <c r="F25" s="181"/>
      <c r="G25" s="181"/>
      <c r="H25" s="181"/>
      <c r="I25" s="181"/>
      <c r="J25" s="181"/>
      <c r="K25" s="181"/>
      <c r="L25" s="181"/>
      <c r="M25" s="203"/>
      <c r="N25" s="189"/>
      <c r="O25" s="199"/>
      <c r="P25" s="220" t="s">
        <v>37</v>
      </c>
      <c r="Q25" s="220" t="s">
        <v>35</v>
      </c>
      <c r="R25" s="219">
        <f>VLOOKUP($V$23,'パラメーター 一覧表'!$A$7:$H$11,8)</f>
        <v>1E-3</v>
      </c>
      <c r="S25" s="220" t="s">
        <v>36</v>
      </c>
      <c r="T25" s="203"/>
      <c r="U25" s="190"/>
      <c r="V25" s="280">
        <v>2</v>
      </c>
      <c r="W25" s="265" t="s">
        <v>267</v>
      </c>
      <c r="X25" s="253">
        <v>2</v>
      </c>
      <c r="Y25" s="254" t="s">
        <v>222</v>
      </c>
      <c r="Z25" s="171"/>
      <c r="AA25"/>
      <c r="AB25"/>
      <c r="AC25"/>
      <c r="AD25"/>
      <c r="AE25"/>
      <c r="AF25"/>
      <c r="AP25"/>
      <c r="AQ25"/>
      <c r="AR25"/>
      <c r="AS25"/>
    </row>
    <row r="26" spans="1:45" ht="18" customHeight="1" thickBot="1" x14ac:dyDescent="0.25">
      <c r="A26" s="179"/>
      <c r="B26" s="189"/>
      <c r="C26" s="507" t="s">
        <v>301</v>
      </c>
      <c r="D26" s="518" t="s">
        <v>69</v>
      </c>
      <c r="E26" s="519"/>
      <c r="F26" s="522" t="s">
        <v>15</v>
      </c>
      <c r="G26" s="523"/>
      <c r="H26" s="223" t="s">
        <v>5</v>
      </c>
      <c r="I26" s="205"/>
      <c r="J26" s="215"/>
      <c r="K26" s="215"/>
      <c r="L26" s="215"/>
      <c r="M26" s="203"/>
      <c r="N26" s="189"/>
      <c r="O26" s="322"/>
      <c r="P26" s="155"/>
      <c r="Q26" s="155"/>
      <c r="R26" s="155"/>
      <c r="S26" s="155"/>
      <c r="T26" s="203"/>
      <c r="U26" s="190"/>
      <c r="V26" s="281">
        <v>3</v>
      </c>
      <c r="W26" s="265" t="s">
        <v>268</v>
      </c>
      <c r="X26" s="253">
        <v>3</v>
      </c>
      <c r="Y26" s="254" t="s">
        <v>223</v>
      </c>
      <c r="Z26" s="171"/>
      <c r="AA26"/>
      <c r="AB26"/>
      <c r="AC26"/>
      <c r="AD26"/>
      <c r="AE26"/>
      <c r="AF26"/>
      <c r="AP26"/>
      <c r="AQ26"/>
      <c r="AR26"/>
      <c r="AS26"/>
    </row>
    <row r="27" spans="1:45" ht="18" customHeight="1" thickBot="1" x14ac:dyDescent="0.25">
      <c r="A27" s="179"/>
      <c r="B27" s="189"/>
      <c r="C27" s="507"/>
      <c r="D27" s="520"/>
      <c r="E27" s="521"/>
      <c r="F27" s="512">
        <f>'入力シート (複数物質)'!$F$41</f>
        <v>5.0000000000000001E-3</v>
      </c>
      <c r="G27" s="514"/>
      <c r="H27" s="360" t="s">
        <v>16</v>
      </c>
      <c r="I27" s="215"/>
      <c r="J27" s="215"/>
      <c r="K27" s="215"/>
      <c r="L27" s="215"/>
      <c r="M27" s="203"/>
      <c r="N27" s="189"/>
      <c r="O27" s="322"/>
      <c r="P27" s="155"/>
      <c r="Q27" s="155"/>
      <c r="R27" s="155"/>
      <c r="S27" s="155"/>
      <c r="T27" s="203"/>
      <c r="U27" s="190"/>
      <c r="V27" s="282">
        <v>4</v>
      </c>
      <c r="W27" s="265" t="s">
        <v>279</v>
      </c>
      <c r="X27" s="255">
        <v>101</v>
      </c>
      <c r="Y27" s="256" t="s">
        <v>225</v>
      </c>
      <c r="Z27" s="249"/>
      <c r="AA27"/>
      <c r="AB27"/>
      <c r="AC27"/>
      <c r="AD27"/>
      <c r="AE27"/>
      <c r="AF27"/>
      <c r="AG27"/>
      <c r="AR27"/>
      <c r="AS27"/>
    </row>
    <row r="28" spans="1:45" ht="18" customHeight="1" thickBot="1" x14ac:dyDescent="0.25">
      <c r="A28" s="179"/>
      <c r="B28" s="189"/>
      <c r="C28" s="303"/>
      <c r="D28" s="181"/>
      <c r="E28" s="181"/>
      <c r="F28" s="181"/>
      <c r="G28" s="181"/>
      <c r="H28" s="181"/>
      <c r="I28" s="181"/>
      <c r="J28" s="181"/>
      <c r="K28" s="181"/>
      <c r="L28" s="181"/>
      <c r="M28" s="203"/>
      <c r="N28" s="189"/>
      <c r="O28" s="199" t="s">
        <v>190</v>
      </c>
      <c r="P28" s="226" t="s">
        <v>191</v>
      </c>
      <c r="Q28" s="227"/>
      <c r="R28" s="202"/>
      <c r="S28" s="202"/>
      <c r="T28" s="203"/>
      <c r="U28" s="190"/>
      <c r="V28" s="283">
        <v>5</v>
      </c>
      <c r="W28" s="284" t="s">
        <v>312</v>
      </c>
      <c r="X28" s="255">
        <v>102</v>
      </c>
      <c r="Y28" s="256" t="s">
        <v>226</v>
      </c>
      <c r="Z28" s="249"/>
      <c r="AA28"/>
      <c r="AB28"/>
      <c r="AC28"/>
      <c r="AD28"/>
      <c r="AE28"/>
      <c r="AF28"/>
      <c r="AR28"/>
      <c r="AS28"/>
    </row>
    <row r="29" spans="1:45" ht="18" customHeight="1" thickBot="1" x14ac:dyDescent="0.25">
      <c r="A29" s="179"/>
      <c r="B29" s="189"/>
      <c r="C29" s="340"/>
      <c r="D29" s="189"/>
      <c r="E29" s="189"/>
      <c r="F29" s="515" t="s">
        <v>307</v>
      </c>
      <c r="G29" s="516"/>
      <c r="H29" s="517"/>
      <c r="I29" s="224" t="s">
        <v>7</v>
      </c>
      <c r="J29" s="224" t="s">
        <v>15</v>
      </c>
      <c r="K29" s="248" t="s">
        <v>5</v>
      </c>
      <c r="L29" s="248" t="s">
        <v>272</v>
      </c>
      <c r="M29" s="203"/>
      <c r="N29" s="189"/>
      <c r="O29" s="199"/>
      <c r="P29" s="228" t="s">
        <v>14</v>
      </c>
      <c r="Q29" s="228" t="s">
        <v>7</v>
      </c>
      <c r="R29" s="228" t="s">
        <v>15</v>
      </c>
      <c r="S29" s="228" t="s">
        <v>5</v>
      </c>
      <c r="T29" s="203"/>
      <c r="U29" s="190"/>
      <c r="V29" s="266"/>
      <c r="W29" s="181"/>
      <c r="X29" s="255">
        <v>103</v>
      </c>
      <c r="Y29" s="256" t="s">
        <v>227</v>
      </c>
      <c r="Z29" s="249"/>
      <c r="AA29"/>
      <c r="AB29"/>
      <c r="AC29"/>
      <c r="AD29"/>
      <c r="AE29"/>
      <c r="AF29"/>
      <c r="AR29"/>
      <c r="AS29"/>
    </row>
    <row r="30" spans="1:45" ht="18" customHeight="1" thickBot="1" x14ac:dyDescent="0.25">
      <c r="A30" s="179"/>
      <c r="B30" s="189"/>
      <c r="C30" s="216" t="s">
        <v>220</v>
      </c>
      <c r="D30" s="502" t="s">
        <v>197</v>
      </c>
      <c r="E30" s="503"/>
      <c r="F30" s="504" t="str">
        <f>IF($Y$14=4,"PRB通過後の観測点から評価地点までの距離","評価地点までの距離")</f>
        <v>評価地点までの距離</v>
      </c>
      <c r="G30" s="505"/>
      <c r="H30" s="506"/>
      <c r="I30" s="327" t="s">
        <v>294</v>
      </c>
      <c r="J30" s="153">
        <f>'入力シート (複数物質)'!$L$44</f>
        <v>50</v>
      </c>
      <c r="K30" s="360" t="s">
        <v>79</v>
      </c>
      <c r="L30" s="325"/>
      <c r="M30" s="203"/>
      <c r="N30" s="189"/>
      <c r="O30" s="199"/>
      <c r="P30" s="229" t="s">
        <v>192</v>
      </c>
      <c r="Q30" s="229" t="s">
        <v>193</v>
      </c>
      <c r="R30" s="273">
        <f>+計算シート_クロロエチレン!G39</f>
        <v>15.768000000000002</v>
      </c>
      <c r="S30" s="230" t="s">
        <v>194</v>
      </c>
      <c r="T30" s="203"/>
      <c r="U30" s="190"/>
      <c r="X30" s="255">
        <v>104</v>
      </c>
      <c r="Y30" s="256" t="s">
        <v>228</v>
      </c>
      <c r="Z30" s="249"/>
      <c r="AA30"/>
      <c r="AB30"/>
      <c r="AC30"/>
      <c r="AD30"/>
      <c r="AE30"/>
      <c r="AF30"/>
      <c r="AG30"/>
      <c r="AR30"/>
      <c r="AS30"/>
    </row>
    <row r="31" spans="1:45" ht="18" customHeight="1" thickBot="1" x14ac:dyDescent="0.25">
      <c r="A31" s="179"/>
      <c r="B31" s="189"/>
      <c r="C31" s="291"/>
      <c r="D31" s="338"/>
      <c r="E31" s="339"/>
      <c r="F31" s="155"/>
      <c r="G31" s="155"/>
      <c r="H31" s="155"/>
      <c r="I31" s="155"/>
      <c r="J31" s="155"/>
      <c r="K31" s="155"/>
      <c r="L31" s="155"/>
      <c r="M31" s="203"/>
      <c r="N31" s="189"/>
      <c r="O31" s="199"/>
      <c r="P31" s="229" t="s">
        <v>195</v>
      </c>
      <c r="Q31" s="231" t="s">
        <v>196</v>
      </c>
      <c r="R31" s="349">
        <f>計算シート_クロロエチレン!G41</f>
        <v>1.1026</v>
      </c>
      <c r="S31" s="230"/>
      <c r="T31" s="203"/>
      <c r="U31" s="190"/>
      <c r="V31" s="181"/>
      <c r="W31" s="181"/>
      <c r="X31" s="255">
        <v>105</v>
      </c>
      <c r="Y31" s="256" t="s">
        <v>230</v>
      </c>
      <c r="Z31" s="249"/>
      <c r="AA31"/>
      <c r="AB31"/>
      <c r="AC31"/>
      <c r="AD31"/>
      <c r="AE31"/>
      <c r="AF31"/>
      <c r="AR31"/>
      <c r="AS31"/>
    </row>
    <row r="32" spans="1:45" ht="18" customHeight="1" x14ac:dyDescent="0.2">
      <c r="A32" s="179"/>
      <c r="B32" s="189"/>
      <c r="C32" s="507" t="s">
        <v>300</v>
      </c>
      <c r="D32" s="533" t="s">
        <v>293</v>
      </c>
      <c r="E32" s="533"/>
      <c r="F32" s="504" t="s">
        <v>291</v>
      </c>
      <c r="G32" s="505"/>
      <c r="H32" s="506"/>
      <c r="I32" s="327" t="s">
        <v>295</v>
      </c>
      <c r="J32" s="289">
        <f>'入力シート (複数物質)'!$L$46</f>
        <v>30</v>
      </c>
      <c r="K32" s="360" t="s">
        <v>43</v>
      </c>
      <c r="L32" s="325"/>
      <c r="M32" s="203"/>
      <c r="N32" s="189"/>
      <c r="O32" s="322"/>
      <c r="P32" s="155"/>
      <c r="Q32" s="155"/>
      <c r="R32" s="155"/>
      <c r="S32" s="155"/>
      <c r="T32" s="203"/>
      <c r="U32" s="190"/>
      <c r="V32" s="181"/>
      <c r="W32" s="181"/>
      <c r="X32" s="255">
        <v>106</v>
      </c>
      <c r="Y32" s="256" t="s">
        <v>231</v>
      </c>
      <c r="Z32" s="249"/>
      <c r="AA32"/>
      <c r="AB32"/>
      <c r="AC32"/>
      <c r="AD32"/>
      <c r="AE32"/>
      <c r="AF32"/>
      <c r="AG32"/>
      <c r="AR32"/>
      <c r="AS32"/>
    </row>
    <row r="33" spans="1:46" ht="18" customHeight="1" x14ac:dyDescent="0.2">
      <c r="A33" s="179"/>
      <c r="B33" s="189"/>
      <c r="C33" s="507"/>
      <c r="D33" s="533"/>
      <c r="E33" s="533"/>
      <c r="F33" s="504" t="s">
        <v>292</v>
      </c>
      <c r="G33" s="505"/>
      <c r="H33" s="506"/>
      <c r="I33" s="328" t="s">
        <v>296</v>
      </c>
      <c r="J33" s="290">
        <f>'入力シート (複数物質)'!$L$47</f>
        <v>15</v>
      </c>
      <c r="K33" s="360" t="s">
        <v>43</v>
      </c>
      <c r="L33" s="325"/>
      <c r="M33" s="203"/>
      <c r="N33" s="189"/>
      <c r="O33" s="322"/>
      <c r="P33" s="155"/>
      <c r="Q33" s="155"/>
      <c r="R33" s="155"/>
      <c r="S33" s="155"/>
      <c r="T33" s="203"/>
      <c r="U33" s="190"/>
      <c r="V33" s="181"/>
      <c r="W33" s="181"/>
      <c r="X33" s="255">
        <v>107</v>
      </c>
      <c r="Y33" s="256" t="s">
        <v>233</v>
      </c>
      <c r="Z33" s="249"/>
      <c r="AA33"/>
      <c r="AB33"/>
      <c r="AC33"/>
      <c r="AD33"/>
      <c r="AE33"/>
      <c r="AF33"/>
      <c r="AG33"/>
      <c r="AR33"/>
      <c r="AS33"/>
    </row>
    <row r="34" spans="1:46" ht="16" customHeight="1" thickBot="1" x14ac:dyDescent="0.25">
      <c r="A34" s="179"/>
      <c r="B34" s="189"/>
      <c r="C34" s="216"/>
      <c r="D34" s="232"/>
      <c r="E34" s="232"/>
      <c r="F34" s="232"/>
      <c r="G34" s="215"/>
      <c r="H34" s="215"/>
      <c r="I34" s="276"/>
      <c r="J34" s="215"/>
      <c r="K34" s="155"/>
      <c r="L34" s="215"/>
      <c r="M34" s="203"/>
      <c r="N34" s="189"/>
      <c r="O34" s="233"/>
      <c r="P34" s="234"/>
      <c r="Q34" s="234"/>
      <c r="R34" s="234"/>
      <c r="S34" s="234"/>
      <c r="T34" s="212"/>
      <c r="U34" s="190"/>
      <c r="V34" s="181"/>
      <c r="W34" s="181"/>
      <c r="X34" s="255">
        <v>108</v>
      </c>
      <c r="Y34" s="256" t="s">
        <v>235</v>
      </c>
      <c r="Z34" s="249"/>
      <c r="AA34"/>
      <c r="AB34"/>
      <c r="AC34"/>
      <c r="AD34"/>
      <c r="AE34"/>
      <c r="AF34"/>
      <c r="AG34"/>
      <c r="AR34"/>
      <c r="AS34"/>
    </row>
    <row r="35" spans="1:46" ht="18.649999999999999" customHeight="1" thickBot="1" x14ac:dyDescent="0.25">
      <c r="A35" s="179"/>
      <c r="B35" s="189"/>
      <c r="C35" s="216" t="str">
        <f>IF($X$14=1,"","⑦")</f>
        <v/>
      </c>
      <c r="D35" s="534" t="str">
        <f>IF($X$14=1,"","涵養量")</f>
        <v/>
      </c>
      <c r="E35" s="534"/>
      <c r="F35" s="535" t="str">
        <f>IF($X$14=1,"","地下水涵養量")</f>
        <v/>
      </c>
      <c r="G35" s="536"/>
      <c r="H35" s="537"/>
      <c r="I35" s="324" t="s">
        <v>298</v>
      </c>
      <c r="J35" s="185">
        <f>'入力シート (複数物質)'!$L$49</f>
        <v>1</v>
      </c>
      <c r="K35" s="304" t="str">
        <f>IF($X$14=1,"","mm/day")</f>
        <v/>
      </c>
      <c r="L35" s="326" t="str">
        <f>IF($X$14=1,"","原則1mm/day")</f>
        <v/>
      </c>
      <c r="M35" s="203"/>
      <c r="N35" s="189"/>
      <c r="O35" s="189"/>
      <c r="P35" s="189"/>
      <c r="Q35" s="189"/>
      <c r="R35" s="189"/>
      <c r="S35" s="189"/>
      <c r="T35" s="189"/>
      <c r="U35" s="190"/>
      <c r="X35" s="255">
        <v>109</v>
      </c>
      <c r="Y35" s="256" t="s">
        <v>237</v>
      </c>
      <c r="Z35" s="249"/>
      <c r="AA35"/>
      <c r="AB35"/>
      <c r="AC35"/>
      <c r="AD35"/>
      <c r="AE35"/>
      <c r="AF35"/>
      <c r="AG35"/>
      <c r="AH35"/>
      <c r="AI35"/>
      <c r="AJ35"/>
      <c r="AK35"/>
      <c r="AL35"/>
      <c r="AM35"/>
      <c r="AN35"/>
      <c r="AO35"/>
      <c r="AP35"/>
      <c r="AQ35"/>
      <c r="AR35"/>
      <c r="AS35"/>
    </row>
    <row r="36" spans="1:46" ht="8.15" customHeight="1" x14ac:dyDescent="0.2">
      <c r="A36" s="179"/>
      <c r="B36" s="189"/>
      <c r="C36" s="235"/>
      <c r="D36" s="236"/>
      <c r="E36" s="236"/>
      <c r="F36" s="236"/>
      <c r="G36" s="237"/>
      <c r="H36" s="237"/>
      <c r="I36" s="238"/>
      <c r="J36" s="237"/>
      <c r="K36" s="237"/>
      <c r="L36" s="239"/>
      <c r="M36" s="212"/>
      <c r="N36" s="189"/>
      <c r="O36" s="189"/>
      <c r="P36" s="189"/>
      <c r="Q36" s="189"/>
      <c r="R36" s="189"/>
      <c r="S36" s="189"/>
      <c r="T36" s="189"/>
      <c r="U36" s="190"/>
      <c r="X36" s="255">
        <v>110</v>
      </c>
      <c r="Y36" s="256" t="s">
        <v>239</v>
      </c>
      <c r="Z36" s="249"/>
      <c r="AA36"/>
      <c r="AB36"/>
      <c r="AC36"/>
      <c r="AD36"/>
      <c r="AE36"/>
      <c r="AF36"/>
      <c r="AG36"/>
      <c r="AH36"/>
      <c r="AI36"/>
      <c r="AJ36"/>
      <c r="AK36"/>
      <c r="AL36"/>
      <c r="AM36"/>
      <c r="AN36"/>
      <c r="AO36"/>
      <c r="AP36"/>
      <c r="AQ36"/>
      <c r="AR36"/>
      <c r="AS36"/>
    </row>
    <row r="37" spans="1:46" ht="16" customHeight="1" thickBot="1" x14ac:dyDescent="0.25">
      <c r="A37" s="179"/>
      <c r="B37" s="189"/>
      <c r="C37" s="192"/>
      <c r="D37" s="293"/>
      <c r="E37" s="293"/>
      <c r="F37" s="293"/>
      <c r="G37" s="293"/>
      <c r="H37" s="293"/>
      <c r="I37" s="293"/>
      <c r="J37" s="293"/>
      <c r="K37" s="293"/>
      <c r="L37" s="293"/>
      <c r="M37" s="213"/>
      <c r="N37" s="189"/>
      <c r="O37" s="189"/>
      <c r="P37" s="189"/>
      <c r="Q37" s="189"/>
      <c r="R37" s="189"/>
      <c r="S37" s="189"/>
      <c r="T37" s="189"/>
      <c r="U37" s="190"/>
      <c r="X37" s="255">
        <v>111</v>
      </c>
      <c r="Y37" s="256" t="s">
        <v>241</v>
      </c>
      <c r="Z37" s="249"/>
      <c r="AA37"/>
      <c r="AB37"/>
      <c r="AC37"/>
      <c r="AD37"/>
      <c r="AE37"/>
      <c r="AF37"/>
      <c r="AG37"/>
      <c r="AH37"/>
      <c r="AI37"/>
      <c r="AJ37"/>
      <c r="AK37"/>
      <c r="AL37"/>
      <c r="AM37"/>
      <c r="AN37"/>
      <c r="AO37"/>
      <c r="AP37"/>
      <c r="AQ37"/>
      <c r="AR37"/>
      <c r="AS37"/>
    </row>
    <row r="38" spans="1:46" ht="8.15" customHeight="1" x14ac:dyDescent="0.2">
      <c r="A38" s="179"/>
      <c r="B38" s="189"/>
      <c r="C38" s="240"/>
      <c r="D38" s="296"/>
      <c r="E38" s="296"/>
      <c r="F38" s="296"/>
      <c r="G38" s="296"/>
      <c r="H38" s="296"/>
      <c r="I38" s="296"/>
      <c r="J38" s="296"/>
      <c r="K38" s="296"/>
      <c r="L38" s="296"/>
      <c r="M38" s="241"/>
      <c r="N38" s="241"/>
      <c r="O38" s="241"/>
      <c r="P38" s="242"/>
      <c r="Q38" s="189"/>
      <c r="R38" s="189"/>
      <c r="S38" s="189"/>
      <c r="T38" s="189"/>
      <c r="U38" s="190"/>
      <c r="X38" s="255">
        <v>112</v>
      </c>
      <c r="Y38" s="256" t="s">
        <v>243</v>
      </c>
      <c r="Z38" s="249"/>
      <c r="AA38"/>
      <c r="AB38"/>
      <c r="AC38"/>
      <c r="AD38"/>
      <c r="AE38"/>
      <c r="AF38"/>
      <c r="AG38"/>
      <c r="AH38"/>
      <c r="AI38"/>
      <c r="AJ38"/>
      <c r="AK38"/>
      <c r="AL38"/>
      <c r="AM38"/>
      <c r="AN38"/>
      <c r="AO38"/>
      <c r="AP38"/>
      <c r="AQ38"/>
      <c r="AR38"/>
      <c r="AS38"/>
    </row>
    <row r="39" spans="1:46" x14ac:dyDescent="0.2">
      <c r="A39" s="179"/>
      <c r="B39" s="189"/>
      <c r="C39" s="294" t="s">
        <v>67</v>
      </c>
      <c r="D39" s="189"/>
      <c r="E39" s="189"/>
      <c r="F39" s="189"/>
      <c r="G39" s="189"/>
      <c r="H39" s="189"/>
      <c r="I39" s="189"/>
      <c r="J39" s="155"/>
      <c r="K39" s="202" t="s">
        <v>316</v>
      </c>
      <c r="L39" s="189"/>
      <c r="M39" s="155"/>
      <c r="N39" s="189"/>
      <c r="O39" s="189"/>
      <c r="P39" s="295"/>
      <c r="Q39" s="189"/>
      <c r="R39" s="189"/>
      <c r="S39" s="189"/>
      <c r="T39" s="189"/>
      <c r="U39" s="190"/>
      <c r="X39" s="255">
        <v>113</v>
      </c>
      <c r="Y39" s="256" t="s">
        <v>245</v>
      </c>
      <c r="Z39" s="249"/>
      <c r="AA39"/>
      <c r="AB39"/>
      <c r="AC39"/>
      <c r="AD39"/>
      <c r="AE39"/>
      <c r="AF39"/>
      <c r="AG39"/>
      <c r="AH39"/>
      <c r="AI39"/>
      <c r="AJ39"/>
      <c r="AK39"/>
      <c r="AL39"/>
      <c r="AM39"/>
      <c r="AN39"/>
      <c r="AO39"/>
      <c r="AP39"/>
      <c r="AQ39"/>
      <c r="AR39"/>
      <c r="AS39"/>
    </row>
    <row r="40" spans="1:46" ht="6" customHeight="1" thickBot="1" x14ac:dyDescent="0.25">
      <c r="A40" s="179"/>
      <c r="B40" s="189"/>
      <c r="C40" s="294"/>
      <c r="D40" s="189"/>
      <c r="E40" s="189"/>
      <c r="F40" s="189"/>
      <c r="G40" s="189"/>
      <c r="H40" s="189"/>
      <c r="I40" s="189"/>
      <c r="J40" s="155"/>
      <c r="K40" s="202"/>
      <c r="L40" s="189"/>
      <c r="M40" s="155"/>
      <c r="N40" s="189"/>
      <c r="O40" s="189"/>
      <c r="P40" s="295"/>
      <c r="Q40" s="189"/>
      <c r="R40" s="189"/>
      <c r="S40" s="189"/>
      <c r="T40" s="189"/>
      <c r="U40" s="190"/>
      <c r="X40" s="255">
        <v>201</v>
      </c>
      <c r="Y40" s="256" t="s">
        <v>246</v>
      </c>
      <c r="Z40" s="249"/>
      <c r="AA40"/>
      <c r="AB40"/>
      <c r="AC40"/>
      <c r="AD40"/>
      <c r="AE40"/>
      <c r="AF40"/>
      <c r="AG40"/>
      <c r="AH40"/>
      <c r="AI40"/>
      <c r="AJ40"/>
      <c r="AK40"/>
      <c r="AL40"/>
      <c r="AM40"/>
      <c r="AN40"/>
      <c r="AO40"/>
      <c r="AP40"/>
      <c r="AQ40"/>
      <c r="AR40"/>
      <c r="AS40"/>
    </row>
    <row r="41" spans="1:46" ht="26.15" customHeight="1" thickBot="1" x14ac:dyDescent="0.25">
      <c r="A41" s="179"/>
      <c r="B41" s="189"/>
      <c r="C41" s="243"/>
      <c r="D41" s="526" t="str">
        <f>IF(入力シート_クロロエチレン!$Y$14=1,"目標土壌溶出量濃度",IF(入力シート_クロロエチレン!$Y$14=2,"目標土壌溶出量濃度",IF(入力シート_クロロエチレン!$Y$14=3,"目標土壌溶出量濃度","PRB通過後の観測点における目標地下水濃度")))</f>
        <v>目標土壌溶出量濃度</v>
      </c>
      <c r="E41" s="527"/>
      <c r="F41" s="527"/>
      <c r="G41" s="528">
        <f>IF($X$14=1,IF(計算シート_クロロエチレン!E83&gt;10000,"&gt;10,000",+計算シート_クロロエチレン!E83),計算シート_クロロエチレン!E74)</f>
        <v>2.7000000000000001E-3</v>
      </c>
      <c r="H41" s="528"/>
      <c r="I41" s="244" t="s">
        <v>28</v>
      </c>
      <c r="J41" s="155"/>
      <c r="K41" s="529">
        <f>+計算シート_クロロエチレン!E83</f>
        <v>2.7000000000000001E-3</v>
      </c>
      <c r="L41" s="530"/>
      <c r="M41" s="530"/>
      <c r="N41" s="531" t="s">
        <v>28</v>
      </c>
      <c r="O41" s="532"/>
      <c r="P41" s="299"/>
      <c r="Q41" s="155"/>
      <c r="R41" s="189"/>
      <c r="S41" s="189"/>
      <c r="T41" s="189"/>
      <c r="U41" s="190"/>
      <c r="X41" s="257">
        <v>202</v>
      </c>
      <c r="Y41" s="258" t="s">
        <v>247</v>
      </c>
      <c r="Z41" s="249"/>
      <c r="AA41"/>
      <c r="AB41"/>
      <c r="AC41"/>
      <c r="AD41"/>
      <c r="AE41"/>
      <c r="AF41"/>
      <c r="AG41"/>
      <c r="AH41"/>
      <c r="AI41"/>
      <c r="AJ41"/>
      <c r="AK41"/>
      <c r="AL41"/>
      <c r="AM41"/>
      <c r="AN41"/>
      <c r="AO41"/>
      <c r="AP41"/>
      <c r="AQ41"/>
      <c r="AR41"/>
      <c r="AS41"/>
    </row>
    <row r="42" spans="1:46" ht="26.15" customHeight="1" x14ac:dyDescent="0.2">
      <c r="A42" s="179"/>
      <c r="B42" s="189"/>
      <c r="C42" s="243"/>
      <c r="D42" s="298"/>
      <c r="E42" s="298"/>
      <c r="F42" s="298"/>
      <c r="G42" s="297"/>
      <c r="H42" s="297"/>
      <c r="I42" s="292" t="s">
        <v>278</v>
      </c>
      <c r="J42" s="155"/>
      <c r="K42" s="297"/>
      <c r="L42" s="297"/>
      <c r="M42" s="297"/>
      <c r="N42" s="298"/>
      <c r="O42" s="298"/>
      <c r="P42" s="299"/>
      <c r="Q42" s="155"/>
      <c r="R42" s="189"/>
      <c r="S42" s="189"/>
      <c r="T42" s="189"/>
      <c r="U42" s="190"/>
      <c r="X42" s="257">
        <v>203</v>
      </c>
      <c r="Y42" s="258" t="s">
        <v>248</v>
      </c>
      <c r="Z42" s="249"/>
      <c r="AA42"/>
      <c r="AB42"/>
      <c r="AC42"/>
      <c r="AD42"/>
      <c r="AE42"/>
      <c r="AF42"/>
      <c r="AG42"/>
      <c r="AH42"/>
      <c r="AI42"/>
      <c r="AJ42"/>
      <c r="AK42"/>
      <c r="AL42"/>
      <c r="AM42"/>
      <c r="AN42"/>
      <c r="AO42"/>
      <c r="AP42"/>
      <c r="AQ42"/>
      <c r="AR42"/>
      <c r="AS42"/>
    </row>
    <row r="43" spans="1:46" ht="8.15" customHeight="1" thickBot="1" x14ac:dyDescent="0.25">
      <c r="A43" s="179"/>
      <c r="B43" s="189"/>
      <c r="C43" s="245"/>
      <c r="D43" s="246"/>
      <c r="E43" s="246"/>
      <c r="F43" s="246"/>
      <c r="G43" s="246"/>
      <c r="H43" s="300"/>
      <c r="I43" s="301"/>
      <c r="J43" s="246"/>
      <c r="K43" s="246"/>
      <c r="L43" s="246"/>
      <c r="M43" s="246"/>
      <c r="N43" s="246"/>
      <c r="O43" s="246"/>
      <c r="P43" s="247"/>
      <c r="Q43" s="189"/>
      <c r="R43" s="189"/>
      <c r="S43" s="189"/>
      <c r="T43" s="189"/>
      <c r="U43" s="190"/>
      <c r="X43" s="255">
        <v>204</v>
      </c>
      <c r="Y43" s="256" t="s">
        <v>249</v>
      </c>
      <c r="Z43" s="249"/>
      <c r="AA43"/>
      <c r="AB43"/>
      <c r="AC43"/>
      <c r="AD43"/>
      <c r="AE43"/>
      <c r="AF43"/>
      <c r="AG43"/>
      <c r="AH43"/>
      <c r="AI43"/>
      <c r="AJ43"/>
      <c r="AK43"/>
      <c r="AL43"/>
      <c r="AM43"/>
      <c r="AN43"/>
      <c r="AO43"/>
      <c r="AP43"/>
      <c r="AQ43"/>
      <c r="AR43"/>
      <c r="AS43"/>
      <c r="AT43" s="152"/>
    </row>
    <row r="44" spans="1:46" ht="12" customHeight="1" thickBot="1" x14ac:dyDescent="0.25">
      <c r="A44" s="180"/>
      <c r="B44" s="160"/>
      <c r="C44" s="160"/>
      <c r="D44" s="160"/>
      <c r="E44" s="160"/>
      <c r="F44" s="160"/>
      <c r="G44" s="160"/>
      <c r="H44" s="160"/>
      <c r="I44" s="160"/>
      <c r="J44" s="160"/>
      <c r="K44" s="160"/>
      <c r="L44" s="160"/>
      <c r="M44" s="160"/>
      <c r="N44" s="160"/>
      <c r="O44" s="160"/>
      <c r="P44" s="160"/>
      <c r="Q44" s="160"/>
      <c r="R44" s="160"/>
      <c r="S44" s="160"/>
      <c r="T44" s="160"/>
      <c r="U44" s="161"/>
      <c r="X44" s="255">
        <v>205</v>
      </c>
      <c r="Y44" s="256" t="s">
        <v>250</v>
      </c>
      <c r="Z44" s="250"/>
      <c r="AA44"/>
      <c r="AB44"/>
      <c r="AC44"/>
      <c r="AD44"/>
      <c r="AE44"/>
      <c r="AF44"/>
      <c r="AG44"/>
      <c r="AH44"/>
      <c r="AI44"/>
      <c r="AJ44"/>
      <c r="AK44"/>
      <c r="AL44"/>
      <c r="AM44"/>
      <c r="AN44"/>
      <c r="AO44"/>
      <c r="AP44"/>
      <c r="AQ44"/>
      <c r="AR44"/>
      <c r="AS44"/>
      <c r="AT44" s="152"/>
    </row>
    <row r="45" spans="1:46" ht="20.149999999999999" customHeight="1" x14ac:dyDescent="0.2">
      <c r="A45" s="149"/>
      <c r="B45" s="149"/>
      <c r="C45" s="149"/>
      <c r="M45" s="149"/>
      <c r="N45" s="149"/>
      <c r="U45" s="150"/>
      <c r="X45" s="255">
        <v>206</v>
      </c>
      <c r="Y45" s="256" t="s">
        <v>251</v>
      </c>
      <c r="Z45" s="250"/>
      <c r="AA45"/>
      <c r="AB45"/>
      <c r="AC45"/>
      <c r="AD45"/>
      <c r="AE45"/>
      <c r="AF45"/>
      <c r="AG45"/>
      <c r="AH45"/>
      <c r="AI45"/>
      <c r="AJ45"/>
      <c r="AK45"/>
      <c r="AL45"/>
      <c r="AM45"/>
      <c r="AN45"/>
      <c r="AO45"/>
      <c r="AP45"/>
      <c r="AQ45"/>
      <c r="AR45"/>
      <c r="AS45"/>
    </row>
    <row r="46" spans="1:46" x14ac:dyDescent="0.2">
      <c r="A46" s="150"/>
      <c r="B46" s="149"/>
      <c r="C46" s="149"/>
      <c r="M46" s="149"/>
      <c r="N46" s="149"/>
      <c r="U46" s="150"/>
      <c r="X46" s="255">
        <v>207</v>
      </c>
      <c r="Y46" s="256" t="s">
        <v>252</v>
      </c>
      <c r="Z46" s="249"/>
      <c r="AA46"/>
      <c r="AB46"/>
      <c r="AC46"/>
      <c r="AD46"/>
      <c r="AE46"/>
      <c r="AF46"/>
      <c r="AG46"/>
      <c r="AH46"/>
      <c r="AI46"/>
      <c r="AJ46"/>
      <c r="AK46"/>
      <c r="AL46"/>
      <c r="AM46"/>
      <c r="AN46"/>
      <c r="AO46"/>
      <c r="AP46"/>
      <c r="AQ46"/>
      <c r="AR46"/>
      <c r="AS46"/>
    </row>
    <row r="47" spans="1:46" x14ac:dyDescent="0.2">
      <c r="A47" s="150"/>
      <c r="B47" s="150"/>
      <c r="C47" s="150"/>
      <c r="O47" s="150"/>
      <c r="P47" s="150"/>
      <c r="Q47" s="150"/>
      <c r="R47" s="150"/>
      <c r="S47" s="150"/>
      <c r="T47" s="150"/>
      <c r="U47" s="150"/>
      <c r="X47" s="255">
        <v>208</v>
      </c>
      <c r="Y47" s="256" t="s">
        <v>253</v>
      </c>
      <c r="Z47" s="249"/>
      <c r="AA47"/>
      <c r="AB47"/>
      <c r="AC47"/>
      <c r="AD47"/>
      <c r="AE47"/>
      <c r="AF47"/>
      <c r="AG47"/>
      <c r="AH47"/>
      <c r="AI47"/>
      <c r="AJ47"/>
      <c r="AK47"/>
      <c r="AL47"/>
      <c r="AM47"/>
      <c r="AN47"/>
      <c r="AO47"/>
      <c r="AP47"/>
      <c r="AQ47"/>
      <c r="AR47"/>
      <c r="AS47"/>
    </row>
    <row r="48" spans="1:46" x14ac:dyDescent="0.2">
      <c r="A48" s="150"/>
      <c r="B48" s="150"/>
      <c r="C48" s="150"/>
      <c r="O48" s="150"/>
      <c r="P48" s="150"/>
      <c r="Q48" s="150"/>
      <c r="R48" s="150"/>
      <c r="S48" s="150"/>
      <c r="T48" s="150"/>
      <c r="U48" s="150"/>
      <c r="X48" s="255">
        <v>209</v>
      </c>
      <c r="Y48" s="256" t="s">
        <v>254</v>
      </c>
      <c r="Z48" s="249"/>
      <c r="AA48"/>
      <c r="AB48"/>
      <c r="AC48"/>
      <c r="AD48"/>
      <c r="AE48"/>
      <c r="AF48"/>
      <c r="AG48"/>
      <c r="AH48"/>
      <c r="AI48"/>
      <c r="AJ48"/>
      <c r="AK48"/>
      <c r="AL48"/>
      <c r="AM48"/>
      <c r="AN48"/>
      <c r="AO48"/>
      <c r="AP48"/>
      <c r="AQ48"/>
      <c r="AR48"/>
      <c r="AS48"/>
    </row>
    <row r="49" spans="1:45" x14ac:dyDescent="0.2">
      <c r="A49" s="150"/>
      <c r="B49" s="150"/>
      <c r="C49" s="150"/>
      <c r="N49" s="150"/>
      <c r="O49" s="150"/>
      <c r="P49" s="150"/>
      <c r="Q49" s="150"/>
      <c r="R49" s="150"/>
      <c r="S49" s="150"/>
      <c r="T49" s="150"/>
      <c r="U49" s="150"/>
      <c r="X49" s="255">
        <v>301</v>
      </c>
      <c r="Y49" s="256" t="s">
        <v>256</v>
      </c>
      <c r="Z49" s="249"/>
      <c r="AA49"/>
      <c r="AB49"/>
      <c r="AC49"/>
      <c r="AD49"/>
      <c r="AE49"/>
      <c r="AF49"/>
      <c r="AG49"/>
      <c r="AH49"/>
      <c r="AI49"/>
      <c r="AJ49"/>
      <c r="AK49"/>
      <c r="AL49"/>
      <c r="AM49"/>
      <c r="AN49"/>
      <c r="AO49"/>
      <c r="AP49"/>
      <c r="AQ49"/>
      <c r="AR49"/>
      <c r="AS49"/>
    </row>
    <row r="50" spans="1:45" x14ac:dyDescent="0.2">
      <c r="A50" s="150"/>
      <c r="B50" s="150"/>
      <c r="C50" s="150"/>
      <c r="N50" s="150"/>
      <c r="O50" s="150"/>
      <c r="P50" s="150"/>
      <c r="Q50" s="150"/>
      <c r="R50" s="150"/>
      <c r="S50" s="150"/>
      <c r="T50" s="150"/>
      <c r="U50" s="150"/>
      <c r="X50" s="255">
        <v>302</v>
      </c>
      <c r="Y50" s="256" t="s">
        <v>258</v>
      </c>
      <c r="Z50" s="249"/>
      <c r="AA50"/>
      <c r="AB50"/>
      <c r="AC50"/>
      <c r="AD50"/>
      <c r="AE50"/>
      <c r="AF50"/>
      <c r="AG50"/>
      <c r="AH50"/>
      <c r="AI50"/>
      <c r="AJ50"/>
      <c r="AK50"/>
      <c r="AL50"/>
      <c r="AM50"/>
      <c r="AN50"/>
      <c r="AO50"/>
      <c r="AP50"/>
      <c r="AQ50"/>
      <c r="AR50"/>
      <c r="AS50"/>
    </row>
    <row r="51" spans="1:45" x14ac:dyDescent="0.2">
      <c r="B51" s="150"/>
      <c r="C51" s="150"/>
      <c r="N51" s="150"/>
      <c r="O51" s="150"/>
      <c r="P51" s="150"/>
      <c r="Q51" s="150"/>
      <c r="R51" s="150"/>
      <c r="S51" s="150"/>
      <c r="T51" s="150"/>
      <c r="U51" s="150"/>
      <c r="X51" s="255">
        <v>303</v>
      </c>
      <c r="Y51" s="256" t="s">
        <v>260</v>
      </c>
      <c r="Z51" s="249"/>
      <c r="AA51"/>
      <c r="AB51"/>
      <c r="AC51"/>
      <c r="AD51"/>
      <c r="AE51"/>
      <c r="AF51"/>
      <c r="AG51"/>
      <c r="AH51"/>
      <c r="AI51"/>
      <c r="AJ51"/>
      <c r="AK51"/>
      <c r="AL51"/>
      <c r="AM51"/>
      <c r="AN51"/>
      <c r="AO51"/>
      <c r="AP51"/>
      <c r="AQ51"/>
      <c r="AR51"/>
      <c r="AS51"/>
    </row>
    <row r="52" spans="1:45" x14ac:dyDescent="0.2">
      <c r="X52" s="255">
        <v>304</v>
      </c>
      <c r="Y52" s="256" t="s">
        <v>262</v>
      </c>
      <c r="Z52" s="249"/>
      <c r="AA52"/>
      <c r="AB52"/>
      <c r="AC52"/>
      <c r="AD52"/>
      <c r="AE52"/>
      <c r="AF52"/>
      <c r="AG52"/>
      <c r="AH52"/>
      <c r="AI52"/>
      <c r="AJ52"/>
      <c r="AK52"/>
      <c r="AL52"/>
      <c r="AM52"/>
      <c r="AN52"/>
      <c r="AO52"/>
      <c r="AP52"/>
      <c r="AQ52"/>
      <c r="AR52"/>
      <c r="AS52"/>
    </row>
    <row r="53" spans="1:45" ht="17" thickBot="1" x14ac:dyDescent="0.25">
      <c r="X53" s="259">
        <v>305</v>
      </c>
      <c r="Y53" s="260" t="s">
        <v>263</v>
      </c>
      <c r="Z53" s="249"/>
      <c r="AA53"/>
      <c r="AB53"/>
      <c r="AC53"/>
      <c r="AD53"/>
      <c r="AE53"/>
      <c r="AF53"/>
      <c r="AG53"/>
      <c r="AH53"/>
      <c r="AI53"/>
      <c r="AJ53"/>
      <c r="AK53"/>
      <c r="AL53"/>
      <c r="AM53"/>
      <c r="AN53"/>
      <c r="AO53"/>
      <c r="AP53"/>
      <c r="AQ53"/>
      <c r="AR53"/>
      <c r="AS53"/>
    </row>
    <row r="54" spans="1:45" x14ac:dyDescent="0.2">
      <c r="Z54" s="249"/>
      <c r="AA54"/>
      <c r="AB54"/>
      <c r="AC54"/>
      <c r="AD54"/>
      <c r="AE54"/>
      <c r="AF54"/>
      <c r="AG54"/>
      <c r="AH54"/>
      <c r="AI54"/>
      <c r="AJ54"/>
      <c r="AK54"/>
      <c r="AL54"/>
      <c r="AM54"/>
      <c r="AN54"/>
      <c r="AO54"/>
      <c r="AP54"/>
      <c r="AQ54"/>
      <c r="AR54"/>
      <c r="AS54"/>
    </row>
    <row r="55" spans="1:45" x14ac:dyDescent="0.2">
      <c r="Z55" s="249"/>
      <c r="AA55"/>
      <c r="AB55"/>
      <c r="AC55"/>
      <c r="AD55"/>
      <c r="AE55"/>
      <c r="AF55"/>
      <c r="AG55"/>
      <c r="AH55"/>
      <c r="AI55"/>
      <c r="AJ55"/>
      <c r="AK55"/>
      <c r="AL55"/>
      <c r="AM55"/>
      <c r="AN55"/>
      <c r="AO55"/>
      <c r="AP55"/>
      <c r="AQ55"/>
      <c r="AR55"/>
      <c r="AS55"/>
    </row>
    <row r="56" spans="1:45" x14ac:dyDescent="0.2">
      <c r="Z56" s="249"/>
      <c r="AA56"/>
      <c r="AB56"/>
      <c r="AC56"/>
      <c r="AD56"/>
      <c r="AE56"/>
      <c r="AF56"/>
      <c r="AG56"/>
      <c r="AH56"/>
      <c r="AI56"/>
      <c r="AJ56"/>
      <c r="AK56"/>
      <c r="AL56"/>
      <c r="AM56"/>
      <c r="AN56"/>
      <c r="AO56"/>
      <c r="AP56"/>
      <c r="AQ56"/>
      <c r="AR56"/>
      <c r="AS56"/>
    </row>
    <row r="57" spans="1:45" ht="13.5" customHeight="1" x14ac:dyDescent="0.2">
      <c r="AA57"/>
      <c r="AB57"/>
      <c r="AC57"/>
      <c r="AD57"/>
      <c r="AE57"/>
      <c r="AF57"/>
      <c r="AG57"/>
      <c r="AH57"/>
      <c r="AI57"/>
      <c r="AJ57"/>
      <c r="AK57"/>
      <c r="AL57"/>
      <c r="AM57"/>
      <c r="AN57"/>
      <c r="AO57"/>
      <c r="AP57"/>
      <c r="AQ57"/>
      <c r="AR57"/>
      <c r="AS57"/>
    </row>
    <row r="58" spans="1:45" ht="14.25" customHeight="1" thickBot="1" x14ac:dyDescent="0.25">
      <c r="AA58"/>
      <c r="AB58"/>
      <c r="AC58"/>
      <c r="AD58"/>
      <c r="AE58"/>
      <c r="AF58"/>
      <c r="AG58"/>
      <c r="AH58"/>
      <c r="AI58"/>
      <c r="AJ58"/>
      <c r="AK58"/>
      <c r="AL58"/>
      <c r="AM58"/>
      <c r="AN58"/>
      <c r="AO58"/>
      <c r="AP58"/>
      <c r="AQ58"/>
      <c r="AR58"/>
      <c r="AS58"/>
    </row>
    <row r="59" spans="1:45" x14ac:dyDescent="0.2">
      <c r="W59" s="269" t="s">
        <v>310</v>
      </c>
      <c r="X59" s="270">
        <v>5</v>
      </c>
      <c r="Y59" s="261" t="s">
        <v>235</v>
      </c>
      <c r="Z59" s="262">
        <v>108</v>
      </c>
      <c r="AA59"/>
      <c r="AB59"/>
      <c r="AC59"/>
      <c r="AD59"/>
      <c r="AE59"/>
      <c r="AF59"/>
      <c r="AG59"/>
      <c r="AH59"/>
      <c r="AI59"/>
      <c r="AJ59"/>
      <c r="AK59"/>
      <c r="AL59"/>
      <c r="AM59"/>
      <c r="AN59"/>
      <c r="AO59"/>
      <c r="AP59"/>
      <c r="AQ59"/>
      <c r="AR59"/>
      <c r="AS59"/>
    </row>
    <row r="60" spans="1:45" x14ac:dyDescent="0.2">
      <c r="W60" s="346" t="s">
        <v>266</v>
      </c>
      <c r="X60" s="348">
        <v>1</v>
      </c>
      <c r="Y60" s="255" t="s">
        <v>237</v>
      </c>
      <c r="Z60" s="256">
        <v>109</v>
      </c>
      <c r="AA60"/>
      <c r="AB60"/>
      <c r="AC60"/>
      <c r="AD60"/>
      <c r="AE60"/>
      <c r="AF60"/>
      <c r="AG60"/>
      <c r="AH60"/>
      <c r="AI60"/>
      <c r="AJ60"/>
      <c r="AK60"/>
      <c r="AL60"/>
      <c r="AM60"/>
      <c r="AN60"/>
      <c r="AO60"/>
      <c r="AP60"/>
      <c r="AQ60"/>
      <c r="AR60"/>
      <c r="AS60"/>
    </row>
    <row r="61" spans="1:45" x14ac:dyDescent="0.2">
      <c r="W61" s="267" t="s">
        <v>267</v>
      </c>
      <c r="X61" s="265">
        <v>2</v>
      </c>
      <c r="Y61" s="255" t="s">
        <v>230</v>
      </c>
      <c r="Z61" s="256">
        <v>105</v>
      </c>
      <c r="AA61"/>
      <c r="AB61"/>
      <c r="AC61"/>
      <c r="AD61"/>
      <c r="AE61"/>
      <c r="AF61"/>
      <c r="AG61"/>
      <c r="AH61"/>
      <c r="AI61"/>
      <c r="AJ61"/>
      <c r="AK61"/>
      <c r="AL61"/>
      <c r="AM61"/>
      <c r="AN61"/>
      <c r="AO61"/>
      <c r="AP61"/>
      <c r="AQ61"/>
      <c r="AR61"/>
      <c r="AS61"/>
    </row>
    <row r="62" spans="1:45" x14ac:dyDescent="0.2">
      <c r="W62" s="267" t="s">
        <v>268</v>
      </c>
      <c r="X62" s="265">
        <v>3</v>
      </c>
      <c r="Y62" s="255" t="s">
        <v>228</v>
      </c>
      <c r="Z62" s="256">
        <v>104</v>
      </c>
      <c r="AA62"/>
      <c r="AB62"/>
      <c r="AC62"/>
      <c r="AD62"/>
      <c r="AE62"/>
      <c r="AF62"/>
      <c r="AG62"/>
      <c r="AH62"/>
      <c r="AI62"/>
      <c r="AJ62"/>
      <c r="AK62"/>
      <c r="AL62"/>
      <c r="AM62"/>
      <c r="AN62"/>
      <c r="AO62"/>
      <c r="AP62"/>
      <c r="AQ62"/>
      <c r="AR62"/>
      <c r="AS62"/>
    </row>
    <row r="63" spans="1:45" ht="17" thickBot="1" x14ac:dyDescent="0.25">
      <c r="W63" s="347" t="s">
        <v>279</v>
      </c>
      <c r="X63" s="284">
        <v>4</v>
      </c>
      <c r="Y63" s="255" t="s">
        <v>243</v>
      </c>
      <c r="Z63" s="256">
        <v>112</v>
      </c>
      <c r="AA63"/>
      <c r="AB63"/>
      <c r="AC63"/>
      <c r="AD63"/>
      <c r="AE63"/>
      <c r="AF63"/>
      <c r="AG63"/>
      <c r="AH63"/>
      <c r="AI63"/>
      <c r="AJ63"/>
      <c r="AK63"/>
      <c r="AL63"/>
      <c r="AM63"/>
      <c r="AN63"/>
      <c r="AO63"/>
      <c r="AP63"/>
      <c r="AQ63"/>
      <c r="AR63"/>
      <c r="AS63"/>
    </row>
    <row r="64" spans="1:45" x14ac:dyDescent="0.2">
      <c r="Y64" s="255" t="s">
        <v>262</v>
      </c>
      <c r="Z64" s="256">
        <v>304</v>
      </c>
      <c r="AA64"/>
      <c r="AB64"/>
      <c r="AC64"/>
      <c r="AD64"/>
      <c r="AE64"/>
      <c r="AF64"/>
      <c r="AG64"/>
      <c r="AH64"/>
      <c r="AI64"/>
      <c r="AJ64"/>
      <c r="AK64"/>
      <c r="AL64"/>
      <c r="AM64"/>
      <c r="AN64"/>
      <c r="AO64"/>
      <c r="AP64"/>
      <c r="AQ64"/>
      <c r="AR64"/>
      <c r="AS64"/>
    </row>
    <row r="65" spans="25:45" x14ac:dyDescent="0.2">
      <c r="Y65" s="263" t="s">
        <v>247</v>
      </c>
      <c r="Z65" s="264">
        <v>202</v>
      </c>
      <c r="AA65"/>
      <c r="AB65"/>
      <c r="AC65"/>
      <c r="AD65"/>
      <c r="AE65"/>
      <c r="AF65"/>
      <c r="AG65"/>
      <c r="AH65"/>
      <c r="AI65"/>
      <c r="AJ65"/>
      <c r="AK65"/>
      <c r="AL65"/>
      <c r="AM65"/>
      <c r="AN65"/>
      <c r="AO65"/>
      <c r="AP65"/>
      <c r="AQ65"/>
      <c r="AR65"/>
      <c r="AS65"/>
    </row>
    <row r="66" spans="25:45" x14ac:dyDescent="0.2">
      <c r="Y66" s="255" t="s">
        <v>225</v>
      </c>
      <c r="Z66" s="256">
        <v>101</v>
      </c>
      <c r="AA66"/>
      <c r="AB66"/>
      <c r="AC66"/>
      <c r="AD66"/>
      <c r="AE66"/>
      <c r="AF66"/>
      <c r="AG66"/>
      <c r="AH66"/>
      <c r="AI66"/>
      <c r="AJ66"/>
      <c r="AK66"/>
      <c r="AL66"/>
      <c r="AM66"/>
      <c r="AN66"/>
      <c r="AO66"/>
      <c r="AP66"/>
      <c r="AQ66"/>
      <c r="AR66"/>
      <c r="AS66"/>
    </row>
    <row r="67" spans="25:45" x14ac:dyDescent="0.2">
      <c r="Y67" s="255" t="s">
        <v>254</v>
      </c>
      <c r="Z67" s="256">
        <v>209</v>
      </c>
      <c r="AA67" s="249"/>
    </row>
    <row r="68" spans="25:45" x14ac:dyDescent="0.2">
      <c r="Y68" s="255" t="s">
        <v>227</v>
      </c>
      <c r="Z68" s="256">
        <v>103</v>
      </c>
      <c r="AA68" s="249"/>
    </row>
    <row r="69" spans="25:45" x14ac:dyDescent="0.2">
      <c r="Y69" s="255" t="s">
        <v>226</v>
      </c>
      <c r="Z69" s="256">
        <v>102</v>
      </c>
      <c r="AA69" s="249"/>
    </row>
    <row r="70" spans="25:45" x14ac:dyDescent="0.2">
      <c r="Y70" s="255" t="s">
        <v>231</v>
      </c>
      <c r="Z70" s="256">
        <v>106</v>
      </c>
      <c r="AA70" s="249"/>
    </row>
    <row r="71" spans="25:45" x14ac:dyDescent="0.2">
      <c r="Y71" s="255" t="s">
        <v>256</v>
      </c>
      <c r="Z71" s="256">
        <v>301</v>
      </c>
      <c r="AA71" s="249"/>
    </row>
    <row r="72" spans="25:45" x14ac:dyDescent="0.2">
      <c r="Y72" s="263" t="s">
        <v>248</v>
      </c>
      <c r="Z72" s="264">
        <v>203</v>
      </c>
      <c r="AA72" s="250"/>
    </row>
    <row r="73" spans="25:45" x14ac:dyDescent="0.2">
      <c r="Y73" s="255" t="s">
        <v>253</v>
      </c>
      <c r="Z73" s="256">
        <v>208</v>
      </c>
      <c r="AA73" s="249"/>
    </row>
    <row r="74" spans="25:45" x14ac:dyDescent="0.2">
      <c r="Y74" s="253" t="s">
        <v>221</v>
      </c>
      <c r="Z74" s="254">
        <v>1</v>
      </c>
      <c r="AA74" s="171"/>
    </row>
    <row r="75" spans="25:45" x14ac:dyDescent="0.2">
      <c r="Y75" s="253" t="s">
        <v>222</v>
      </c>
      <c r="Z75" s="254">
        <v>2</v>
      </c>
      <c r="AA75" s="171"/>
    </row>
    <row r="76" spans="25:45" x14ac:dyDescent="0.2">
      <c r="Y76" s="253" t="s">
        <v>223</v>
      </c>
      <c r="Z76" s="254">
        <v>3</v>
      </c>
      <c r="AA76" s="171"/>
    </row>
    <row r="77" spans="25:45" x14ac:dyDescent="0.2">
      <c r="Y77" s="255" t="s">
        <v>258</v>
      </c>
      <c r="Z77" s="256">
        <v>302</v>
      </c>
      <c r="AA77" s="249"/>
    </row>
    <row r="78" spans="25:45" x14ac:dyDescent="0.2">
      <c r="Y78" s="255" t="s">
        <v>260</v>
      </c>
      <c r="Z78" s="256">
        <v>303</v>
      </c>
      <c r="AA78" s="249"/>
    </row>
    <row r="79" spans="25:45" x14ac:dyDescent="0.2">
      <c r="Y79" s="255" t="s">
        <v>241</v>
      </c>
      <c r="Z79" s="256">
        <v>111</v>
      </c>
      <c r="AA79" s="249"/>
    </row>
    <row r="80" spans="25:45" x14ac:dyDescent="0.2">
      <c r="Y80" s="255" t="s">
        <v>233</v>
      </c>
      <c r="Z80" s="256">
        <v>107</v>
      </c>
      <c r="AA80" s="249"/>
    </row>
    <row r="81" spans="25:27" x14ac:dyDescent="0.2">
      <c r="Y81" s="255" t="s">
        <v>239</v>
      </c>
      <c r="Z81" s="256">
        <v>110</v>
      </c>
      <c r="AA81" s="249"/>
    </row>
    <row r="82" spans="25:27" x14ac:dyDescent="0.2">
      <c r="Y82" s="255" t="s">
        <v>246</v>
      </c>
      <c r="Z82" s="256">
        <v>201</v>
      </c>
      <c r="AA82" s="249"/>
    </row>
    <row r="83" spans="25:27" x14ac:dyDescent="0.2">
      <c r="Y83" s="255" t="s">
        <v>249</v>
      </c>
      <c r="Z83" s="256">
        <v>204</v>
      </c>
      <c r="AA83" s="249"/>
    </row>
    <row r="84" spans="25:27" x14ac:dyDescent="0.2">
      <c r="Y84" s="255" t="s">
        <v>251</v>
      </c>
      <c r="Z84" s="256">
        <v>206</v>
      </c>
      <c r="AA84" s="249"/>
    </row>
    <row r="85" spans="25:27" x14ac:dyDescent="0.2">
      <c r="Y85" s="255" t="s">
        <v>245</v>
      </c>
      <c r="Z85" s="256">
        <v>113</v>
      </c>
      <c r="AA85" s="249"/>
    </row>
    <row r="86" spans="25:27" x14ac:dyDescent="0.2">
      <c r="Y86" s="255" t="s">
        <v>252</v>
      </c>
      <c r="Z86" s="256">
        <v>207</v>
      </c>
      <c r="AA86" s="249"/>
    </row>
    <row r="87" spans="25:27" x14ac:dyDescent="0.2">
      <c r="Y87" s="255" t="s">
        <v>263</v>
      </c>
      <c r="Z87" s="256">
        <v>305</v>
      </c>
      <c r="AA87" s="249"/>
    </row>
    <row r="88" spans="25:27" ht="17" thickBot="1" x14ac:dyDescent="0.25">
      <c r="Y88" s="259" t="s">
        <v>250</v>
      </c>
      <c r="Z88" s="260">
        <v>205</v>
      </c>
      <c r="AA88" s="249"/>
    </row>
  </sheetData>
  <mergeCells count="30">
    <mergeCell ref="D41:F41"/>
    <mergeCell ref="G41:H41"/>
    <mergeCell ref="K41:M41"/>
    <mergeCell ref="N41:O41"/>
    <mergeCell ref="C32:C33"/>
    <mergeCell ref="D32:E33"/>
    <mergeCell ref="F32:H32"/>
    <mergeCell ref="F33:H33"/>
    <mergeCell ref="D35:E35"/>
    <mergeCell ref="F35:H35"/>
    <mergeCell ref="D30:E30"/>
    <mergeCell ref="F30:H30"/>
    <mergeCell ref="I21:K21"/>
    <mergeCell ref="C22:C24"/>
    <mergeCell ref="D22:E24"/>
    <mergeCell ref="F22:H22"/>
    <mergeCell ref="I22:K22"/>
    <mergeCell ref="F23:H23"/>
    <mergeCell ref="F24:H24"/>
    <mergeCell ref="C26:C27"/>
    <mergeCell ref="D26:E27"/>
    <mergeCell ref="F26:G26"/>
    <mergeCell ref="F27:G27"/>
    <mergeCell ref="F29:H29"/>
    <mergeCell ref="C1:D3"/>
    <mergeCell ref="E11:K11"/>
    <mergeCell ref="D16:E18"/>
    <mergeCell ref="F19:H19"/>
    <mergeCell ref="D20:E20"/>
    <mergeCell ref="F20:H20"/>
  </mergeCells>
  <phoneticPr fontId="4"/>
  <conditionalFormatting sqref="Y13">
    <cfRule type="containsBlanks" dxfId="389" priority="3">
      <formula>LEN(TRIM(Y13))=0</formula>
    </cfRule>
  </conditionalFormatting>
  <conditionalFormatting sqref="D35:H35 J35:L35">
    <cfRule type="expression" dxfId="388" priority="2">
      <formula>$X$14=1</formula>
    </cfRule>
  </conditionalFormatting>
  <conditionalFormatting sqref="I35">
    <cfRule type="expression" dxfId="387" priority="1">
      <formula>$X$14=1</formula>
    </cfRule>
  </conditionalFormatting>
  <dataValidations count="2">
    <dataValidation type="decimal" allowBlank="1" showInputMessage="1" showErrorMessage="1" errorTitle="入力値確認" error="入力可能な厚さは、_x000a_0～10ｍの範囲です。" sqref="J24">
      <formula1>0</formula1>
      <formula2>10</formula2>
    </dataValidation>
    <dataValidation showInputMessage="1" showErrorMessage="1" errorTitle="物質種類の選択" error="プルダウンリストから選択して下さい" sqref="F20:H20"/>
  </dataValidations>
  <printOptions horizontalCentered="1"/>
  <pageMargins left="0.19685039370078741" right="0.19685039370078741" top="0" bottom="0" header="0" footer="0"/>
  <pageSetup paperSize="9" scale="8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Option Button 9">
              <controlPr defaultSize="0" autoFill="0" autoLine="0" autoPict="0">
                <anchor moveWithCells="1">
                  <from>
                    <xdr:col>5</xdr:col>
                    <xdr:colOff>12700</xdr:colOff>
                    <xdr:row>15</xdr:row>
                    <xdr:rowOff>31750</xdr:rowOff>
                  </from>
                  <to>
                    <xdr:col>6</xdr:col>
                    <xdr:colOff>12700</xdr:colOff>
                    <xdr:row>15</xdr:row>
                    <xdr:rowOff>228600</xdr:rowOff>
                  </to>
                </anchor>
              </controlPr>
            </control>
          </mc:Choice>
        </mc:AlternateContent>
        <mc:AlternateContent xmlns:mc="http://schemas.openxmlformats.org/markup-compatibility/2006">
          <mc:Choice Requires="x14">
            <control shapeId="8194" r:id="rId5" name="Option Button 10">
              <controlPr defaultSize="0" autoFill="0" autoLine="0" autoPict="0">
                <anchor moveWithCells="1">
                  <from>
                    <xdr:col>5</xdr:col>
                    <xdr:colOff>12700</xdr:colOff>
                    <xdr:row>16</xdr:row>
                    <xdr:rowOff>19050</xdr:rowOff>
                  </from>
                  <to>
                    <xdr:col>5</xdr:col>
                    <xdr:colOff>342900</xdr:colOff>
                    <xdr:row>17</xdr:row>
                    <xdr:rowOff>12700</xdr:rowOff>
                  </to>
                </anchor>
              </controlPr>
            </control>
          </mc:Choice>
        </mc:AlternateContent>
        <mc:AlternateContent xmlns:mc="http://schemas.openxmlformats.org/markup-compatibility/2006">
          <mc:Choice Requires="x14">
            <control shapeId="8195" r:id="rId6" name="Option Button 11">
              <controlPr defaultSize="0" autoFill="0" autoLine="0" autoPict="0">
                <anchor moveWithCells="1">
                  <from>
                    <xdr:col>5</xdr:col>
                    <xdr:colOff>12700</xdr:colOff>
                    <xdr:row>17</xdr:row>
                    <xdr:rowOff>31750</xdr:rowOff>
                  </from>
                  <to>
                    <xdr:col>6</xdr:col>
                    <xdr:colOff>12700</xdr:colOff>
                    <xdr:row>18</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30</vt:i4>
      </vt:variant>
    </vt:vector>
  </HeadingPairs>
  <TitlesOfParts>
    <vt:vector size="90" baseType="lpstr">
      <vt:lpstr>入力シート (一物質)</vt:lpstr>
      <vt:lpstr>印刷用レポート (一物質)</vt:lpstr>
      <vt:lpstr>入力シート (複数物質)</vt:lpstr>
      <vt:lpstr>印刷用レポート (複数物質)</vt:lpstr>
      <vt:lpstr>パラメーター 一覧表</vt:lpstr>
      <vt:lpstr>パラメータ引用文献</vt:lpstr>
      <vt:lpstr>計算シート１</vt:lpstr>
      <vt:lpstr>計算シート2</vt:lpstr>
      <vt:lpstr>入力シート_クロロエチレン</vt:lpstr>
      <vt:lpstr>計算シート_クロロエチレン</vt:lpstr>
      <vt:lpstr>入力シート_ジクロロメタン</vt:lpstr>
      <vt:lpstr>計算シート_ジクロロメタン</vt:lpstr>
      <vt:lpstr>入力シート_四塩化炭素</vt:lpstr>
      <vt:lpstr>計算シート_四塩化炭素</vt:lpstr>
      <vt:lpstr>入力シート_1・2・ジクロロエタン</vt:lpstr>
      <vt:lpstr>計算シート_1・2・ジクロロエタン</vt:lpstr>
      <vt:lpstr>入力シート_1・1・ジクロロエチレン</vt:lpstr>
      <vt:lpstr>計算シート_1・1・ジクロロエチレン</vt:lpstr>
      <vt:lpstr>入力シート_1・2・ジクロロエチレン</vt:lpstr>
      <vt:lpstr>計算シート_1・2・ジクロロエチレン</vt:lpstr>
      <vt:lpstr>入力シート_1・1・1・トリクロロエタン</vt:lpstr>
      <vt:lpstr>計算シート_1・1・1・トリクロロエタン</vt:lpstr>
      <vt:lpstr>入力シート_1・1・2・トリクロロエタン</vt:lpstr>
      <vt:lpstr>計算シート_1・1・2・トリクロロエタン</vt:lpstr>
      <vt:lpstr>入力シート_トリクロロエチレン</vt:lpstr>
      <vt:lpstr>計算シート_トリクロロエチレン</vt:lpstr>
      <vt:lpstr>入力シート_テトラクロロエチレン</vt:lpstr>
      <vt:lpstr>計算シート_テトラクロロエチレン</vt:lpstr>
      <vt:lpstr>入力シート_1・3・ジクロロプロペン</vt:lpstr>
      <vt:lpstr>計算シート_1・3・ジクロロプロペン</vt:lpstr>
      <vt:lpstr>入力シート_ベンゼン</vt:lpstr>
      <vt:lpstr>計算シート_ベンゼン</vt:lpstr>
      <vt:lpstr>入力シート_鉛</vt:lpstr>
      <vt:lpstr>計算シート_鉛</vt:lpstr>
      <vt:lpstr>入力シート_カドミウム</vt:lpstr>
      <vt:lpstr>計算シート_カドミウム</vt:lpstr>
      <vt:lpstr>入力シート_水銀</vt:lpstr>
      <vt:lpstr>計算シート_水銀</vt:lpstr>
      <vt:lpstr>入力シート_砒素</vt:lpstr>
      <vt:lpstr>計算シート_砒素</vt:lpstr>
      <vt:lpstr>入力シート_六価クロム</vt:lpstr>
      <vt:lpstr>計算シート_六価クロム</vt:lpstr>
      <vt:lpstr>入力シート_ふっ素</vt:lpstr>
      <vt:lpstr>計算シート_ふっ素</vt:lpstr>
      <vt:lpstr>入力シート_ほう素</vt:lpstr>
      <vt:lpstr>計算シート_ほう素</vt:lpstr>
      <vt:lpstr>入力シート_セレン</vt:lpstr>
      <vt:lpstr>計算シート_セレン</vt:lpstr>
      <vt:lpstr>入力シート_シアン</vt:lpstr>
      <vt:lpstr>計算シート_シアン</vt:lpstr>
      <vt:lpstr>入力シート_シマジン</vt:lpstr>
      <vt:lpstr>計算シート_シマジン</vt:lpstr>
      <vt:lpstr>入力シート_チウラム</vt:lpstr>
      <vt:lpstr>計算シート_チウラム</vt:lpstr>
      <vt:lpstr>入力シート_チオベンカルブ</vt:lpstr>
      <vt:lpstr>計算シート_チオベンカルブ</vt:lpstr>
      <vt:lpstr>入力シート_PCB</vt:lpstr>
      <vt:lpstr>計算シート_PCB</vt:lpstr>
      <vt:lpstr>入力シート_有機リン</vt:lpstr>
      <vt:lpstr>計算シート_有機リン</vt:lpstr>
      <vt:lpstr>'印刷用レポート (一物質)'!Print_Area</vt:lpstr>
      <vt:lpstr>'印刷用レポート (複数物質)'!Print_Area</vt:lpstr>
      <vt:lpstr>'入力シート (一物質)'!Print_Area</vt:lpstr>
      <vt:lpstr>'入力シート (複数物質)'!Print_Area</vt:lpstr>
      <vt:lpstr>入力シート_1・1・1・トリクロロエタン!Print_Area</vt:lpstr>
      <vt:lpstr>入力シート_1・1・2・トリクロロエタン!Print_Area</vt:lpstr>
      <vt:lpstr>入力シート_1・1・ジクロロエチレン!Print_Area</vt:lpstr>
      <vt:lpstr>入力シート_1・2・ジクロロエタン!Print_Area</vt:lpstr>
      <vt:lpstr>入力シート_1・2・ジクロロエチレン!Print_Area</vt:lpstr>
      <vt:lpstr>入力シート_1・3・ジクロロプロペン!Print_Area</vt:lpstr>
      <vt:lpstr>入力シート_PCB!Print_Area</vt:lpstr>
      <vt:lpstr>入力シート_カドミウム!Print_Area</vt:lpstr>
      <vt:lpstr>入力シート_クロロエチレン!Print_Area</vt:lpstr>
      <vt:lpstr>入力シート_シアン!Print_Area</vt:lpstr>
      <vt:lpstr>入力シート_ジクロロメタン!Print_Area</vt:lpstr>
      <vt:lpstr>入力シート_シマジン!Print_Area</vt:lpstr>
      <vt:lpstr>入力シート_セレン!Print_Area</vt:lpstr>
      <vt:lpstr>入力シート_チウラム!Print_Area</vt:lpstr>
      <vt:lpstr>入力シート_チオベンカルブ!Print_Area</vt:lpstr>
      <vt:lpstr>入力シート_テトラクロロエチレン!Print_Area</vt:lpstr>
      <vt:lpstr>入力シート_トリクロロエチレン!Print_Area</vt:lpstr>
      <vt:lpstr>入力シート_ふっ素!Print_Area</vt:lpstr>
      <vt:lpstr>入力シート_ベンゼン!Print_Area</vt:lpstr>
      <vt:lpstr>入力シート_ほう素!Print_Area</vt:lpstr>
      <vt:lpstr>入力シート_鉛!Print_Area</vt:lpstr>
      <vt:lpstr>入力シート_四塩化炭素!Print_Area</vt:lpstr>
      <vt:lpstr>入力シート_水銀!Print_Area</vt:lpstr>
      <vt:lpstr>入力シート_有機リン!Print_Area</vt:lpstr>
      <vt:lpstr>入力シート_六価クロム!Print_Area</vt:lpstr>
      <vt:lpstr>入力シート_砒素!Print_Area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2018-03-30T03:09:51Z</cp:lastPrinted>
  <dcterms:created xsi:type="dcterms:W3CDTF">2018-03-30T02:50:51Z</dcterms:created>
  <dcterms:modified xsi:type="dcterms:W3CDTF">2019-03-28T03:39:07Z</dcterms:modified>
  <cp:category/>
</cp:coreProperties>
</file>